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P:\Valérie\"/>
    </mc:Choice>
  </mc:AlternateContent>
  <bookViews>
    <workbookView xWindow="0" yWindow="0" windowWidth="22260" windowHeight="12645" activeTab="2"/>
  </bookViews>
  <sheets>
    <sheet name="2018" sheetId="1" r:id="rId1"/>
    <sheet name="janvier" sheetId="2" r:id="rId2"/>
    <sheet name="Février" sheetId="4" r:id="rId3"/>
    <sheet name="Feuil1" sheetId="3" r:id="rId4"/>
  </sheets>
  <functionGroups builtInGroupCount="18"/>
  <definedNames>
    <definedName name="DonnéesExternes_1" localSheetId="3" hidden="1">Feuil1!$A$1:$H$813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BCP_b48bb84e-673a-432d-be44-20ea16aba47e" name="TBCP" connection="Requête - TBCP"/>
          <x15:modelTable id="TPALATINE_3a45171d-dbaa-4a8a-a6b2-f5e161109d7a" name="TPALATINE" connection="Requête - TPALATINE"/>
          <x15:modelTable id="TCDN_b3452eb0-6848-41b7-ab73-dace9473b6fe" name="TCDN" connection="Requête - TCDN"/>
          <x15:modelTable id="TBRED_5833b4f6-4ea2-4d01-8deb-948ee4199091" name="TBRED" connection="Requête - TBRED"/>
          <x15:modelTable id="TBP_ad30ad1e-72f4-4db5-b857-a223108cd136" name="TBP" connection="Requête - TBP"/>
        </x15:modelTables>
      </x15:dataModel>
    </ext>
  </extLst>
</workbook>
</file>

<file path=xl/calcChain.xml><?xml version="1.0" encoding="utf-8"?>
<calcChain xmlns="http://schemas.openxmlformats.org/spreadsheetml/2006/main">
  <c r="B2" i="4" l="1"/>
  <c r="L3" i="4" l="1"/>
  <c r="E16" i="2" l="1"/>
  <c r="E15" i="2"/>
  <c r="E13" i="2"/>
  <c r="E12" i="2"/>
  <c r="E11" i="2"/>
  <c r="E10" i="2"/>
  <c r="E8" i="2"/>
  <c r="E7" i="2"/>
  <c r="E6" i="2"/>
  <c r="E5" i="2"/>
  <c r="E16" i="4"/>
  <c r="E15" i="4"/>
  <c r="E14" i="4"/>
  <c r="E13" i="4"/>
  <c r="E12" i="4"/>
  <c r="E11" i="4"/>
  <c r="E10" i="4"/>
  <c r="E8" i="4"/>
  <c r="E7" i="4"/>
  <c r="E6" i="4"/>
  <c r="E5" i="4"/>
  <c r="I5" i="4" l="1"/>
  <c r="I6" i="4"/>
  <c r="I7" i="4"/>
  <c r="I8" i="4"/>
  <c r="I10" i="4"/>
  <c r="I11" i="4"/>
  <c r="I12" i="4"/>
  <c r="I13" i="4"/>
  <c r="I16" i="4"/>
  <c r="O23" i="2"/>
  <c r="O22" i="2"/>
  <c r="O21" i="2"/>
  <c r="O20" i="2"/>
  <c r="O19" i="2"/>
  <c r="O18" i="2"/>
  <c r="O16" i="2"/>
  <c r="O15" i="2"/>
  <c r="O14" i="2"/>
  <c r="O13" i="2"/>
  <c r="O12" i="2"/>
  <c r="O11" i="2"/>
  <c r="O10" i="2"/>
  <c r="O8" i="2"/>
  <c r="O7" i="2"/>
  <c r="O6" i="2"/>
  <c r="O5" i="2"/>
  <c r="Q16" i="2"/>
  <c r="Q13" i="2"/>
  <c r="Q12" i="2"/>
  <c r="Q11" i="2"/>
  <c r="Q10" i="2"/>
  <c r="Q8" i="2"/>
  <c r="Q7" i="2"/>
  <c r="H16" i="4"/>
  <c r="H13" i="4"/>
  <c r="H12" i="4"/>
  <c r="H11" i="4"/>
  <c r="H10" i="4"/>
  <c r="H8" i="4"/>
  <c r="H7" i="4"/>
  <c r="H6" i="4"/>
  <c r="H5" i="4"/>
  <c r="O6" i="4"/>
  <c r="O15" i="4"/>
  <c r="O13" i="4"/>
  <c r="O19" i="4"/>
  <c r="O18" i="4"/>
  <c r="O8" i="4"/>
  <c r="O7" i="4"/>
  <c r="O16" i="4"/>
  <c r="O12" i="4"/>
  <c r="O20" i="4"/>
  <c r="O10" i="4"/>
  <c r="O11" i="4"/>
  <c r="O14" i="4"/>
  <c r="O5" i="4"/>
  <c r="AF6" i="1" l="1"/>
  <c r="AF7" i="1" s="1"/>
  <c r="O23" i="4"/>
  <c r="Q13" i="4"/>
  <c r="O22" i="4"/>
  <c r="O21" i="4"/>
  <c r="Q8" i="4"/>
  <c r="Q7" i="4"/>
  <c r="Q16" i="4"/>
  <c r="Q11" i="4"/>
  <c r="Q12" i="4"/>
  <c r="Q10" i="4"/>
  <c r="U5" i="4" l="1"/>
  <c r="U6" i="4" l="1"/>
  <c r="U7" i="4"/>
  <c r="U8" i="4"/>
  <c r="U10" i="4"/>
  <c r="V10" i="4" s="1"/>
  <c r="U11" i="4"/>
  <c r="V11" i="4" s="1"/>
  <c r="U12" i="4"/>
  <c r="V12" i="4" s="1"/>
  <c r="U13" i="4"/>
  <c r="V13" i="4" s="1"/>
  <c r="U16" i="4"/>
  <c r="V16" i="4" s="1"/>
  <c r="F22" i="2" l="1"/>
  <c r="Q22" i="2" s="1"/>
  <c r="AB23" i="1"/>
  <c r="L22" i="4"/>
  <c r="L22" i="2"/>
  <c r="AB22" i="1"/>
  <c r="U22" i="4" l="1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3" i="4"/>
  <c r="L24" i="4"/>
  <c r="AB19" i="1"/>
  <c r="AB20" i="1"/>
  <c r="AB21" i="1"/>
  <c r="B22" i="4" l="1"/>
  <c r="B21" i="4"/>
  <c r="B23" i="4"/>
  <c r="Z17" i="1" l="1"/>
  <c r="V17" i="1"/>
  <c r="T17" i="1"/>
  <c r="R17" i="1"/>
  <c r="P17" i="1"/>
  <c r="N17" i="1"/>
  <c r="F17" i="1"/>
  <c r="J1" i="3" l="1"/>
  <c r="L5" i="2" l="1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3" i="2"/>
  <c r="L24" i="2"/>
  <c r="B20" i="2" l="1"/>
  <c r="B11" i="2"/>
  <c r="B8" i="2"/>
  <c r="B22" i="2"/>
  <c r="M22" i="2" s="1"/>
  <c r="B19" i="2"/>
  <c r="B18" i="2"/>
  <c r="B16" i="2"/>
  <c r="B14" i="2"/>
  <c r="B13" i="2"/>
  <c r="B12" i="2"/>
  <c r="B23" i="2"/>
  <c r="B7" i="2"/>
  <c r="B10" i="2"/>
  <c r="B21" i="2"/>
  <c r="B5" i="2"/>
  <c r="B6" i="2"/>
  <c r="M22" i="4"/>
  <c r="AB18" i="1" l="1"/>
  <c r="Q5" i="2" l="1"/>
  <c r="Q6" i="2"/>
  <c r="Q6" i="4"/>
  <c r="Q5" i="4"/>
  <c r="Q9" i="4" l="1"/>
  <c r="F9" i="4" l="1"/>
  <c r="D9" i="4" s="1"/>
  <c r="E9" i="4" s="1"/>
  <c r="H9" i="4" l="1"/>
  <c r="B8" i="4"/>
  <c r="J8" i="4" s="1"/>
  <c r="B16" i="4"/>
  <c r="B14" i="4"/>
  <c r="B5" i="4"/>
  <c r="B20" i="4"/>
  <c r="B7" i="4"/>
  <c r="B15" i="4"/>
  <c r="B18" i="4"/>
  <c r="B13" i="4"/>
  <c r="J13" i="4" s="1"/>
  <c r="B17" i="4"/>
  <c r="B19" i="4"/>
  <c r="B11" i="4"/>
  <c r="J11" i="4" s="1"/>
  <c r="B6" i="4"/>
  <c r="J6" i="4" s="1"/>
  <c r="B12" i="4"/>
  <c r="J12" i="4" s="1"/>
  <c r="B10" i="4"/>
  <c r="J10" i="4" s="1"/>
  <c r="G6" i="4"/>
  <c r="G8" i="4"/>
  <c r="G5" i="4"/>
  <c r="G7" i="4"/>
  <c r="J7" i="4" l="1"/>
  <c r="K7" i="4" s="1"/>
  <c r="J5" i="4"/>
  <c r="K5" i="4" s="1"/>
  <c r="K16" i="4"/>
  <c r="K11" i="4"/>
  <c r="K10" i="4"/>
  <c r="K8" i="4"/>
  <c r="K6" i="4"/>
  <c r="K13" i="4"/>
  <c r="K12" i="4"/>
  <c r="AB16" i="1" l="1"/>
  <c r="F14" i="2" l="1"/>
  <c r="Q14" i="2" s="1"/>
  <c r="F15" i="2"/>
  <c r="Q15" i="2" s="1"/>
  <c r="F17" i="2" l="1"/>
  <c r="D17" i="2" l="1"/>
  <c r="Q17" i="2"/>
  <c r="U15" i="4"/>
  <c r="U14" i="4"/>
  <c r="O17" i="2" l="1"/>
  <c r="F23" i="2"/>
  <c r="Q23" i="2" s="1"/>
  <c r="F21" i="2"/>
  <c r="Q21" i="2" s="1"/>
  <c r="F20" i="2"/>
  <c r="Q20" i="2" s="1"/>
  <c r="F19" i="2"/>
  <c r="Q19" i="2" s="1"/>
  <c r="F18" i="2"/>
  <c r="Q18" i="2" l="1"/>
  <c r="D24" i="2"/>
  <c r="O24" i="2" l="1"/>
  <c r="U19" i="4"/>
  <c r="U18" i="4"/>
  <c r="U20" i="4"/>
  <c r="F24" i="2"/>
  <c r="F9" i="2"/>
  <c r="E14" i="2" l="1"/>
  <c r="Q9" i="2"/>
  <c r="D9" i="2"/>
  <c r="O9" i="2" s="1"/>
  <c r="G17" i="2"/>
  <c r="E17" i="2"/>
  <c r="E24" i="2"/>
  <c r="G24" i="2"/>
  <c r="Q24" i="2"/>
  <c r="M23" i="2"/>
  <c r="M7" i="2"/>
  <c r="M21" i="2"/>
  <c r="M13" i="2"/>
  <c r="M16" i="2"/>
  <c r="M20" i="2"/>
  <c r="M19" i="2"/>
  <c r="M18" i="2"/>
  <c r="M8" i="2"/>
  <c r="M12" i="2"/>
  <c r="M14" i="2"/>
  <c r="M11" i="2"/>
  <c r="M10" i="2"/>
  <c r="O9" i="4"/>
  <c r="M16" i="4"/>
  <c r="P16" i="4" l="1"/>
  <c r="M5" i="2"/>
  <c r="K16" i="2"/>
  <c r="M6" i="2"/>
  <c r="J12" i="2"/>
  <c r="J20" i="2"/>
  <c r="J21" i="2"/>
  <c r="J23" i="2"/>
  <c r="J18" i="2"/>
  <c r="J19" i="2"/>
  <c r="J14" i="2"/>
  <c r="J11" i="2"/>
  <c r="J10" i="2"/>
  <c r="J7" i="2"/>
  <c r="J8" i="2"/>
  <c r="J13" i="2"/>
  <c r="J6" i="2"/>
  <c r="M5" i="4"/>
  <c r="M11" i="4"/>
  <c r="M6" i="4"/>
  <c r="M12" i="4"/>
  <c r="M19" i="4"/>
  <c r="M23" i="4"/>
  <c r="M8" i="4"/>
  <c r="M20" i="4"/>
  <c r="M14" i="4"/>
  <c r="M13" i="4"/>
  <c r="M10" i="4"/>
  <c r="M21" i="4"/>
  <c r="M18" i="4"/>
  <c r="M7" i="4"/>
  <c r="S5" i="4" l="1"/>
  <c r="V5" i="4" s="1"/>
  <c r="R5" i="4"/>
  <c r="M24" i="4"/>
  <c r="M9" i="4"/>
  <c r="R7" i="4"/>
  <c r="R8" i="4"/>
  <c r="R6" i="4"/>
  <c r="S16" i="4"/>
  <c r="S12" i="4"/>
  <c r="S10" i="4"/>
  <c r="S11" i="4"/>
  <c r="S7" i="4"/>
  <c r="V7" i="4" s="1"/>
  <c r="S13" i="4"/>
  <c r="S8" i="4"/>
  <c r="V8" i="4" s="1"/>
  <c r="S6" i="4"/>
  <c r="V6" i="4" s="1"/>
  <c r="K21" i="2"/>
  <c r="K20" i="2"/>
  <c r="K13" i="2"/>
  <c r="K6" i="2"/>
  <c r="K10" i="2"/>
  <c r="K8" i="2"/>
  <c r="K23" i="2"/>
  <c r="K18" i="2"/>
  <c r="K11" i="2"/>
  <c r="K14" i="2"/>
  <c r="K12" i="2"/>
  <c r="K7" i="2"/>
  <c r="K19" i="2"/>
  <c r="H15" i="1"/>
  <c r="H17" i="1" s="1"/>
  <c r="T5" i="4" l="1"/>
  <c r="T16" i="4"/>
  <c r="T7" i="4"/>
  <c r="T6" i="4"/>
  <c r="T11" i="4"/>
  <c r="T8" i="4"/>
  <c r="T10" i="4"/>
  <c r="T13" i="4"/>
  <c r="T12" i="4"/>
  <c r="N24" i="4"/>
  <c r="N5" i="4"/>
  <c r="N8" i="4"/>
  <c r="N7" i="4"/>
  <c r="N6" i="4"/>
  <c r="AB13" i="1" l="1"/>
  <c r="AB12" i="1"/>
  <c r="AB11" i="1"/>
  <c r="AB10" i="1"/>
  <c r="AB8" i="1"/>
  <c r="AB7" i="1"/>
  <c r="AB6" i="1"/>
  <c r="AB5" i="1"/>
  <c r="D15" i="1"/>
  <c r="B15" i="2" l="1"/>
  <c r="M15" i="2" s="1"/>
  <c r="D17" i="1"/>
  <c r="X15" i="1"/>
  <c r="X17" i="1" s="1"/>
  <c r="L15" i="1"/>
  <c r="L17" i="1" s="1"/>
  <c r="J15" i="1"/>
  <c r="J17" i="1" s="1"/>
  <c r="M15" i="4"/>
  <c r="J15" i="2" l="1"/>
  <c r="M17" i="4"/>
  <c r="K15" i="2"/>
  <c r="N17" i="4" l="1"/>
  <c r="N10" i="4"/>
  <c r="N16" i="4"/>
  <c r="N14" i="4"/>
  <c r="N13" i="4"/>
  <c r="N12" i="4"/>
  <c r="N11" i="4"/>
  <c r="N15" i="4"/>
  <c r="V24" i="1" l="1"/>
  <c r="X24" i="1"/>
  <c r="Z24" i="1"/>
  <c r="J24" i="1"/>
  <c r="L24" i="1"/>
  <c r="N24" i="1"/>
  <c r="P24" i="1"/>
  <c r="R24" i="1"/>
  <c r="T24" i="1"/>
  <c r="Z9" i="1" l="1"/>
  <c r="X9" i="1"/>
  <c r="Y8" i="1" l="1"/>
  <c r="Y7" i="1"/>
  <c r="AA7" i="1"/>
  <c r="AA6" i="1"/>
  <c r="AA5" i="1"/>
  <c r="AA8" i="1"/>
  <c r="Y24" i="1"/>
  <c r="AA24" i="1"/>
  <c r="Y17" i="1"/>
  <c r="B17" i="2"/>
  <c r="AA17" i="1"/>
  <c r="D9" i="1"/>
  <c r="V9" i="1"/>
  <c r="R9" i="1"/>
  <c r="N9" i="1"/>
  <c r="J9" i="1"/>
  <c r="T9" i="1"/>
  <c r="P9" i="1"/>
  <c r="L9" i="1"/>
  <c r="H9" i="1"/>
  <c r="F9" i="1"/>
  <c r="B9" i="4" l="1"/>
  <c r="B9" i="2"/>
  <c r="M9" i="2" s="1"/>
  <c r="M17" i="2"/>
  <c r="J17" i="2"/>
  <c r="S8" i="1"/>
  <c r="S7" i="1"/>
  <c r="O7" i="1"/>
  <c r="O8" i="1"/>
  <c r="W7" i="1"/>
  <c r="W8" i="1"/>
  <c r="G8" i="1"/>
  <c r="G7" i="1"/>
  <c r="I7" i="1"/>
  <c r="I8" i="1"/>
  <c r="AB9" i="1"/>
  <c r="E8" i="1"/>
  <c r="E7" i="1"/>
  <c r="AB17" i="1"/>
  <c r="Q7" i="1"/>
  <c r="Q8" i="1"/>
  <c r="M8" i="1"/>
  <c r="M7" i="1"/>
  <c r="U7" i="1"/>
  <c r="U8" i="1"/>
  <c r="K8" i="1"/>
  <c r="K7" i="1"/>
  <c r="I17" i="1"/>
  <c r="Q24" i="1"/>
  <c r="W24" i="1"/>
  <c r="U17" i="1"/>
  <c r="U24" i="1"/>
  <c r="O17" i="1"/>
  <c r="O24" i="1"/>
  <c r="G17" i="1"/>
  <c r="K17" i="1"/>
  <c r="K24" i="1"/>
  <c r="S17" i="1"/>
  <c r="S24" i="1"/>
  <c r="E17" i="1"/>
  <c r="M17" i="1"/>
  <c r="M24" i="1"/>
  <c r="W17" i="1"/>
  <c r="Q17" i="1"/>
  <c r="C7" i="2" l="1"/>
  <c r="C6" i="2"/>
  <c r="C8" i="2"/>
  <c r="C17" i="2"/>
  <c r="C5" i="2"/>
  <c r="C6" i="4"/>
  <c r="J9" i="4"/>
  <c r="K9" i="4" s="1"/>
  <c r="C7" i="4"/>
  <c r="C5" i="4"/>
  <c r="C17" i="4"/>
  <c r="C8" i="4"/>
  <c r="J9" i="2"/>
  <c r="K9" i="2" s="1"/>
  <c r="S9" i="4"/>
  <c r="K17" i="2"/>
  <c r="AC5" i="1"/>
  <c r="AC6" i="1"/>
  <c r="AC7" i="1"/>
  <c r="AC8" i="1"/>
  <c r="AC11" i="1"/>
  <c r="AC13" i="1"/>
  <c r="AC10" i="1"/>
  <c r="AC17" i="1"/>
  <c r="AC12" i="1"/>
  <c r="T9" i="4" l="1"/>
  <c r="H24" i="1"/>
  <c r="F24" i="1"/>
  <c r="B24" i="4" s="1"/>
  <c r="D24" i="1"/>
  <c r="B24" i="2" s="1"/>
  <c r="M24" i="2" l="1"/>
  <c r="J24" i="2"/>
  <c r="AB24" i="1"/>
  <c r="AC24" i="1" s="1"/>
  <c r="E24" i="1"/>
  <c r="I24" i="1"/>
  <c r="G24" i="1"/>
  <c r="K24" i="2" l="1"/>
  <c r="J5" i="2" l="1"/>
  <c r="K5" i="2" l="1"/>
  <c r="F22" i="4" l="1"/>
  <c r="Q22" i="4"/>
  <c r="V22" i="4" l="1"/>
  <c r="S22" i="4"/>
  <c r="T22" i="4" s="1"/>
  <c r="H22" i="4"/>
  <c r="J22" i="4"/>
  <c r="K22" i="4" s="1"/>
  <c r="F15" i="4" l="1"/>
  <c r="Q15" i="4"/>
  <c r="S15" i="4" l="1"/>
  <c r="T15" i="4" s="1"/>
  <c r="V15" i="4"/>
  <c r="I15" i="4"/>
  <c r="H15" i="4"/>
  <c r="J15" i="4"/>
  <c r="K15" i="4" s="1"/>
  <c r="F23" i="4" l="1"/>
  <c r="Q23" i="4"/>
  <c r="U23" i="4" l="1"/>
  <c r="V23" i="4" s="1"/>
  <c r="S23" i="4"/>
  <c r="T23" i="4" s="1"/>
  <c r="P23" i="4"/>
  <c r="H23" i="4"/>
  <c r="J23" i="4"/>
  <c r="K23" i="4" s="1"/>
  <c r="F19" i="4" l="1"/>
  <c r="Q19" i="4"/>
  <c r="V19" i="4" l="1"/>
  <c r="S19" i="4"/>
  <c r="T19" i="4" s="1"/>
  <c r="H19" i="4"/>
  <c r="J19" i="4"/>
  <c r="K19" i="4" s="1"/>
  <c r="F20" i="4"/>
  <c r="Q20" i="4"/>
  <c r="V20" i="4" l="1"/>
  <c r="S20" i="4"/>
  <c r="T20" i="4" s="1"/>
  <c r="J20" i="4"/>
  <c r="K20" i="4" s="1"/>
  <c r="H20" i="4"/>
  <c r="F21" i="4" l="1"/>
  <c r="Q21" i="4"/>
  <c r="S21" i="4" l="1"/>
  <c r="T21" i="4" s="1"/>
  <c r="J21" i="4"/>
  <c r="K21" i="4" s="1"/>
  <c r="H21" i="4"/>
  <c r="U21" i="4"/>
  <c r="V21" i="4" s="1"/>
  <c r="U24" i="4" l="1"/>
  <c r="F18" i="4"/>
  <c r="Q18" i="4"/>
  <c r="V18" i="4" l="1"/>
  <c r="S18" i="4"/>
  <c r="T18" i="4" s="1"/>
  <c r="O24" i="4"/>
  <c r="Q24" i="4"/>
  <c r="H18" i="4"/>
  <c r="J18" i="4"/>
  <c r="K18" i="4" s="1"/>
  <c r="D24" i="4"/>
  <c r="F24" i="4"/>
  <c r="E24" i="4" l="1"/>
  <c r="S24" i="4"/>
  <c r="T24" i="4" s="1"/>
  <c r="R24" i="4"/>
  <c r="P24" i="4"/>
  <c r="J24" i="4"/>
  <c r="K24" i="4" s="1"/>
  <c r="C24" i="4"/>
  <c r="C24" i="2"/>
  <c r="G24" i="4"/>
  <c r="H24" i="4"/>
  <c r="I24" i="4" s="1"/>
  <c r="F14" i="4"/>
  <c r="Q14" i="4"/>
  <c r="V14" i="4" l="1"/>
  <c r="S14" i="4"/>
  <c r="T14" i="4" s="1"/>
  <c r="J14" i="4"/>
  <c r="K14" i="4" s="1"/>
  <c r="H14" i="4"/>
  <c r="I14" i="4"/>
  <c r="F17" i="4"/>
  <c r="Q17" i="4"/>
  <c r="S17" i="4" l="1"/>
  <c r="T17" i="4" s="1"/>
  <c r="R17" i="4"/>
  <c r="G17" i="4"/>
  <c r="J17" i="4"/>
  <c r="K17" i="4" s="1"/>
  <c r="D17" i="4"/>
  <c r="O17" i="4"/>
  <c r="P17" i="4" l="1"/>
  <c r="H17" i="4"/>
  <c r="I17" i="4" s="1"/>
  <c r="E17" i="4"/>
</calcChain>
</file>

<file path=xl/connections.xml><?xml version="1.0" encoding="utf-8"?>
<connections xmlns="http://schemas.openxmlformats.org/spreadsheetml/2006/main">
  <connection id="1" keepAlive="1" name="Requête - Append1" description="Connexion à la requête « Append1 » dans le classeur." type="5" refreshedVersion="6" background="1" saveData="1">
    <dbPr connection="Provider=Microsoft.Mashup.OleDb.1;Data Source=$Workbook$;Location=Append1;Extended Properties=&quot;&quot;" command="SELECT * FROM [Append1]"/>
  </connection>
  <connection id="2" name="Requête - TBCP" description="Connexion à la requête « TBCP » dans le classeur." type="100" refreshedVersion="6" minRefreshableVersion="5">
    <extLst>
      <ext xmlns:x15="http://schemas.microsoft.com/office/spreadsheetml/2010/11/main" uri="{DE250136-89BD-433C-8126-D09CA5730AF9}">
        <x15:connection id="4af189db-8c5e-42f0-936a-91e5d9f743b3"/>
      </ext>
    </extLst>
  </connection>
  <connection id="3" name="Requête - TBP" description="Connexion à la requête « TBP » dans le classeur." type="100" refreshedVersion="6" minRefreshableVersion="5">
    <extLst>
      <ext xmlns:x15="http://schemas.microsoft.com/office/spreadsheetml/2010/11/main" uri="{DE250136-89BD-433C-8126-D09CA5730AF9}">
        <x15:connection id="50e5fdb3-34f9-4769-aadd-e3508421e359"/>
      </ext>
    </extLst>
  </connection>
  <connection id="4" name="Requête - TBRED" description="Connexion à la requête « TBRED » dans le classeur." type="100" refreshedVersion="6" minRefreshableVersion="5">
    <extLst>
      <ext xmlns:x15="http://schemas.microsoft.com/office/spreadsheetml/2010/11/main" uri="{DE250136-89BD-433C-8126-D09CA5730AF9}">
        <x15:connection id="26688dce-f950-48ab-855d-8d281277832e"/>
      </ext>
    </extLst>
  </connection>
  <connection id="5" name="Requête - TCDN" description="Connexion à la requête « TCDN » dans le classeur." type="100" refreshedVersion="6" minRefreshableVersion="5">
    <extLst>
      <ext xmlns:x15="http://schemas.microsoft.com/office/spreadsheetml/2010/11/main" uri="{DE250136-89BD-433C-8126-D09CA5730AF9}">
        <x15:connection id="5141d9d6-df6b-46a9-a0b1-a9b4d479145b"/>
      </ext>
    </extLst>
  </connection>
  <connection id="6" name="Requête - TPALATINE" description="Connexion à la requête « TPALATINE » dans le classeur." type="100" refreshedVersion="6" minRefreshableVersion="5">
    <extLst>
      <ext xmlns:x15="http://schemas.microsoft.com/office/spreadsheetml/2010/11/main" uri="{DE250136-89BD-433C-8126-D09CA5730AF9}">
        <x15:connection id="37104cd4-a433-4498-b777-326dc171d68f"/>
      </ext>
    </extLst>
  </connection>
  <connection id="7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<sst xmlns="http://schemas.openxmlformats.org/spreadsheetml/2006/main" count="3522" uniqueCount="123">
  <si>
    <t>PERSONNEL</t>
  </si>
  <si>
    <t>X</t>
  </si>
  <si>
    <t>MARGE BRUTE</t>
  </si>
  <si>
    <t>CA TOTAL</t>
  </si>
  <si>
    <t>RFA Reversées N-1</t>
  </si>
  <si>
    <t>TOTAL</t>
  </si>
  <si>
    <t>Poids 1</t>
  </si>
  <si>
    <t>Poids 2</t>
  </si>
  <si>
    <t>Poids 3</t>
  </si>
  <si>
    <t>Poids 4</t>
  </si>
  <si>
    <t>Poids 5</t>
  </si>
  <si>
    <t>Poids 6</t>
  </si>
  <si>
    <t>Poids 7</t>
  </si>
  <si>
    <t>Poids 8</t>
  </si>
  <si>
    <t>Poids 9</t>
  </si>
  <si>
    <t>Poids 10</t>
  </si>
  <si>
    <t>Poids 11</t>
  </si>
  <si>
    <t>Poids 12</t>
  </si>
  <si>
    <t>% Poids</t>
  </si>
  <si>
    <t>CATEGORIES</t>
  </si>
  <si>
    <t>CUMUL</t>
  </si>
  <si>
    <t>Réel</t>
  </si>
  <si>
    <t>ECART</t>
  </si>
  <si>
    <t>Ventes de matériaux Livré</t>
  </si>
  <si>
    <t>Ventes de matériaux Direct</t>
  </si>
  <si>
    <t>Ventes de matériaux Enlevé</t>
  </si>
  <si>
    <t>Ventes de matériaux Franco</t>
  </si>
  <si>
    <t>Marge matériaux Direct</t>
  </si>
  <si>
    <t>Marge matériaux Enlevé</t>
  </si>
  <si>
    <t>Marge matériaux Franco</t>
  </si>
  <si>
    <t>Marge matériaux Livré</t>
  </si>
  <si>
    <t>TVA</t>
  </si>
  <si>
    <t>%</t>
  </si>
  <si>
    <t>MENSUEL</t>
  </si>
  <si>
    <t>Date</t>
  </si>
  <si>
    <t>Mode</t>
  </si>
  <si>
    <t>Date Pièce</t>
  </si>
  <si>
    <t>Emetteur</t>
  </si>
  <si>
    <t>Catégorie</t>
  </si>
  <si>
    <t>Montant</t>
  </si>
  <si>
    <t>Sens</t>
  </si>
  <si>
    <t>Rap.</t>
  </si>
  <si>
    <t>Prélvmt</t>
  </si>
  <si>
    <t>Téléphonie</t>
  </si>
  <si>
    <t>D</t>
  </si>
  <si>
    <t>Virmt</t>
  </si>
  <si>
    <t>Client</t>
  </si>
  <si>
    <t>C</t>
  </si>
  <si>
    <t>Frais Bancaire</t>
  </si>
  <si>
    <t>Abonnement</t>
  </si>
  <si>
    <t>Assurance</t>
  </si>
  <si>
    <t>Prêt Travaux</t>
  </si>
  <si>
    <t>Prêt Trésorerie</t>
  </si>
  <si>
    <t>Fournisseur</t>
  </si>
  <si>
    <t>Transport</t>
  </si>
  <si>
    <t>Salaire</t>
  </si>
  <si>
    <t>Virement</t>
  </si>
  <si>
    <t>Flotte Camion</t>
  </si>
  <si>
    <t>LCR dir. Esc.</t>
  </si>
  <si>
    <t>LCR Esc.</t>
  </si>
  <si>
    <t>LCR dir. Encais.</t>
  </si>
  <si>
    <t>LCR Encais.</t>
  </si>
  <si>
    <t>Assurance Crédit</t>
  </si>
  <si>
    <t>Charges GDS</t>
  </si>
  <si>
    <t>C. Bail Chariot</t>
  </si>
  <si>
    <t xml:space="preserve">Charges SCI </t>
  </si>
  <si>
    <t>Bureautique</t>
  </si>
  <si>
    <t>Chèque</t>
  </si>
  <si>
    <t>Entretien</t>
  </si>
  <si>
    <t>Prêt Equipement</t>
  </si>
  <si>
    <t>Flotte Renault</t>
  </si>
  <si>
    <t>Service Externe</t>
  </si>
  <si>
    <t>Loyer SCI</t>
  </si>
  <si>
    <t>Informatique</t>
  </si>
  <si>
    <t>Dépôt</t>
  </si>
  <si>
    <t>Cotisation</t>
  </si>
  <si>
    <t>C. Bancaire</t>
  </si>
  <si>
    <t>Frais Déplacement</t>
  </si>
  <si>
    <t>BFA</t>
  </si>
  <si>
    <t>Frais de Route</t>
  </si>
  <si>
    <t>Alcool &amp; Spiritueux</t>
  </si>
  <si>
    <t xml:space="preserve">BFA N-1 </t>
  </si>
  <si>
    <t>Escomptes Clients</t>
  </si>
  <si>
    <t>R2018</t>
  </si>
  <si>
    <t>B2019</t>
  </si>
  <si>
    <t>R/B</t>
  </si>
  <si>
    <t>R19/18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</si>
  <si>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</si>
  <si>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</si>
  <si>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</si>
  <si>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</si>
  <si>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</si>
  <si>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</si>
  <si>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</si>
  <si>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</si>
  <si>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</si>
  <si>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</si>
  <si>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</si>
  <si>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</si>
  <si>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Salaires</t>
  </si>
  <si>
    <t>Charge Salaire URSSAF</t>
  </si>
  <si>
    <t>Charge Salaire Retraite</t>
  </si>
  <si>
    <t>Charge Salaire Prévoyance</t>
  </si>
  <si>
    <t>Charge Salaire Mutuelle</t>
  </si>
  <si>
    <t>Budget</t>
  </si>
  <si>
    <t>Medecine Travail</t>
  </si>
  <si>
    <t>Espèce</t>
  </si>
  <si>
    <t>Travaux</t>
  </si>
  <si>
    <t>Frais bancaire</t>
  </si>
  <si>
    <t>///</t>
  </si>
  <si>
    <t>R19/2018</t>
  </si>
  <si>
    <t>%R/CA</t>
  </si>
  <si>
    <t>Reel/Budg.</t>
  </si>
  <si>
    <t>%R/B</t>
  </si>
  <si>
    <t>Reel/2018</t>
  </si>
  <si>
    <t>%R/18</t>
  </si>
  <si>
    <t>%R18</t>
  </si>
  <si>
    <t>%B19</t>
  </si>
  <si>
    <t>%R/CAC</t>
  </si>
  <si>
    <t>%B/CA</t>
  </si>
  <si>
    <t>%M/CA</t>
  </si>
  <si>
    <t>%19/18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</si>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</sst>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C]mmm\-yy;@"/>
    <numFmt numFmtId="165" formatCode="#,##0\ &quot;€&quot;"/>
    <numFmt numFmtId="166" formatCode="0.0%"/>
  </numFmts>
  <fonts count="4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8"/>
      <name val="Arial"/>
      <family val="2"/>
    </font>
    <font>
      <sz val="10"/>
      <color theme="1"/>
      <name val="Calibri"/>
      <family val="2"/>
      <scheme val="minor"/>
    </font>
    <font>
      <sz val="12"/>
      <color theme="4" tint="-0.249977111117893"/>
      <name val="Arial"/>
      <family val="2"/>
    </font>
    <font>
      <sz val="11"/>
      <color theme="4" tint="-0.249977111117893"/>
      <name val="Calibri"/>
      <family val="2"/>
      <scheme val="minor"/>
    </font>
    <font>
      <i/>
      <sz val="9"/>
      <color theme="5" tint="-0.249977111117893"/>
      <name val="Calibri"/>
      <family val="2"/>
      <scheme val="minor"/>
    </font>
    <font>
      <b/>
      <sz val="12"/>
      <color theme="0"/>
      <name val="Arial"/>
      <family val="2"/>
    </font>
    <font>
      <b/>
      <i/>
      <sz val="10"/>
      <color theme="5" tint="-0.249977111117893"/>
      <name val="Calibri"/>
      <family val="2"/>
      <scheme val="minor"/>
    </font>
    <font>
      <b/>
      <i/>
      <sz val="10"/>
      <color theme="3" tint="0.3999755851924192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9"/>
      <color theme="3" tint="0.39997558519241921"/>
      <name val="Calibri"/>
      <family val="2"/>
      <scheme val="minor"/>
    </font>
    <font>
      <b/>
      <i/>
      <sz val="10"/>
      <color theme="4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9"/>
      <color theme="3" tint="0.39997558519241921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name val="Calibri"/>
      <family val="2"/>
      <scheme val="minor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sz val="12"/>
      <color theme="9" tint="-0.249977111117893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9"/>
      <color theme="0"/>
      <name val="Calibri"/>
      <family val="2"/>
      <scheme val="minor"/>
    </font>
    <font>
      <i/>
      <sz val="11"/>
      <color theme="9" tint="-0.249977111117893"/>
      <name val="Calibri"/>
      <family val="2"/>
      <scheme val="minor"/>
    </font>
    <font>
      <i/>
      <sz val="11"/>
      <name val="Calibri"/>
      <family val="2"/>
      <scheme val="minor"/>
    </font>
    <font>
      <i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i/>
      <sz val="10"/>
      <name val="Calibri"/>
      <family val="2"/>
      <scheme val="minor"/>
    </font>
    <font>
      <i/>
      <sz val="12"/>
      <color theme="4" tint="-0.249977111117893"/>
      <name val="Calibri"/>
      <family val="2"/>
      <scheme val="minor"/>
    </font>
    <font>
      <b/>
      <i/>
      <sz val="12"/>
      <color theme="5" tint="-0.249977111117893"/>
      <name val="Calibri"/>
      <family val="2"/>
      <scheme val="minor"/>
    </font>
    <font>
      <b/>
      <i/>
      <sz val="12"/>
      <color theme="9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2"/>
      <color theme="1" tint="0.24994659260841701"/>
      <name val="Calibri"/>
      <family val="2"/>
      <scheme val="minor"/>
    </font>
    <font>
      <b/>
      <sz val="14"/>
      <color theme="7" tint="-0.49998474074526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9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 style="thick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theme="4" tint="-0.499984740745262"/>
      </right>
      <top style="double">
        <color theme="4" tint="-0.499984740745262"/>
      </top>
      <bottom/>
      <diagonal/>
    </border>
    <border>
      <left/>
      <right style="double">
        <color theme="4" tint="-0.499984740745262"/>
      </right>
      <top/>
      <bottom/>
      <diagonal/>
    </border>
    <border>
      <left style="double">
        <color theme="4" tint="-0.499984740745262"/>
      </left>
      <right style="hair">
        <color theme="4" tint="-0.499984740745262"/>
      </right>
      <top style="double">
        <color theme="4" tint="-0.499984740745262"/>
      </top>
      <bottom/>
      <diagonal/>
    </border>
    <border>
      <left style="double">
        <color theme="4" tint="-0.499984740745262"/>
      </left>
      <right style="hair">
        <color theme="4" tint="-0.499984740745262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</borders>
  <cellStyleXfs count="2">
    <xf numFmtId="0" fontId="0" fillId="0" borderId="0"/>
    <xf numFmtId="0" fontId="47" fillId="0" borderId="0" applyNumberFormat="0" applyFill="0" applyAlignment="0" applyProtection="0"/>
  </cellStyleXfs>
  <cellXfs count="209">
    <xf numFmtId="0" fontId="0" fillId="0" borderId="0" xfId="0"/>
    <xf numFmtId="165" fontId="0" fillId="0" borderId="0" xfId="0" applyNumberFormat="1"/>
    <xf numFmtId="10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 applyBorder="1"/>
    <xf numFmtId="0" fontId="7" fillId="3" borderId="1" xfId="0" applyFont="1" applyFill="1" applyBorder="1" applyAlignment="1">
      <alignment vertical="center"/>
    </xf>
    <xf numFmtId="165" fontId="3" fillId="0" borderId="0" xfId="0" applyNumberFormat="1" applyFont="1" applyBorder="1"/>
    <xf numFmtId="166" fontId="6" fillId="0" borderId="0" xfId="0" applyNumberFormat="1" applyFont="1" applyBorder="1"/>
    <xf numFmtId="0" fontId="0" fillId="0" borderId="0" xfId="0" applyBorder="1"/>
    <xf numFmtId="0" fontId="1" fillId="0" borderId="4" xfId="0" applyFont="1" applyFill="1" applyBorder="1" applyAlignment="1">
      <alignment horizontal="left" vertical="center" indent="1"/>
    </xf>
    <xf numFmtId="0" fontId="7" fillId="4" borderId="1" xfId="0" applyFont="1" applyFill="1" applyBorder="1" applyAlignment="1">
      <alignment vertical="center"/>
    </xf>
    <xf numFmtId="165" fontId="10" fillId="3" borderId="1" xfId="0" applyNumberFormat="1" applyFont="1" applyFill="1" applyBorder="1"/>
    <xf numFmtId="166" fontId="8" fillId="2" borderId="1" xfId="0" applyNumberFormat="1" applyFont="1" applyFill="1" applyBorder="1" applyAlignment="1">
      <alignment horizontal="center"/>
    </xf>
    <xf numFmtId="166" fontId="12" fillId="2" borderId="1" xfId="0" applyNumberFormat="1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 vertical="center"/>
    </xf>
    <xf numFmtId="165" fontId="0" fillId="0" borderId="10" xfId="0" applyNumberFormat="1" applyBorder="1"/>
    <xf numFmtId="166" fontId="11" fillId="0" borderId="10" xfId="0" applyNumberFormat="1" applyFont="1" applyFill="1" applyBorder="1" applyAlignment="1">
      <alignment horizontal="right"/>
    </xf>
    <xf numFmtId="166" fontId="11" fillId="0" borderId="11" xfId="0" applyNumberFormat="1" applyFont="1" applyFill="1" applyBorder="1" applyAlignment="1">
      <alignment horizontal="right"/>
    </xf>
    <xf numFmtId="0" fontId="1" fillId="0" borderId="12" xfId="0" applyFont="1" applyFill="1" applyBorder="1" applyAlignment="1">
      <alignment horizontal="center" vertical="center"/>
    </xf>
    <xf numFmtId="165" fontId="0" fillId="0" borderId="13" xfId="0" applyNumberFormat="1" applyBorder="1"/>
    <xf numFmtId="166" fontId="11" fillId="0" borderId="13" xfId="0" applyNumberFormat="1" applyFont="1" applyFill="1" applyBorder="1" applyAlignment="1">
      <alignment horizontal="right"/>
    </xf>
    <xf numFmtId="166" fontId="11" fillId="0" borderId="14" xfId="0" applyNumberFormat="1" applyFont="1" applyFill="1" applyBorder="1" applyAlignment="1">
      <alignment horizontal="right"/>
    </xf>
    <xf numFmtId="0" fontId="0" fillId="0" borderId="17" xfId="0" applyBorder="1"/>
    <xf numFmtId="165" fontId="4" fillId="2" borderId="20" xfId="0" applyNumberFormat="1" applyFont="1" applyFill="1" applyBorder="1" applyAlignment="1">
      <alignment horizontal="center" vertical="center"/>
    </xf>
    <xf numFmtId="165" fontId="5" fillId="2" borderId="21" xfId="0" applyNumberFormat="1" applyFont="1" applyFill="1" applyBorder="1" applyAlignment="1">
      <alignment horizontal="right"/>
    </xf>
    <xf numFmtId="165" fontId="5" fillId="2" borderId="21" xfId="0" applyNumberFormat="1" applyFont="1" applyFill="1" applyBorder="1"/>
    <xf numFmtId="165" fontId="0" fillId="2" borderId="22" xfId="0" applyNumberFormat="1" applyFill="1" applyBorder="1"/>
    <xf numFmtId="165" fontId="3" fillId="0" borderId="10" xfId="0" applyNumberFormat="1" applyFont="1" applyBorder="1"/>
    <xf numFmtId="166" fontId="6" fillId="0" borderId="10" xfId="0" applyNumberFormat="1" applyFont="1" applyBorder="1"/>
    <xf numFmtId="166" fontId="6" fillId="0" borderId="11" xfId="0" applyNumberFormat="1" applyFont="1" applyBorder="1"/>
    <xf numFmtId="165" fontId="3" fillId="0" borderId="13" xfId="0" applyNumberFormat="1" applyFont="1" applyBorder="1"/>
    <xf numFmtId="166" fontId="6" fillId="0" borderId="13" xfId="0" applyNumberFormat="1" applyFont="1" applyBorder="1"/>
    <xf numFmtId="166" fontId="6" fillId="0" borderId="14" xfId="0" applyNumberFormat="1" applyFont="1" applyBorder="1"/>
    <xf numFmtId="0" fontId="0" fillId="0" borderId="13" xfId="0" applyBorder="1"/>
    <xf numFmtId="10" fontId="0" fillId="0" borderId="13" xfId="0" applyNumberFormat="1" applyBorder="1"/>
    <xf numFmtId="0" fontId="0" fillId="0" borderId="14" xfId="0" applyBorder="1"/>
    <xf numFmtId="165" fontId="3" fillId="0" borderId="13" xfId="0" applyNumberFormat="1" applyFont="1" applyFill="1" applyBorder="1"/>
    <xf numFmtId="165" fontId="3" fillId="0" borderId="16" xfId="0" applyNumberFormat="1" applyFont="1" applyBorder="1"/>
    <xf numFmtId="10" fontId="0" fillId="0" borderId="16" xfId="0" applyNumberFormat="1" applyBorder="1"/>
    <xf numFmtId="0" fontId="0" fillId="0" borderId="16" xfId="0" applyBorder="1"/>
    <xf numFmtId="0" fontId="1" fillId="0" borderId="18" xfId="0" applyFont="1" applyFill="1" applyBorder="1" applyAlignment="1">
      <alignment horizontal="left" indent="1"/>
    </xf>
    <xf numFmtId="0" fontId="1" fillId="0" borderId="4" xfId="0" applyFont="1" applyFill="1" applyBorder="1" applyAlignment="1">
      <alignment horizontal="left" indent="1"/>
    </xf>
    <xf numFmtId="166" fontId="8" fillId="2" borderId="21" xfId="0" applyNumberFormat="1" applyFont="1" applyFill="1" applyBorder="1" applyAlignment="1">
      <alignment horizontal="center"/>
    </xf>
    <xf numFmtId="166" fontId="8" fillId="2" borderId="22" xfId="0" applyNumberFormat="1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165" fontId="0" fillId="0" borderId="16" xfId="0" applyNumberFormat="1" applyBorder="1"/>
    <xf numFmtId="0" fontId="4" fillId="2" borderId="20" xfId="0" applyFont="1" applyFill="1" applyBorder="1" applyAlignment="1">
      <alignment horizontal="center" vertical="center"/>
    </xf>
    <xf numFmtId="166" fontId="9" fillId="2" borderId="21" xfId="0" applyNumberFormat="1" applyFont="1" applyFill="1" applyBorder="1" applyAlignment="1">
      <alignment horizontal="center"/>
    </xf>
    <xf numFmtId="166" fontId="9" fillId="2" borderId="22" xfId="0" applyNumberFormat="1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14" fillId="3" borderId="5" xfId="0" applyFont="1" applyFill="1" applyBorder="1"/>
    <xf numFmtId="164" fontId="0" fillId="3" borderId="6" xfId="0" applyNumberFormat="1" applyFill="1" applyBorder="1" applyAlignment="1">
      <alignment horizontal="center"/>
    </xf>
    <xf numFmtId="165" fontId="0" fillId="0" borderId="19" xfId="0" applyNumberFormat="1" applyBorder="1"/>
    <xf numFmtId="165" fontId="0" fillId="0" borderId="12" xfId="0" applyNumberFormat="1" applyBorder="1"/>
    <xf numFmtId="165" fontId="3" fillId="0" borderId="12" xfId="0" applyNumberFormat="1" applyFont="1" applyBorder="1"/>
    <xf numFmtId="165" fontId="3" fillId="0" borderId="19" xfId="0" applyNumberFormat="1" applyFont="1" applyBorder="1"/>
    <xf numFmtId="166" fontId="18" fillId="0" borderId="2" xfId="0" applyNumberFormat="1" applyFont="1" applyBorder="1"/>
    <xf numFmtId="166" fontId="18" fillId="0" borderId="0" xfId="0" applyNumberFormat="1" applyFont="1" applyBorder="1"/>
    <xf numFmtId="165" fontId="0" fillId="0" borderId="29" xfId="0" applyNumberFormat="1" applyBorder="1"/>
    <xf numFmtId="165" fontId="0" fillId="0" borderId="31" xfId="0" applyNumberFormat="1" applyBorder="1"/>
    <xf numFmtId="165" fontId="3" fillId="0" borderId="31" xfId="0" applyNumberFormat="1" applyFont="1" applyBorder="1"/>
    <xf numFmtId="0" fontId="1" fillId="0" borderId="0" xfId="0" applyFont="1" applyFill="1" applyBorder="1" applyAlignment="1">
      <alignment horizontal="left" vertical="center" indent="1"/>
    </xf>
    <xf numFmtId="0" fontId="1" fillId="0" borderId="3" xfId="0" applyFont="1" applyFill="1" applyBorder="1" applyAlignment="1">
      <alignment horizontal="left" vertical="center" indent="1"/>
    </xf>
    <xf numFmtId="0" fontId="1" fillId="0" borderId="24" xfId="0" applyFont="1" applyFill="1" applyBorder="1" applyAlignment="1">
      <alignment horizontal="left" vertical="center" indent="2"/>
    </xf>
    <xf numFmtId="0" fontId="2" fillId="0" borderId="0" xfId="0" applyFont="1" applyFill="1" applyBorder="1" applyAlignment="1">
      <alignment horizontal="left" vertical="center" indent="3"/>
    </xf>
    <xf numFmtId="0" fontId="1" fillId="0" borderId="3" xfId="0" applyFont="1" applyFill="1" applyBorder="1" applyAlignment="1">
      <alignment horizontal="left" indent="1"/>
    </xf>
    <xf numFmtId="0" fontId="1" fillId="0" borderId="0" xfId="0" applyFont="1" applyFill="1" applyBorder="1" applyAlignment="1">
      <alignment horizontal="left" indent="1"/>
    </xf>
    <xf numFmtId="165" fontId="0" fillId="0" borderId="27" xfId="0" applyNumberFormat="1" applyBorder="1"/>
    <xf numFmtId="0" fontId="0" fillId="0" borderId="0" xfId="0" applyNumberFormat="1"/>
    <xf numFmtId="14" fontId="0" fillId="0" borderId="0" xfId="0" applyNumberFormat="1"/>
    <xf numFmtId="164" fontId="0" fillId="0" borderId="0" xfId="0" applyNumberFormat="1"/>
    <xf numFmtId="0" fontId="2" fillId="0" borderId="0" xfId="0" applyFont="1" applyFill="1" applyBorder="1" applyAlignment="1">
      <alignment horizontal="center" vertical="center"/>
    </xf>
    <xf numFmtId="10" fontId="0" fillId="0" borderId="0" xfId="0" applyNumberFormat="1" applyBorder="1"/>
    <xf numFmtId="165" fontId="3" fillId="0" borderId="4" xfId="0" applyNumberFormat="1" applyFont="1" applyBorder="1"/>
    <xf numFmtId="165" fontId="16" fillId="0" borderId="28" xfId="0" applyNumberFormat="1" applyFont="1" applyBorder="1"/>
    <xf numFmtId="166" fontId="20" fillId="0" borderId="29" xfId="0" applyNumberFormat="1" applyFont="1" applyBorder="1" applyAlignment="1">
      <alignment horizontal="right"/>
    </xf>
    <xf numFmtId="0" fontId="16" fillId="0" borderId="28" xfId="0" applyFont="1" applyBorder="1"/>
    <xf numFmtId="165" fontId="16" fillId="0" borderId="29" xfId="0" applyNumberFormat="1" applyFont="1" applyBorder="1"/>
    <xf numFmtId="165" fontId="16" fillId="0" borderId="30" xfId="0" applyNumberFormat="1" applyFont="1" applyBorder="1"/>
    <xf numFmtId="166" fontId="20" fillId="0" borderId="31" xfId="0" applyNumberFormat="1" applyFont="1" applyBorder="1" applyAlignment="1">
      <alignment horizontal="right"/>
    </xf>
    <xf numFmtId="0" fontId="16" fillId="0" borderId="30" xfId="0" applyFont="1" applyBorder="1"/>
    <xf numFmtId="165" fontId="16" fillId="0" borderId="31" xfId="0" applyNumberFormat="1" applyFont="1" applyBorder="1"/>
    <xf numFmtId="166" fontId="20" fillId="0" borderId="32" xfId="0" applyNumberFormat="1" applyFont="1" applyBorder="1" applyAlignment="1">
      <alignment horizontal="right"/>
    </xf>
    <xf numFmtId="165" fontId="21" fillId="0" borderId="31" xfId="0" applyNumberFormat="1" applyFont="1" applyBorder="1"/>
    <xf numFmtId="165" fontId="17" fillId="0" borderId="28" xfId="0" applyNumberFormat="1" applyFont="1" applyBorder="1"/>
    <xf numFmtId="165" fontId="17" fillId="0" borderId="30" xfId="0" applyNumberFormat="1" applyFont="1" applyBorder="1"/>
    <xf numFmtId="0" fontId="17" fillId="0" borderId="0" xfId="0" applyFont="1"/>
    <xf numFmtId="164" fontId="15" fillId="3" borderId="34" xfId="0" applyNumberFormat="1" applyFont="1" applyFill="1" applyBorder="1" applyAlignment="1">
      <alignment horizontal="center"/>
    </xf>
    <xf numFmtId="0" fontId="22" fillId="8" borderId="5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10" fillId="3" borderId="8" xfId="0" applyNumberFormat="1" applyFont="1" applyFill="1" applyBorder="1" applyAlignment="1">
      <alignment horizontal="center"/>
    </xf>
    <xf numFmtId="10" fontId="23" fillId="3" borderId="6" xfId="0" applyNumberFormat="1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left" vertical="center" indent="1"/>
    </xf>
    <xf numFmtId="0" fontId="1" fillId="0" borderId="36" xfId="0" applyFont="1" applyFill="1" applyBorder="1" applyAlignment="1">
      <alignment horizontal="left" vertical="center" indent="1"/>
    </xf>
    <xf numFmtId="0" fontId="1" fillId="0" borderId="37" xfId="0" applyFont="1" applyFill="1" applyBorder="1" applyAlignment="1">
      <alignment horizontal="left" vertical="center" indent="2"/>
    </xf>
    <xf numFmtId="0" fontId="2" fillId="0" borderId="36" xfId="0" applyFont="1" applyFill="1" applyBorder="1" applyAlignment="1">
      <alignment horizontal="left" vertical="center" indent="3"/>
    </xf>
    <xf numFmtId="0" fontId="2" fillId="0" borderId="38" xfId="0" applyFont="1" applyFill="1" applyBorder="1" applyAlignment="1">
      <alignment horizontal="left" vertical="center" indent="3"/>
    </xf>
    <xf numFmtId="165" fontId="15" fillId="3" borderId="0" xfId="0" applyNumberFormat="1" applyFon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0" fontId="16" fillId="5" borderId="28" xfId="0" applyNumberFormat="1" applyFont="1" applyFill="1" applyBorder="1" applyAlignment="1">
      <alignment horizontal="center"/>
    </xf>
    <xf numFmtId="0" fontId="7" fillId="3" borderId="39" xfId="0" applyFont="1" applyFill="1" applyBorder="1" applyAlignment="1">
      <alignment vertical="center"/>
    </xf>
    <xf numFmtId="0" fontId="7" fillId="4" borderId="39" xfId="0" applyFont="1" applyFill="1" applyBorder="1" applyAlignment="1">
      <alignment vertical="center"/>
    </xf>
    <xf numFmtId="165" fontId="0" fillId="0" borderId="28" xfId="0" applyNumberFormat="1" applyBorder="1"/>
    <xf numFmtId="165" fontId="0" fillId="0" borderId="30" xfId="0" applyNumberFormat="1" applyBorder="1"/>
    <xf numFmtId="0" fontId="0" fillId="0" borderId="31" xfId="0" applyBorder="1"/>
    <xf numFmtId="0" fontId="0" fillId="0" borderId="28" xfId="0" applyBorder="1"/>
    <xf numFmtId="0" fontId="0" fillId="0" borderId="30" xfId="0" applyBorder="1"/>
    <xf numFmtId="165" fontId="0" fillId="0" borderId="8" xfId="0" applyNumberFormat="1" applyBorder="1"/>
    <xf numFmtId="0" fontId="0" fillId="0" borderId="28" xfId="0" applyBorder="1" applyAlignment="1">
      <alignment horizontal="center"/>
    </xf>
    <xf numFmtId="0" fontId="0" fillId="9" borderId="40" xfId="0" applyFill="1" applyBorder="1"/>
    <xf numFmtId="0" fontId="0" fillId="9" borderId="41" xfId="0" applyFill="1" applyBorder="1"/>
    <xf numFmtId="0" fontId="25" fillId="0" borderId="0" xfId="0" applyFont="1"/>
    <xf numFmtId="165" fontId="26" fillId="2" borderId="4" xfId="0" applyNumberFormat="1" applyFont="1" applyFill="1" applyBorder="1" applyAlignment="1">
      <alignment horizontal="right"/>
    </xf>
    <xf numFmtId="166" fontId="27" fillId="2" borderId="0" xfId="0" applyNumberFormat="1" applyFont="1" applyFill="1" applyBorder="1" applyAlignment="1">
      <alignment horizontal="right"/>
    </xf>
    <xf numFmtId="165" fontId="28" fillId="2" borderId="30" xfId="0" applyNumberFormat="1" applyFont="1" applyFill="1" applyBorder="1"/>
    <xf numFmtId="165" fontId="29" fillId="2" borderId="31" xfId="0" applyNumberFormat="1" applyFont="1" applyFill="1" applyBorder="1" applyAlignment="1">
      <alignment horizontal="right"/>
    </xf>
    <xf numFmtId="165" fontId="30" fillId="2" borderId="30" xfId="0" applyNumberFormat="1" applyFont="1" applyFill="1" applyBorder="1"/>
    <xf numFmtId="165" fontId="31" fillId="2" borderId="31" xfId="0" applyNumberFormat="1" applyFont="1" applyFill="1" applyBorder="1" applyAlignment="1">
      <alignment horizontal="right"/>
    </xf>
    <xf numFmtId="0" fontId="31" fillId="2" borderId="30" xfId="0" applyFont="1" applyFill="1" applyBorder="1"/>
    <xf numFmtId="165" fontId="26" fillId="2" borderId="30" xfId="0" applyNumberFormat="1" applyFont="1" applyFill="1" applyBorder="1"/>
    <xf numFmtId="165" fontId="26" fillId="2" borderId="0" xfId="0" applyNumberFormat="1" applyFont="1" applyFill="1" applyBorder="1" applyAlignment="1">
      <alignment horizontal="right"/>
    </xf>
    <xf numFmtId="0" fontId="26" fillId="9" borderId="41" xfId="0" applyFont="1" applyFill="1" applyBorder="1"/>
    <xf numFmtId="166" fontId="32" fillId="2" borderId="0" xfId="0" applyNumberFormat="1" applyFont="1" applyFill="1" applyBorder="1" applyAlignment="1">
      <alignment horizontal="right"/>
    </xf>
    <xf numFmtId="165" fontId="32" fillId="2" borderId="30" xfId="0" applyNumberFormat="1" applyFont="1" applyFill="1" applyBorder="1"/>
    <xf numFmtId="166" fontId="32" fillId="2" borderId="31" xfId="0" applyNumberFormat="1" applyFont="1" applyFill="1" applyBorder="1" applyAlignment="1">
      <alignment horizontal="right"/>
    </xf>
    <xf numFmtId="165" fontId="25" fillId="2" borderId="30" xfId="0" applyNumberFormat="1" applyFont="1" applyFill="1" applyBorder="1"/>
    <xf numFmtId="0" fontId="25" fillId="2" borderId="30" xfId="0" applyFont="1" applyFill="1" applyBorder="1"/>
    <xf numFmtId="0" fontId="0" fillId="9" borderId="42" xfId="0" applyFill="1" applyBorder="1"/>
    <xf numFmtId="0" fontId="0" fillId="9" borderId="43" xfId="0" applyFill="1" applyBorder="1"/>
    <xf numFmtId="0" fontId="26" fillId="9" borderId="43" xfId="0" applyFont="1" applyFill="1" applyBorder="1"/>
    <xf numFmtId="165" fontId="0" fillId="0" borderId="28" xfId="0" applyNumberFormat="1" applyBorder="1" applyAlignment="1">
      <alignment wrapText="1"/>
    </xf>
    <xf numFmtId="165" fontId="0" fillId="0" borderId="12" xfId="0" applyNumberFormat="1" applyFont="1" applyBorder="1"/>
    <xf numFmtId="166" fontId="0" fillId="0" borderId="0" xfId="0" applyNumberFormat="1" applyFont="1" applyBorder="1"/>
    <xf numFmtId="165" fontId="0" fillId="0" borderId="4" xfId="0" applyNumberFormat="1" applyFont="1" applyBorder="1"/>
    <xf numFmtId="165" fontId="0" fillId="0" borderId="19" xfId="0" applyNumberFormat="1" applyFont="1" applyBorder="1"/>
    <xf numFmtId="166" fontId="0" fillId="2" borderId="0" xfId="0" applyNumberFormat="1" applyFont="1" applyFill="1" applyBorder="1" applyAlignment="1">
      <alignment horizontal="right"/>
    </xf>
    <xf numFmtId="166" fontId="0" fillId="0" borderId="0" xfId="0" applyNumberFormat="1"/>
    <xf numFmtId="165" fontId="33" fillId="2" borderId="30" xfId="0" applyNumberFormat="1" applyFont="1" applyFill="1" applyBorder="1"/>
    <xf numFmtId="165" fontId="10" fillId="6" borderId="0" xfId="0" applyNumberFormat="1" applyFont="1" applyFill="1"/>
    <xf numFmtId="166" fontId="30" fillId="2" borderId="0" xfId="0" applyNumberFormat="1" applyFont="1" applyFill="1" applyBorder="1" applyAlignment="1">
      <alignment horizontal="right"/>
    </xf>
    <xf numFmtId="0" fontId="0" fillId="0" borderId="27" xfId="0" applyBorder="1" applyAlignment="1">
      <alignment horizontal="center"/>
    </xf>
    <xf numFmtId="165" fontId="0" fillId="0" borderId="33" xfId="0" applyNumberFormat="1" applyBorder="1"/>
    <xf numFmtId="0" fontId="0" fillId="0" borderId="46" xfId="0" applyBorder="1"/>
    <xf numFmtId="166" fontId="20" fillId="0" borderId="0" xfId="0" applyNumberFormat="1" applyFont="1" applyBorder="1" applyAlignment="1">
      <alignment horizontal="right"/>
    </xf>
    <xf numFmtId="165" fontId="30" fillId="2" borderId="31" xfId="0" applyNumberFormat="1" applyFont="1" applyFill="1" applyBorder="1" applyAlignment="1">
      <alignment horizontal="right"/>
    </xf>
    <xf numFmtId="166" fontId="0" fillId="0" borderId="31" xfId="0" applyNumberFormat="1" applyBorder="1"/>
    <xf numFmtId="166" fontId="18" fillId="0" borderId="31" xfId="0" applyNumberFormat="1" applyFont="1" applyBorder="1"/>
    <xf numFmtId="166" fontId="24" fillId="0" borderId="2" xfId="0" applyNumberFormat="1" applyFont="1" applyBorder="1"/>
    <xf numFmtId="166" fontId="24" fillId="0" borderId="31" xfId="0" applyNumberFormat="1" applyFont="1" applyBorder="1"/>
    <xf numFmtId="165" fontId="26" fillId="2" borderId="47" xfId="0" applyNumberFormat="1" applyFont="1" applyFill="1" applyBorder="1" applyAlignment="1">
      <alignment horizontal="right"/>
    </xf>
    <xf numFmtId="165" fontId="17" fillId="0" borderId="28" xfId="0" applyNumberFormat="1" applyFont="1" applyBorder="1" applyAlignment="1">
      <alignment wrapText="1"/>
    </xf>
    <xf numFmtId="165" fontId="0" fillId="9" borderId="42" xfId="0" applyNumberFormat="1" applyFill="1" applyBorder="1"/>
    <xf numFmtId="165" fontId="0" fillId="9" borderId="43" xfId="0" applyNumberFormat="1" applyFill="1" applyBorder="1"/>
    <xf numFmtId="165" fontId="34" fillId="3" borderId="43" xfId="0" applyNumberFormat="1" applyFont="1" applyFill="1" applyBorder="1"/>
    <xf numFmtId="165" fontId="17" fillId="0" borderId="30" xfId="0" applyNumberFormat="1" applyFont="1" applyBorder="1" applyAlignment="1">
      <alignment horizontal="right"/>
    </xf>
    <xf numFmtId="0" fontId="35" fillId="0" borderId="0" xfId="0" applyFont="1"/>
    <xf numFmtId="166" fontId="35" fillId="9" borderId="40" xfId="0" applyNumberFormat="1" applyFont="1" applyFill="1" applyBorder="1"/>
    <xf numFmtId="166" fontId="35" fillId="9" borderId="41" xfId="0" applyNumberFormat="1" applyFont="1" applyFill="1" applyBorder="1"/>
    <xf numFmtId="166" fontId="36" fillId="3" borderId="41" xfId="0" applyNumberFormat="1" applyFont="1" applyFill="1" applyBorder="1"/>
    <xf numFmtId="165" fontId="37" fillId="0" borderId="28" xfId="0" applyNumberFormat="1" applyFont="1" applyBorder="1"/>
    <xf numFmtId="165" fontId="38" fillId="0" borderId="29" xfId="0" applyNumberFormat="1" applyFont="1" applyBorder="1"/>
    <xf numFmtId="165" fontId="38" fillId="0" borderId="28" xfId="0" applyNumberFormat="1" applyFont="1" applyBorder="1"/>
    <xf numFmtId="165" fontId="37" fillId="0" borderId="30" xfId="0" applyNumberFormat="1" applyFont="1" applyBorder="1"/>
    <xf numFmtId="165" fontId="38" fillId="0" borderId="31" xfId="0" applyNumberFormat="1" applyFont="1" applyBorder="1"/>
    <xf numFmtId="165" fontId="38" fillId="0" borderId="30" xfId="0" applyNumberFormat="1" applyFont="1" applyBorder="1"/>
    <xf numFmtId="165" fontId="39" fillId="2" borderId="31" xfId="0" applyNumberFormat="1" applyFont="1" applyFill="1" applyBorder="1" applyAlignment="1">
      <alignment horizontal="right"/>
    </xf>
    <xf numFmtId="165" fontId="40" fillId="2" borderId="30" xfId="0" applyNumberFormat="1" applyFont="1" applyFill="1" applyBorder="1"/>
    <xf numFmtId="166" fontId="40" fillId="2" borderId="0" xfId="0" applyNumberFormat="1" applyFont="1" applyFill="1" applyBorder="1"/>
    <xf numFmtId="165" fontId="41" fillId="0" borderId="31" xfId="0" applyNumberFormat="1" applyFont="1" applyBorder="1"/>
    <xf numFmtId="165" fontId="42" fillId="2" borderId="31" xfId="0" applyNumberFormat="1" applyFont="1" applyFill="1" applyBorder="1" applyAlignment="1">
      <alignment horizontal="right"/>
    </xf>
    <xf numFmtId="165" fontId="43" fillId="2" borderId="30" xfId="0" applyNumberFormat="1" applyFont="1" applyFill="1" applyBorder="1"/>
    <xf numFmtId="166" fontId="43" fillId="2" borderId="0" xfId="0" applyNumberFormat="1" applyFont="1" applyFill="1" applyBorder="1"/>
    <xf numFmtId="165" fontId="44" fillId="2" borderId="30" xfId="0" applyNumberFormat="1" applyFont="1" applyFill="1" applyBorder="1"/>
    <xf numFmtId="165" fontId="45" fillId="0" borderId="28" xfId="0" applyNumberFormat="1" applyFont="1" applyBorder="1"/>
    <xf numFmtId="165" fontId="45" fillId="0" borderId="30" xfId="0" applyNumberFormat="1" applyFont="1" applyBorder="1"/>
    <xf numFmtId="166" fontId="46" fillId="2" borderId="0" xfId="0" applyNumberFormat="1" applyFont="1" applyFill="1" applyBorder="1"/>
    <xf numFmtId="164" fontId="24" fillId="5" borderId="0" xfId="0" applyNumberFormat="1" applyFont="1" applyFill="1" applyBorder="1" applyAlignment="1">
      <alignment horizontal="left"/>
    </xf>
    <xf numFmtId="0" fontId="17" fillId="8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164" fontId="21" fillId="5" borderId="0" xfId="0" applyNumberFormat="1" applyFont="1" applyFill="1" applyBorder="1" applyAlignment="1">
      <alignment horizontal="left"/>
    </xf>
    <xf numFmtId="164" fontId="21" fillId="7" borderId="0" xfId="0" applyNumberFormat="1" applyFont="1" applyFill="1" applyBorder="1" applyAlignment="1">
      <alignment horizontal="left"/>
    </xf>
    <xf numFmtId="164" fontId="21" fillId="7" borderId="29" xfId="0" applyNumberFormat="1" applyFont="1" applyFill="1" applyBorder="1" applyAlignment="1">
      <alignment horizontal="left"/>
    </xf>
    <xf numFmtId="166" fontId="33" fillId="2" borderId="0" xfId="0" applyNumberFormat="1" applyFont="1" applyFill="1" applyBorder="1" applyAlignment="1">
      <alignment horizontal="right"/>
    </xf>
    <xf numFmtId="164" fontId="21" fillId="7" borderId="0" xfId="0" applyNumberFormat="1" applyFont="1" applyFill="1" applyBorder="1" applyAlignment="1">
      <alignment horizontal="center"/>
    </xf>
    <xf numFmtId="164" fontId="16" fillId="7" borderId="0" xfId="0" applyNumberFormat="1" applyFont="1" applyFill="1" applyBorder="1" applyAlignment="1"/>
    <xf numFmtId="166" fontId="3" fillId="0" borderId="31" xfId="0" applyNumberFormat="1" applyFont="1" applyBorder="1"/>
    <xf numFmtId="166" fontId="0" fillId="0" borderId="29" xfId="0" applyNumberFormat="1" applyBorder="1"/>
    <xf numFmtId="166" fontId="29" fillId="2" borderId="31" xfId="0" applyNumberFormat="1" applyFont="1" applyFill="1" applyBorder="1" applyAlignment="1">
      <alignment horizontal="right"/>
    </xf>
    <xf numFmtId="0" fontId="17" fillId="0" borderId="23" xfId="0" applyFont="1" applyBorder="1" applyAlignment="1">
      <alignment horizontal="center"/>
    </xf>
    <xf numFmtId="0" fontId="17" fillId="0" borderId="25" xfId="0" applyFont="1" applyBorder="1" applyAlignment="1">
      <alignment horizontal="center"/>
    </xf>
    <xf numFmtId="164" fontId="13" fillId="6" borderId="23" xfId="0" applyNumberFormat="1" applyFont="1" applyFill="1" applyBorder="1" applyAlignment="1">
      <alignment horizontal="center"/>
    </xf>
    <xf numFmtId="164" fontId="13" fillId="6" borderId="25" xfId="0" applyNumberFormat="1" applyFont="1" applyFill="1" applyBorder="1" applyAlignment="1">
      <alignment horizontal="center"/>
    </xf>
    <xf numFmtId="164" fontId="13" fillId="6" borderId="26" xfId="0" applyNumberFormat="1" applyFont="1" applyFill="1" applyBorder="1" applyAlignment="1">
      <alignment horizontal="center"/>
    </xf>
    <xf numFmtId="164" fontId="19" fillId="8" borderId="25" xfId="0" applyNumberFormat="1" applyFont="1" applyFill="1" applyBorder="1" applyAlignment="1">
      <alignment horizontal="center"/>
    </xf>
    <xf numFmtId="164" fontId="19" fillId="8" borderId="26" xfId="0" applyNumberFormat="1" applyFont="1" applyFill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16" fillId="0" borderId="25" xfId="0" applyFont="1" applyBorder="1" applyAlignment="1">
      <alignment horizontal="center"/>
    </xf>
    <xf numFmtId="0" fontId="16" fillId="0" borderId="26" xfId="0" applyFont="1" applyBorder="1" applyAlignment="1">
      <alignment horizontal="center"/>
    </xf>
    <xf numFmtId="164" fontId="19" fillId="8" borderId="45" xfId="0" applyNumberFormat="1" applyFont="1" applyFill="1" applyBorder="1" applyAlignment="1">
      <alignment horizontal="center"/>
    </xf>
    <xf numFmtId="164" fontId="19" fillId="8" borderId="21" xfId="0" applyNumberFormat="1" applyFont="1" applyFill="1" applyBorder="1" applyAlignment="1">
      <alignment horizontal="center"/>
    </xf>
    <xf numFmtId="164" fontId="19" fillId="8" borderId="44" xfId="0" applyNumberFormat="1" applyFont="1" applyFill="1" applyBorder="1" applyAlignment="1">
      <alignment horizontal="center"/>
    </xf>
    <xf numFmtId="0" fontId="48" fillId="0" borderId="48" xfId="0" applyNumberFormat="1" applyFont="1" applyBorder="1" applyAlignment="1">
      <alignment horizontal="center"/>
    </xf>
  </cellXfs>
  <cellStyles count="2">
    <cellStyle name="Normal" xfId="0" builtinId="0"/>
    <cellStyle name="Titre 3 3" xfId="1"/>
  </cellStyles>
  <dxfs count="12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40C]mmm\-yy;@"/>
    </dxf>
    <dxf>
      <numFmt numFmtId="0" formatCode="General"/>
    </dxf>
    <dxf>
      <numFmt numFmtId="19" formatCode="dd/mm/yyyy"/>
    </dxf>
    <dxf>
      <font>
        <i/>
        <strike val="0"/>
        <outline val="0"/>
        <shadow val="0"/>
        <u val="none"/>
        <vertAlign val="baseline"/>
        <sz val="9"/>
        <name val="Calibri"/>
        <scheme val="minor"/>
      </font>
      <numFmt numFmtId="166" formatCode="0.0%"/>
      <fill>
        <patternFill patternType="solid">
          <fgColor indexed="64"/>
          <bgColor theme="4" tint="0.79998168889431442"/>
        </patternFill>
      </fill>
      <border diagonalUp="0" diagonalDown="0" outline="0">
        <left/>
        <right style="double">
          <color theme="4" tint="-0.499984740745262"/>
        </right>
        <top/>
        <bottom/>
      </border>
    </dxf>
    <dxf>
      <numFmt numFmtId="165" formatCode="#,##0\ &quot;€&quot;"/>
      <fill>
        <patternFill patternType="solid">
          <fgColor indexed="64"/>
          <bgColor theme="4" tint="0.79998168889431442"/>
        </patternFill>
      </fill>
      <border diagonalUp="0" diagonalDown="0" outline="0">
        <left style="double">
          <color theme="4" tint="-0.499984740745262"/>
        </left>
        <right/>
        <top/>
        <bottom style="double">
          <color theme="5" tint="-0.499984740745262"/>
        </bottom>
      </border>
    </dxf>
    <dxf>
      <numFmt numFmtId="166" formatCode="0.0%"/>
    </dxf>
    <dxf>
      <numFmt numFmtId="165" formatCode="#,##0\ &quot;€&quot;"/>
    </dxf>
    <dxf>
      <numFmt numFmtId="166" formatCode="0.0%"/>
    </dxf>
    <dxf>
      <numFmt numFmtId="165" formatCode="#,##0\ &quot;€&quot;"/>
    </dxf>
    <dxf>
      <numFmt numFmtId="166" formatCode="0.0%"/>
    </dxf>
    <dxf>
      <numFmt numFmtId="166" formatCode="0.0%"/>
    </dxf>
    <dxf>
      <numFmt numFmtId="165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2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6" formatCode="0.0%"/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5" formatCode="#,##0\ &quot;€&quot;"/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6" formatCode="0.0%"/>
      <border diagonalUp="0" diagonalDown="0">
        <left/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65" formatCode="#,##0\ &quot;€&quot;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6" formatCode="0.0%"/>
      <border diagonalUp="0" diagonalDown="0">
        <left/>
        <right style="thick">
          <color indexed="64"/>
        </right>
        <top/>
        <bottom/>
        <vertical/>
        <horizontal/>
      </border>
    </dxf>
    <dxf>
      <numFmt numFmtId="165" formatCode="#,##0\ &quot;€&quot;"/>
      <border diagonalUp="0" diagonalDown="0">
        <left style="thick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40C]mmm\-yy;@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9" tint="-0.2499465926084170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theme="9" tint="-0.24994659260841701"/>
      </font>
    </dxf>
    <dxf>
      <font>
        <color theme="0"/>
      </font>
    </dxf>
    <dxf>
      <font>
        <color rgb="FFFF0000"/>
      </font>
    </dxf>
    <dxf>
      <font>
        <color theme="4" tint="0.79998168889431442"/>
      </font>
    </dxf>
    <dxf>
      <font>
        <color theme="4" tint="0.79998168889431442"/>
      </font>
      <fill>
        <patternFill>
          <bgColor theme="4" tint="0.79998168889431442"/>
        </patternFill>
      </fill>
    </dxf>
    <dxf>
      <font>
        <color rgb="FFFF0000"/>
      </font>
    </dxf>
    <dxf>
      <font>
        <color theme="4" tint="0.79998168889431442"/>
      </font>
    </dxf>
    <dxf>
      <font>
        <color theme="0"/>
      </font>
    </dxf>
    <dxf>
      <font>
        <color theme="9" tint="-0.24994659260841701"/>
      </font>
    </dxf>
    <dxf>
      <font>
        <color theme="9" tint="-0.24994659260841701"/>
      </font>
    </dxf>
    <dxf>
      <font>
        <color rgb="FFFF0000"/>
      </font>
    </dxf>
    <dxf>
      <font>
        <color theme="0"/>
      </font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6" formatCode="0.0%"/>
    </dxf>
    <dxf>
      <numFmt numFmtId="166" formatCode="0.0%"/>
    </dxf>
    <dxf>
      <numFmt numFmtId="165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2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6" formatCode="0.0%"/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5" formatCode="#,##0\ &quot;€&quot;"/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5" formatCode="#,##0\ &quot;€&quot;"/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6" formatCode="0.0%"/>
      <border diagonalUp="0" diagonalDown="0">
        <left/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65" formatCode="#,##0\ &quot;€&quot;"/>
      <border diagonalUp="0" diagonalDown="0" outline="0">
        <left style="medium">
          <color indexed="64"/>
        </left>
        <right/>
        <top/>
        <bottom/>
      </border>
    </dxf>
    <dxf>
      <numFmt numFmtId="165" formatCode="#,##0\ &quot;€&quot;"/>
      <border diagonalUp="0" diagonalDown="0">
        <left/>
        <right style="thick">
          <color indexed="64"/>
        </right>
        <top/>
        <bottom/>
        <vertical/>
        <horizontal/>
      </border>
    </dxf>
    <dxf>
      <numFmt numFmtId="165" formatCode="#,##0\ &quot;€&quot;"/>
      <border diagonalUp="0" diagonalDown="0">
        <left style="thick">
          <color indexed="64"/>
        </left>
        <right/>
        <top/>
        <bottom/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-0.24994659260841701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numFmt numFmtId="165" formatCode="#,##0\ &quot;€&quot;"/>
    </dxf>
    <dxf>
      <border diagonalUp="0" diagonalDown="0">
        <left/>
        <right style="thick">
          <color indexed="64"/>
        </right>
        <top/>
        <bottom style="double">
          <color indexed="64"/>
        </bottom>
        <vertical/>
        <horizontal/>
      </border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-0.249977111117893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powerPivotData" Target="model/item.data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9">
    <queryTableFields count="8">
      <queryTableField id="1" name="Date" tableColumnId="9"/>
      <queryTableField id="2" name="Mode" tableColumnId="10"/>
      <queryTableField id="3" name="Date Pièce" tableColumnId="11"/>
      <queryTableField id="4" name="Emetteur" tableColumnId="12"/>
      <queryTableField id="5" name="Catégorie" tableColumnId="13"/>
      <queryTableField id="6" name="Montant" tableColumnId="14"/>
      <queryTableField id="7" name="Sens" tableColumnId="15"/>
      <queryTableField id="8" name="Rap." tableColumnId="16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Base" displayName="TBase" ref="B4:AC24" totalsRowShown="0" headerRowDxfId="113">
  <tableColumns count="28">
    <tableColumn id="1" name="CATEGORIES"/>
    <tableColumn id="2" name="TVA" dataDxfId="112"/>
    <tableColumn id="3" name="Janvier" dataDxfId="111"/>
    <tableColumn id="4" name="Poids 1" dataDxfId="110"/>
    <tableColumn id="5" name="Février" dataDxfId="109"/>
    <tableColumn id="6" name="Poids 2" dataDxfId="108"/>
    <tableColumn id="7" name="Mars" dataDxfId="107"/>
    <tableColumn id="8" name="Poids 3" dataDxfId="106"/>
    <tableColumn id="9" name="Avril" dataDxfId="105"/>
    <tableColumn id="10" name="Poids 4" dataDxfId="104"/>
    <tableColumn id="11" name="Mai" dataDxfId="103"/>
    <tableColumn id="12" name="Poids 5" dataDxfId="102"/>
    <tableColumn id="13" name="Juin" dataDxfId="101"/>
    <tableColumn id="14" name="Poids 6" dataDxfId="100"/>
    <tableColumn id="15" name="Juillet" dataDxfId="99"/>
    <tableColumn id="16" name="Poids 7" dataDxfId="98"/>
    <tableColumn id="17" name="Aout" dataDxfId="97"/>
    <tableColumn id="18" name="Poids 8" dataDxfId="96"/>
    <tableColumn id="19" name="Septembre" dataDxfId="95"/>
    <tableColumn id="20" name="Poids 9" dataDxfId="94"/>
    <tableColumn id="21" name="Octobre" dataDxfId="93"/>
    <tableColumn id="22" name="Poids 10" dataDxfId="92"/>
    <tableColumn id="23" name="Novembre" dataDxfId="91"/>
    <tableColumn id="24" name="Poids 11" dataDxfId="90"/>
    <tableColumn id="25" name="Décembre" dataDxfId="89"/>
    <tableColumn id="26" name="Poids 12" dataDxfId="88"/>
    <tableColumn id="27" name="TOTAL" dataDxfId="87">
      <calculatedColumnFormula>+SUM(D5,F5,H5,J5,L5,N5,P5,R5,T5,V5,X5,Z5)</calculatedColumnFormula>
    </tableColumn>
    <tableColumn id="28" name="% Poid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5" name="TJanv" displayName="TJanv" ref="B4:V24" totalsRowShown="0">
  <autoFilter ref="B4:V24"/>
  <tableColumns count="21">
    <tableColumn id="1" name="Janvier" dataDxfId="67">
      <calculatedColumnFormula>IFERROR(SUMIF(L$4:L$24,TBase[[#Headers],[CATEGORIES]],TBase[[#This Row],[Janvier]]),0)</calculatedColumnFormula>
    </tableColumn>
    <tableColumn id="2" name="%M/CA" dataDxfId="66"/>
    <tableColumn id="3" name="Budget" dataDxfId="65">
      <calculatedColumnFormula>33800/12</calculatedColumnFormula>
    </tableColumn>
    <tableColumn id="4" name="%B/CA" dataDxfId="64">
      <calculatedColumnFormula>D5/D$9</calculatedColumnFormula>
    </tableColumn>
    <tableColumn id="5" name="Réel" dataDxfId="63"/>
    <tableColumn id="6" name="%R/CA" dataDxfId="62"/>
    <tableColumn id="7" name="Reel/Budg." dataDxfId="61"/>
    <tableColumn id="8" name="%R/B" dataDxfId="60"/>
    <tableColumn id="9" name="Reel/2018" dataDxfId="59"/>
    <tableColumn id="10" name="%R/18" dataDxfId="58"/>
    <tableColumn id="11" name="CATEGORIES" dataDxfId="57">
      <calculatedColumnFormula>+'2018'!B5</calculatedColumnFormula>
    </tableColumn>
    <tableColumn id="21" name="R2018" dataDxfId="56">
      <calculatedColumnFormula>+IF(TJanv[[#This Row],[Janvier]]="","",TJanv[[#This Row],[Janvier]])</calculatedColumnFormula>
    </tableColumn>
    <tableColumn id="12" name="%R18" dataDxfId="55"/>
    <tableColumn id="13" name="B2019"/>
    <tableColumn id="14" name="%B19" dataDxfId="54"/>
    <tableColumn id="15" name="R19/18" dataDxfId="53">
      <calculatedColumnFormula>+IF(TJanv[[#This Row],[Réel]]="","",TJanv[[#This Row],[Réel]])</calculatedColumnFormula>
    </tableColumn>
    <tableColumn id="16" name="%R/CAC" dataDxfId="52"/>
    <tableColumn id="17" name="R19/2018"/>
    <tableColumn id="18" name="%19/18" dataDxfId="51"/>
    <tableColumn id="19" name="R/B"/>
    <tableColumn id="20" name="%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Fevr" displayName="TFevr" ref="B4:V24" totalsRowShown="0" headerRowDxfId="28">
  <autoFilter ref="B4:V24"/>
  <tableColumns count="21">
    <tableColumn id="1" name="0" dataDxfId="27">
      <calculatedColumnFormula>IFERROR(SUMIF(L$4:L$24,TBase[[#Headers],[CATEGORIES]],TBase[[#This Row],[Janvier]]),0)</calculatedColumnFormula>
    </tableColumn>
    <tableColumn id="2" name="%M/CA" dataDxfId="26">
      <calculatedColumnFormula>IFERROR(SUMIF($L$4:$L$24,TBase[[#Headers],[CATEGORIES]],TBase[[#This Row],[Poids 2]]),0)</calculatedColumnFormula>
    </tableColumn>
    <tableColumn id="3" name="Budget" dataDxfId="25"/>
    <tableColumn id="4" name="%B/CA" dataDxfId="24">
      <calculatedColumnFormula>IFERROR(IF(D5="","",TFevr[[#This Row],[Réel]]/$F$9),0)</calculatedColumnFormula>
    </tableColumn>
    <tableColumn id="5" name="Réel" dataDxfId="23"/>
    <tableColumn id="6" name="%R/CA" dataDxfId="22"/>
    <tableColumn id="7" name="Reel/Budg." dataDxfId="21"/>
    <tableColumn id="8" name="%R/B" dataDxfId="20">
      <calculatedColumnFormula>IFERROR(IF(OR(TFevr[[#This Row],[Budget]]="",F5=""),"",TFevr[[#This Row],[Reel/Budg.]]/TFevr[[#This Row],[0]]),0)</calculatedColumnFormula>
    </tableColumn>
    <tableColumn id="9" name="Reel/2018" dataDxfId="19"/>
    <tableColumn id="10" name="%R/18" dataDxfId="18"/>
    <tableColumn id="11" name="CATEGORIES" dataDxfId="17">
      <calculatedColumnFormula>+'2018'!B5</calculatedColumnFormula>
    </tableColumn>
    <tableColumn id="21" name="R2018" dataDxfId="16"/>
    <tableColumn id="12" name="%R18" dataDxfId="15">
      <calculatedColumnFormula>+TFevr[[#This Row],[R2018]]/M9</calculatedColumnFormula>
    </tableColumn>
    <tableColumn id="13" name="B2019"/>
    <tableColumn id="14" name="%B19" dataDxfId="14">
      <calculatedColumnFormula>-TFevr[[#This Row],[R19/18]]/O$9</calculatedColumnFormula>
    </tableColumn>
    <tableColumn id="15" name="R19/18" dataDxfId="13"/>
    <tableColumn id="16" name="%R/CAC" dataDxfId="12">
      <calculatedColumnFormula>+TFevr[[#This Row],[R19/18]]/Q$9</calculatedColumnFormula>
    </tableColumn>
    <tableColumn id="17" name="R19/2018" dataDxfId="11">
      <calculatedColumnFormula>TFevr[[#This Row],[R19/18]]-TFevr[[#This Row],[R2018]]</calculatedColumnFormula>
    </tableColumn>
    <tableColumn id="18" name="%19/18" dataDxfId="10">
      <calculatedColumnFormula>IFERROR(IF(OR(M5="",Q5=""),"",TFevr[[#This Row],[R19/2018]]/TFevr[[#This Row],[R2018]]),0)</calculatedColumnFormula>
    </tableColumn>
    <tableColumn id="19" name="R/B" dataDxfId="9">
      <calculatedColumnFormula>(IF(OR(TFevr[[#This Row],[B2019]]=0,TFevr[[#This Row],[R19/18]]=0),"",TFevr[[#This Row],[R19/18]]-TFevr[[#This Row],[B2019]]))</calculatedColumnFormula>
    </tableColumn>
    <tableColumn id="20" name="%" dataDxfId="8">
      <calculatedColumnFormula>IFERROR(IF(OR(O5="",Q5=""),"",TFevr[[#This Row],[R19/2018]]/TFevr[[#This Row],[B2019]]),0)</calculatedColumnFormula>
    </tableColumn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1" name="Append1" displayName="Append1" ref="A1:H813" tableType="queryTable" totalsRowShown="0">
  <autoFilter ref="A1:H813"/>
  <sortState ref="A2:H866">
    <sortCondition ref="D1:D866"/>
  </sortState>
  <tableColumns count="8">
    <tableColumn id="9" uniqueName="9" name="Date" queryTableFieldId="1" dataDxfId="7"/>
    <tableColumn id="10" uniqueName="10" name="Mode" queryTableFieldId="2" dataDxfId="6"/>
    <tableColumn id="11" uniqueName="11" name="Date Pièce" queryTableFieldId="3" dataDxfId="5"/>
    <tableColumn id="12" uniqueName="12" name="Emetteur" queryTableFieldId="4" dataDxfId="4"/>
    <tableColumn id="13" uniqueName="13" name="Catégorie" queryTableFieldId="5" dataDxfId="3"/>
    <tableColumn id="14" uniqueName="14" name="Montant" queryTableFieldId="6" dataDxfId="2"/>
    <tableColumn id="15" uniqueName="15" name="Sens" queryTableFieldId="7" dataDxfId="1"/>
    <tableColumn id="16" uniqueName="16" name="Rap." queryTableFieldId="8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B3:AF25"/>
  <sheetViews>
    <sheetView workbookViewId="0">
      <pane ySplit="4" topLeftCell="A5" activePane="bottomLeft" state="frozen"/>
      <selection pane="bottomLeft" activeCell="F7" sqref="F7"/>
    </sheetView>
  </sheetViews>
  <sheetFormatPr baseColWidth="10" defaultColWidth="9.140625" defaultRowHeight="15" x14ac:dyDescent="0.25"/>
  <cols>
    <col min="1" max="1" width="1.7109375" customWidth="1"/>
    <col min="2" max="2" width="40.7109375" customWidth="1"/>
    <col min="3" max="3" width="5.7109375" style="3" customWidth="1"/>
    <col min="4" max="4" width="10.7109375" customWidth="1"/>
    <col min="5" max="5" width="5.7109375" style="2" customWidth="1"/>
    <col min="6" max="6" width="10.7109375" customWidth="1"/>
    <col min="7" max="7" width="5.7109375" style="2" customWidth="1"/>
    <col min="8" max="8" width="10.7109375" customWidth="1"/>
    <col min="9" max="9" width="5.7109375" style="2" customWidth="1"/>
    <col min="10" max="10" width="10.7109375" customWidth="1"/>
    <col min="11" max="11" width="5.7109375" customWidth="1"/>
    <col min="12" max="12" width="10.7109375" customWidth="1"/>
    <col min="13" max="13" width="5.7109375" customWidth="1"/>
    <col min="14" max="14" width="10.7109375" customWidth="1"/>
    <col min="15" max="15" width="5.7109375" customWidth="1"/>
    <col min="16" max="16" width="10.7109375" customWidth="1"/>
    <col min="17" max="17" width="5.7109375" customWidth="1"/>
    <col min="18" max="18" width="10.7109375" customWidth="1"/>
    <col min="19" max="19" width="5.7109375" customWidth="1"/>
    <col min="20" max="20" width="10.7109375" customWidth="1"/>
    <col min="21" max="21" width="5.7109375" customWidth="1"/>
    <col min="22" max="22" width="10.7109375" customWidth="1"/>
    <col min="23" max="23" width="5.7109375" customWidth="1"/>
    <col min="24" max="24" width="10.7109375" customWidth="1"/>
    <col min="25" max="25" width="5.7109375" customWidth="1"/>
    <col min="26" max="26" width="10.7109375" customWidth="1"/>
    <col min="27" max="27" width="5.7109375" customWidth="1"/>
    <col min="28" max="28" width="12" bestFit="1" customWidth="1"/>
  </cols>
  <sheetData>
    <row r="3" spans="2:32" ht="15.75" thickBot="1" x14ac:dyDescent="0.3"/>
    <row r="4" spans="2:32" ht="19.5" thickBot="1" x14ac:dyDescent="0.35">
      <c r="B4" s="54" t="s">
        <v>19</v>
      </c>
      <c r="C4" s="52" t="s">
        <v>31</v>
      </c>
      <c r="D4" s="94" t="s">
        <v>87</v>
      </c>
      <c r="E4" s="95" t="s">
        <v>6</v>
      </c>
      <c r="F4" s="94" t="s">
        <v>88</v>
      </c>
      <c r="G4" s="95" t="s">
        <v>7</v>
      </c>
      <c r="H4" s="94" t="s">
        <v>89</v>
      </c>
      <c r="I4" s="95" t="s">
        <v>8</v>
      </c>
      <c r="J4" s="94" t="s">
        <v>90</v>
      </c>
      <c r="K4" s="95" t="s">
        <v>9</v>
      </c>
      <c r="L4" s="94" t="s">
        <v>91</v>
      </c>
      <c r="M4" s="95" t="s">
        <v>10</v>
      </c>
      <c r="N4" s="94" t="s">
        <v>92</v>
      </c>
      <c r="O4" s="95" t="s">
        <v>11</v>
      </c>
      <c r="P4" s="94" t="s">
        <v>93</v>
      </c>
      <c r="Q4" s="95" t="s">
        <v>12</v>
      </c>
      <c r="R4" s="94" t="s">
        <v>94</v>
      </c>
      <c r="S4" s="95" t="s">
        <v>13</v>
      </c>
      <c r="T4" s="94" t="s">
        <v>95</v>
      </c>
      <c r="U4" s="95" t="s">
        <v>14</v>
      </c>
      <c r="V4" s="94" t="s">
        <v>96</v>
      </c>
      <c r="W4" s="95" t="s">
        <v>15</v>
      </c>
      <c r="X4" s="94" t="s">
        <v>97</v>
      </c>
      <c r="Y4" s="95" t="s">
        <v>16</v>
      </c>
      <c r="Z4" s="55" t="s">
        <v>98</v>
      </c>
      <c r="AA4" s="95" t="s">
        <v>17</v>
      </c>
      <c r="AB4" s="52" t="s">
        <v>5</v>
      </c>
      <c r="AC4" s="53" t="s">
        <v>18</v>
      </c>
    </row>
    <row r="5" spans="2:32" x14ac:dyDescent="0.25">
      <c r="B5" s="9" t="s">
        <v>23</v>
      </c>
      <c r="C5" s="14"/>
      <c r="D5" s="15"/>
      <c r="E5" s="16"/>
      <c r="F5" s="15"/>
      <c r="G5" s="16"/>
      <c r="H5" s="15"/>
      <c r="I5" s="16"/>
      <c r="J5" s="15"/>
      <c r="K5" s="16"/>
      <c r="L5" s="15"/>
      <c r="M5" s="16"/>
      <c r="N5" s="15"/>
      <c r="O5" s="16"/>
      <c r="P5" s="15"/>
      <c r="Q5" s="16"/>
      <c r="R5" s="15"/>
      <c r="S5" s="16"/>
      <c r="T5" s="15"/>
      <c r="U5" s="16"/>
      <c r="V5" s="15"/>
      <c r="W5" s="16"/>
      <c r="X5" s="15"/>
      <c r="Y5" s="16"/>
      <c r="Z5" s="15"/>
      <c r="AA5" s="17">
        <f>Z5/Z$9</f>
        <v>0</v>
      </c>
      <c r="AB5" s="1">
        <f t="shared" ref="AB5:AB13" si="0">+SUM(D5,F5,H5,J5,L5,N5,P5,R5,T5,V5,X5,Z5)</f>
        <v>0</v>
      </c>
      <c r="AC5" s="7">
        <f>+AB5/AB$9</f>
        <v>0</v>
      </c>
      <c r="AF5">
        <v>20791454</v>
      </c>
    </row>
    <row r="6" spans="2:32" x14ac:dyDescent="0.25">
      <c r="B6" s="9" t="s">
        <v>24</v>
      </c>
      <c r="C6" s="18"/>
      <c r="D6" s="19"/>
      <c r="E6" s="20"/>
      <c r="F6" s="19"/>
      <c r="G6" s="20"/>
      <c r="H6" s="19"/>
      <c r="I6" s="20"/>
      <c r="J6" s="19"/>
      <c r="K6" s="20"/>
      <c r="L6" s="19"/>
      <c r="M6" s="20"/>
      <c r="N6" s="19"/>
      <c r="O6" s="20"/>
      <c r="P6" s="19"/>
      <c r="Q6" s="20"/>
      <c r="R6" s="19"/>
      <c r="S6" s="20"/>
      <c r="T6" s="19"/>
      <c r="U6" s="20"/>
      <c r="V6" s="19"/>
      <c r="W6" s="20"/>
      <c r="X6" s="19"/>
      <c r="Y6" s="20"/>
      <c r="Z6" s="19"/>
      <c r="AA6" s="21">
        <f>Z6/Z$9</f>
        <v>0</v>
      </c>
      <c r="AB6" s="1">
        <f t="shared" si="0"/>
        <v>0</v>
      </c>
      <c r="AC6" s="7">
        <f>+AB6/AB$9</f>
        <v>0</v>
      </c>
      <c r="AF6">
        <f>1.4%+0.1%*(20791454-10000000)/40000000</f>
        <v>1.4269786349999999E-2</v>
      </c>
    </row>
    <row r="7" spans="2:32" x14ac:dyDescent="0.25">
      <c r="B7" s="9" t="s">
        <v>25</v>
      </c>
      <c r="C7" s="18"/>
      <c r="D7" s="19">
        <v>123923.96999999997</v>
      </c>
      <c r="E7" s="20">
        <f>D7/D$9</f>
        <v>0.78754144516978719</v>
      </c>
      <c r="F7" s="19">
        <v>90559.510000000009</v>
      </c>
      <c r="G7" s="20">
        <f>F7/F$9</f>
        <v>0.62854380271613453</v>
      </c>
      <c r="H7" s="19">
        <v>97760.940000000061</v>
      </c>
      <c r="I7" s="20">
        <f>H7/H$9</f>
        <v>0.66548687289391029</v>
      </c>
      <c r="J7" s="19">
        <v>85957.23000000001</v>
      </c>
      <c r="K7" s="20">
        <f>J7/J$9</f>
        <v>0.72057986585012856</v>
      </c>
      <c r="L7" s="19">
        <v>94588.229999999981</v>
      </c>
      <c r="M7" s="20">
        <f>L7/L$9</f>
        <v>0.5521962808163573</v>
      </c>
      <c r="N7" s="19">
        <v>124825.71000000022</v>
      </c>
      <c r="O7" s="20">
        <f>N7/N$9</f>
        <v>0.50274134951483429</v>
      </c>
      <c r="P7" s="19">
        <v>92563.440000000061</v>
      </c>
      <c r="Q7" s="20">
        <f>P7/P$9</f>
        <v>0.59423427997062583</v>
      </c>
      <c r="R7" s="19">
        <v>39943.53</v>
      </c>
      <c r="S7" s="20">
        <f>R7/R$9</f>
        <v>1.0473963984705275</v>
      </c>
      <c r="T7" s="19">
        <v>136862.49000000005</v>
      </c>
      <c r="U7" s="20">
        <f>T7/T$9</f>
        <v>0.67494169450187491</v>
      </c>
      <c r="V7" s="19">
        <v>147991.41999999998</v>
      </c>
      <c r="W7" s="20">
        <f>V7/V$9</f>
        <v>0.65610410812371356</v>
      </c>
      <c r="X7" s="19">
        <v>147011.47000000009</v>
      </c>
      <c r="Y7" s="20">
        <f>X7/X$9</f>
        <v>0.61998047930788924</v>
      </c>
      <c r="Z7" s="19">
        <v>106111.31999999993</v>
      </c>
      <c r="AA7" s="21">
        <f>Z7/Z$9</f>
        <v>0.49062025817096105</v>
      </c>
      <c r="AB7" s="1">
        <f t="shared" si="0"/>
        <v>1288099.2600000002</v>
      </c>
      <c r="AC7" s="7">
        <f>+AB7/AB$9</f>
        <v>0.624425670210767</v>
      </c>
      <c r="AF7">
        <f>+AF5*AF6</f>
        <v>296689.60648585286</v>
      </c>
    </row>
    <row r="8" spans="2:32" ht="15.75" thickBot="1" x14ac:dyDescent="0.3">
      <c r="B8" s="9" t="s">
        <v>26</v>
      </c>
      <c r="C8" s="18"/>
      <c r="D8" s="19">
        <v>33431.519999999997</v>
      </c>
      <c r="E8" s="20">
        <f>D8/D$9</f>
        <v>0.21245855483021281</v>
      </c>
      <c r="F8" s="19">
        <v>53518.770000000004</v>
      </c>
      <c r="G8" s="20">
        <f>F8/F$9</f>
        <v>0.37145619728386536</v>
      </c>
      <c r="H8" s="19">
        <v>49140.439999999995</v>
      </c>
      <c r="I8" s="20">
        <f>H8/H$9</f>
        <v>0.33451312710608966</v>
      </c>
      <c r="J8" s="19">
        <v>33331.739999999991</v>
      </c>
      <c r="K8" s="20">
        <f>J8/J$9</f>
        <v>0.27942013414987144</v>
      </c>
      <c r="L8" s="19">
        <v>76706.35000000002</v>
      </c>
      <c r="M8" s="20">
        <f>L8/L$9</f>
        <v>0.44780371918364265</v>
      </c>
      <c r="N8" s="19">
        <v>123464.40999999993</v>
      </c>
      <c r="O8" s="20">
        <f>N8/N$9</f>
        <v>0.49725865048516571</v>
      </c>
      <c r="P8" s="19">
        <v>63205.830000000024</v>
      </c>
      <c r="Q8" s="20">
        <f>P8/P$9</f>
        <v>0.40576572002937417</v>
      </c>
      <c r="R8" s="19">
        <v>-1807.5100000000011</v>
      </c>
      <c r="S8" s="20">
        <f>R8/R$9</f>
        <v>-4.7396398470527373E-2</v>
      </c>
      <c r="T8" s="19">
        <v>65914.270000000033</v>
      </c>
      <c r="U8" s="20">
        <f>T8/T$9</f>
        <v>0.3250583054981252</v>
      </c>
      <c r="V8" s="19">
        <v>77569.460000000006</v>
      </c>
      <c r="W8" s="20">
        <f>V8/V$9</f>
        <v>0.34389589187628639</v>
      </c>
      <c r="X8" s="19">
        <v>90111.270000000048</v>
      </c>
      <c r="Y8" s="20">
        <f>X8/X$9</f>
        <v>0.38001952069211076</v>
      </c>
      <c r="Z8" s="19">
        <v>110168.62000000002</v>
      </c>
      <c r="AA8" s="21">
        <f>Z8/Z$9</f>
        <v>0.509379741829039</v>
      </c>
      <c r="AB8" s="1">
        <f t="shared" si="0"/>
        <v>774755.16999999993</v>
      </c>
      <c r="AC8" s="7">
        <f>+AB8/AB$9</f>
        <v>0.37557432978923272</v>
      </c>
    </row>
    <row r="9" spans="2:32" ht="17.25" thickTop="1" thickBot="1" x14ac:dyDescent="0.3">
      <c r="B9" s="5" t="s">
        <v>3</v>
      </c>
      <c r="C9" s="23"/>
      <c r="D9" s="24">
        <f>+SUM(D5:D8)</f>
        <v>157355.48999999996</v>
      </c>
      <c r="E9" s="25"/>
      <c r="F9" s="24">
        <f>+SUM(F5:F8)</f>
        <v>144078.28000000003</v>
      </c>
      <c r="G9" s="25"/>
      <c r="H9" s="25">
        <f>+SUM(H5:H8)</f>
        <v>146901.38000000006</v>
      </c>
      <c r="I9" s="25"/>
      <c r="J9" s="25">
        <f>+SUM(J5:J8)</f>
        <v>119288.97</v>
      </c>
      <c r="K9" s="25"/>
      <c r="L9" s="25">
        <f>+SUM(L5:L8)</f>
        <v>171294.58000000002</v>
      </c>
      <c r="M9" s="25"/>
      <c r="N9" s="25">
        <f>+SUM(N5:N8)</f>
        <v>248290.12000000017</v>
      </c>
      <c r="O9" s="25"/>
      <c r="P9" s="25">
        <f>+SUM(P5:P8)</f>
        <v>155769.27000000008</v>
      </c>
      <c r="Q9" s="25"/>
      <c r="R9" s="25">
        <f>+SUM(R5:R8)</f>
        <v>38136.019999999997</v>
      </c>
      <c r="S9" s="25"/>
      <c r="T9" s="25">
        <f>+SUM(T5:T8)</f>
        <v>202776.76000000007</v>
      </c>
      <c r="U9" s="25"/>
      <c r="V9" s="25">
        <f>+SUM(V5:V8)</f>
        <v>225560.88</v>
      </c>
      <c r="W9" s="25"/>
      <c r="X9" s="25">
        <f>+SUM(X5:X8)</f>
        <v>237122.74000000014</v>
      </c>
      <c r="Y9" s="25"/>
      <c r="Z9" s="25">
        <f>+SUM(Z5:Z8)</f>
        <v>216279.93999999994</v>
      </c>
      <c r="AA9" s="26"/>
      <c r="AB9" s="11">
        <f t="shared" si="0"/>
        <v>2062854.4300000006</v>
      </c>
    </row>
    <row r="10" spans="2:32" ht="15.75" thickTop="1" x14ac:dyDescent="0.25">
      <c r="B10" s="99" t="s">
        <v>30</v>
      </c>
      <c r="C10" s="96"/>
      <c r="D10" s="27"/>
      <c r="E10" s="28"/>
      <c r="F10" s="27"/>
      <c r="G10" s="28"/>
      <c r="H10" s="27"/>
      <c r="I10" s="28"/>
      <c r="J10" s="27"/>
      <c r="K10" s="28"/>
      <c r="L10" s="27"/>
      <c r="M10" s="28"/>
      <c r="N10" s="27"/>
      <c r="O10" s="28"/>
      <c r="P10" s="27"/>
      <c r="Q10" s="28"/>
      <c r="R10" s="27"/>
      <c r="S10" s="28"/>
      <c r="T10" s="27"/>
      <c r="U10" s="28"/>
      <c r="V10" s="27"/>
      <c r="W10" s="28"/>
      <c r="X10" s="27"/>
      <c r="Y10" s="28"/>
      <c r="Z10" s="27"/>
      <c r="AA10" s="29"/>
      <c r="AB10" s="1">
        <f t="shared" si="0"/>
        <v>0</v>
      </c>
      <c r="AC10" s="7">
        <f>+AB10/AB$17</f>
        <v>0</v>
      </c>
    </row>
    <row r="11" spans="2:32" x14ac:dyDescent="0.25">
      <c r="B11" s="100" t="s">
        <v>27</v>
      </c>
      <c r="C11" s="97"/>
      <c r="D11" s="30"/>
      <c r="E11" s="31"/>
      <c r="F11" s="30"/>
      <c r="G11" s="31"/>
      <c r="H11" s="30"/>
      <c r="I11" s="31"/>
      <c r="J11" s="30"/>
      <c r="K11" s="31"/>
      <c r="L11" s="30"/>
      <c r="M11" s="31"/>
      <c r="N11" s="30"/>
      <c r="O11" s="31"/>
      <c r="P11" s="30"/>
      <c r="Q11" s="31"/>
      <c r="R11" s="30"/>
      <c r="S11" s="31"/>
      <c r="T11" s="30"/>
      <c r="U11" s="31"/>
      <c r="V11" s="30"/>
      <c r="W11" s="31"/>
      <c r="X11" s="30"/>
      <c r="Y11" s="31"/>
      <c r="Z11" s="30"/>
      <c r="AA11" s="32"/>
      <c r="AB11" s="1">
        <f t="shared" si="0"/>
        <v>0</v>
      </c>
      <c r="AC11" s="7">
        <f>+AB11/AB$17</f>
        <v>0</v>
      </c>
    </row>
    <row r="12" spans="2:32" x14ac:dyDescent="0.25">
      <c r="B12" s="100" t="s">
        <v>28</v>
      </c>
      <c r="C12" s="97"/>
      <c r="D12" s="30">
        <v>26357.800000000003</v>
      </c>
      <c r="E12" s="31">
        <v>0.21269331510280062</v>
      </c>
      <c r="F12" s="30">
        <v>13894.359999999997</v>
      </c>
      <c r="G12" s="31">
        <v>0.15342795030582648</v>
      </c>
      <c r="H12" s="30">
        <v>7337.8100000000177</v>
      </c>
      <c r="I12" s="31">
        <v>7.5058709541868288E-2</v>
      </c>
      <c r="J12" s="30">
        <v>14862.510000000002</v>
      </c>
      <c r="K12" s="31">
        <v>0.172905874235361</v>
      </c>
      <c r="L12" s="30">
        <v>17723.249999999993</v>
      </c>
      <c r="M12" s="31">
        <v>0.18737267839772451</v>
      </c>
      <c r="N12" s="30">
        <v>22572.560000000001</v>
      </c>
      <c r="O12" s="31">
        <v>0.18083261853667776</v>
      </c>
      <c r="P12" s="30">
        <v>6971.620000000009</v>
      </c>
      <c r="Q12" s="31">
        <v>7.5317209472768126E-2</v>
      </c>
      <c r="R12" s="30">
        <v>7121.26</v>
      </c>
      <c r="S12" s="31">
        <v>0.17828319129531117</v>
      </c>
      <c r="T12" s="30">
        <v>23610.379999999994</v>
      </c>
      <c r="U12" s="31">
        <v>0.17251169403683936</v>
      </c>
      <c r="V12" s="30">
        <v>26634.330000000009</v>
      </c>
      <c r="W12" s="31">
        <v>0.17997212270819493</v>
      </c>
      <c r="X12" s="30">
        <v>23001.48000000001</v>
      </c>
      <c r="Y12" s="31">
        <v>0.15646044488909605</v>
      </c>
      <c r="Z12" s="30">
        <v>16045.999999999987</v>
      </c>
      <c r="AA12" s="32">
        <v>0.15121855048075925</v>
      </c>
      <c r="AB12" s="1">
        <f t="shared" si="0"/>
        <v>206133.36000000004</v>
      </c>
      <c r="AC12" s="7">
        <f>+AB12/AB$17</f>
        <v>0.16690901714269554</v>
      </c>
    </row>
    <row r="13" spans="2:32" x14ac:dyDescent="0.25">
      <c r="B13" s="100" t="s">
        <v>29</v>
      </c>
      <c r="C13" s="97"/>
      <c r="D13" s="30">
        <v>3301.110000000001</v>
      </c>
      <c r="E13" s="31">
        <v>9.8742444256198977E-2</v>
      </c>
      <c r="F13" s="30">
        <v>5479.6499999999987</v>
      </c>
      <c r="G13" s="31">
        <v>0.10238744276073607</v>
      </c>
      <c r="H13" s="30">
        <v>5322.84</v>
      </c>
      <c r="I13" s="31">
        <v>0.10831893243121145</v>
      </c>
      <c r="J13" s="30">
        <v>4516.25</v>
      </c>
      <c r="K13" s="31">
        <v>0.13549397661208212</v>
      </c>
      <c r="L13" s="30">
        <v>8788.6299999999992</v>
      </c>
      <c r="M13" s="31">
        <v>0.11457499933186753</v>
      </c>
      <c r="N13" s="30">
        <v>11097.000000000005</v>
      </c>
      <c r="O13" s="31">
        <v>8.9880152507107208E-2</v>
      </c>
      <c r="P13" s="30">
        <v>7722.97</v>
      </c>
      <c r="Q13" s="31">
        <v>0.12218762098369719</v>
      </c>
      <c r="R13" s="30">
        <v>-43.070000000000533</v>
      </c>
      <c r="S13" s="31">
        <v>2.3828360562320822E-2</v>
      </c>
      <c r="T13" s="30">
        <v>10391.450000000004</v>
      </c>
      <c r="U13" s="31">
        <v>0.1576509912041808</v>
      </c>
      <c r="V13" s="30">
        <v>2995.0199999999995</v>
      </c>
      <c r="W13" s="31">
        <v>3.861081410132286E-2</v>
      </c>
      <c r="X13" s="30">
        <v>11455.790000000005</v>
      </c>
      <c r="Y13" s="31">
        <v>0.12712938126385301</v>
      </c>
      <c r="Z13" s="30">
        <v>10490.670000000006</v>
      </c>
      <c r="AA13" s="32">
        <v>9.5223757908558748E-2</v>
      </c>
      <c r="AB13" s="1">
        <f t="shared" si="0"/>
        <v>81518.310000000027</v>
      </c>
      <c r="AC13" s="7">
        <f>+AB13/AB$17</f>
        <v>6.6006496965040351E-2</v>
      </c>
    </row>
    <row r="14" spans="2:32" x14ac:dyDescent="0.25">
      <c r="B14" s="101" t="s">
        <v>81</v>
      </c>
      <c r="C14" s="97"/>
      <c r="D14" s="33"/>
      <c r="E14" s="34"/>
      <c r="F14" s="36">
        <v>14730</v>
      </c>
      <c r="G14" s="34"/>
      <c r="H14" s="30">
        <v>200000</v>
      </c>
      <c r="I14" s="34"/>
      <c r="J14" s="30">
        <v>754006</v>
      </c>
      <c r="K14" s="33"/>
      <c r="L14" s="36">
        <v>10248</v>
      </c>
      <c r="M14" s="33"/>
      <c r="N14" s="30">
        <v>33828</v>
      </c>
      <c r="O14" s="33"/>
      <c r="P14" s="33"/>
      <c r="Q14" s="33"/>
      <c r="R14" s="36">
        <v>16341</v>
      </c>
      <c r="S14" s="33"/>
      <c r="T14" s="36">
        <v>676</v>
      </c>
      <c r="U14" s="33"/>
      <c r="V14" s="33"/>
      <c r="W14" s="33"/>
      <c r="X14" s="36">
        <v>125</v>
      </c>
      <c r="Y14" s="33"/>
      <c r="Z14" s="30">
        <v>138</v>
      </c>
      <c r="AA14" s="35"/>
    </row>
    <row r="15" spans="2:32" x14ac:dyDescent="0.25">
      <c r="B15" s="102" t="s">
        <v>4</v>
      </c>
      <c r="C15" s="98"/>
      <c r="D15" s="37">
        <f>-14821/1.2</f>
        <v>-12350.833333333334</v>
      </c>
      <c r="E15" s="38"/>
      <c r="F15" s="39"/>
      <c r="G15" s="38"/>
      <c r="H15" s="37">
        <f>-12958/1.2</f>
        <v>-10798.333333333334</v>
      </c>
      <c r="I15" s="38"/>
      <c r="J15" s="37">
        <f>-24383/1.2</f>
        <v>-20319.166666666668</v>
      </c>
      <c r="K15" s="39"/>
      <c r="L15" s="37">
        <f>-4464/1.2</f>
        <v>-3720</v>
      </c>
      <c r="M15" s="39"/>
      <c r="N15" s="37">
        <v>-11637</v>
      </c>
      <c r="O15" s="39"/>
      <c r="P15" s="39"/>
      <c r="Q15" s="39"/>
      <c r="R15" s="39"/>
      <c r="S15" s="39"/>
      <c r="T15" s="39"/>
      <c r="U15" s="39"/>
      <c r="V15" s="37">
        <v>-7054</v>
      </c>
      <c r="W15" s="39"/>
      <c r="X15" s="37">
        <f>-20232/1.2</f>
        <v>-16860</v>
      </c>
      <c r="Y15" s="39"/>
      <c r="Z15" s="39"/>
      <c r="AA15" s="22"/>
    </row>
    <row r="16" spans="2:32" ht="15.75" thickBot="1" x14ac:dyDescent="0.3">
      <c r="B16" s="103" t="s">
        <v>82</v>
      </c>
      <c r="C16" s="75"/>
      <c r="D16" s="6"/>
      <c r="E16" s="76"/>
      <c r="F16" s="8"/>
      <c r="G16" s="76"/>
      <c r="H16" s="6"/>
      <c r="I16" s="76"/>
      <c r="J16" s="6"/>
      <c r="K16" s="8"/>
      <c r="L16" s="6"/>
      <c r="M16" s="8"/>
      <c r="N16" s="6"/>
      <c r="O16" s="8"/>
      <c r="P16" s="8"/>
      <c r="Q16" s="8"/>
      <c r="R16" s="8"/>
      <c r="S16" s="8"/>
      <c r="T16" s="8"/>
      <c r="U16" s="8"/>
      <c r="V16" s="6"/>
      <c r="W16" s="8"/>
      <c r="X16" s="6"/>
      <c r="Y16" s="8"/>
      <c r="Z16" s="8"/>
      <c r="AA16" s="8"/>
      <c r="AB16">
        <f>+SUM(D16,F16,H16,J16,L16,N16,P16,R16,T16,V16,X16,Z16)</f>
        <v>0</v>
      </c>
    </row>
    <row r="17" spans="2:29" ht="17.25" thickTop="1" thickBot="1" x14ac:dyDescent="0.3">
      <c r="B17" s="10" t="s">
        <v>2</v>
      </c>
      <c r="C17" s="23"/>
      <c r="D17" s="24">
        <f>+SUM(D10:D16)</f>
        <v>17308.076666666668</v>
      </c>
      <c r="E17" s="42">
        <f>+D17/D$9</f>
        <v>0.10999347189390514</v>
      </c>
      <c r="F17" s="24">
        <f>+SUM(F10:F16)</f>
        <v>34104.009999999995</v>
      </c>
      <c r="G17" s="42">
        <f>+F17/F9</f>
        <v>0.23670472745787907</v>
      </c>
      <c r="H17" s="24">
        <f>+SUM(H10:H16)</f>
        <v>201862.31666666668</v>
      </c>
      <c r="I17" s="42">
        <f>+H17/H9</f>
        <v>1.3741349241693073</v>
      </c>
      <c r="J17" s="24">
        <f>+SUM(J10:J16)</f>
        <v>753065.59333333338</v>
      </c>
      <c r="K17" s="42">
        <f>+J17/J9</f>
        <v>6.3129524325118522</v>
      </c>
      <c r="L17" s="24">
        <f>+SUM(L10:L16)</f>
        <v>33039.87999999999</v>
      </c>
      <c r="M17" s="42">
        <f>+L17/L9</f>
        <v>0.19288339420897022</v>
      </c>
      <c r="N17" s="24">
        <f>+SUM(N10:N16)</f>
        <v>55860.56</v>
      </c>
      <c r="O17" s="42">
        <f>+N17/N9</f>
        <v>0.22498100206323135</v>
      </c>
      <c r="P17" s="24">
        <f>+SUM(P10:P16)</f>
        <v>14694.590000000009</v>
      </c>
      <c r="Q17" s="42">
        <f>+P17/P9</f>
        <v>9.4335615747573334E-2</v>
      </c>
      <c r="R17" s="24">
        <f>+SUM(R10:R16)</f>
        <v>23419.19</v>
      </c>
      <c r="S17" s="42">
        <f>+R17/R9</f>
        <v>0.61409633202415981</v>
      </c>
      <c r="T17" s="24">
        <f>+SUM(T10:T16)</f>
        <v>34677.83</v>
      </c>
      <c r="U17" s="42">
        <f>+T17/T9</f>
        <v>0.17101481451819228</v>
      </c>
      <c r="V17" s="24">
        <f>+SUM(V10:V16)</f>
        <v>22575.350000000009</v>
      </c>
      <c r="W17" s="42">
        <f>+V17/V9</f>
        <v>0.10008539601370596</v>
      </c>
      <c r="X17" s="24">
        <f>+SUM(X10:X16)</f>
        <v>17722.270000000019</v>
      </c>
      <c r="Y17" s="42">
        <f>+X17/X9</f>
        <v>7.473880404722047E-2</v>
      </c>
      <c r="Z17" s="24">
        <f>+SUM(Z10:Z16)</f>
        <v>26674.669999999991</v>
      </c>
      <c r="AA17" s="43">
        <f>+Z17/Z9</f>
        <v>0.12333399944534845</v>
      </c>
      <c r="AB17" s="11">
        <f>+SUM(D17,F17,H17,J17,L17,N17,P17,R17,T17,V17,X17,Z17)</f>
        <v>1235004.3366666669</v>
      </c>
      <c r="AC17" s="12">
        <f>+AB17/AB9</f>
        <v>0.59868710012013138</v>
      </c>
    </row>
    <row r="18" spans="2:29" ht="15.75" thickTop="1" x14ac:dyDescent="0.25">
      <c r="B18" s="40" t="s">
        <v>99</v>
      </c>
      <c r="C18" s="4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45"/>
      <c r="AB18">
        <f>+TBase[[#This Row],[Janvier]]+TBase[[#This Row],[Février]]+TBase[[#This Row],[Mars]]</f>
        <v>0</v>
      </c>
    </row>
    <row r="19" spans="2:29" x14ac:dyDescent="0.25">
      <c r="B19" s="41" t="s">
        <v>100</v>
      </c>
      <c r="C19" s="46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35"/>
      <c r="AB19" s="1">
        <f t="shared" ref="AB19" si="1">+SUM(D19,F19,H19,J19,L19,N19,P19,R19,T19,V19,X19,Z19)</f>
        <v>0</v>
      </c>
    </row>
    <row r="20" spans="2:29" x14ac:dyDescent="0.25">
      <c r="B20" s="41" t="s">
        <v>101</v>
      </c>
      <c r="C20" s="46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35"/>
      <c r="AB20" s="1">
        <f t="shared" ref="AB20" si="2">+SUM(D20,F20,H20,J20,L20,N20,P20,R20,T20,V20,X20,Z20)</f>
        <v>0</v>
      </c>
    </row>
    <row r="21" spans="2:29" x14ac:dyDescent="0.25">
      <c r="B21" s="41" t="s">
        <v>102</v>
      </c>
      <c r="C21" s="4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35"/>
      <c r="AB21" s="1">
        <f t="shared" ref="AB21" si="3">+SUM(D21,F21,H21,J21,L21,N21,P21,R21,T21,V21,X21,Z21)</f>
        <v>0</v>
      </c>
    </row>
    <row r="22" spans="2:29" x14ac:dyDescent="0.25">
      <c r="B22" s="41" t="s">
        <v>105</v>
      </c>
      <c r="C22" s="147"/>
      <c r="D22" s="148"/>
      <c r="E22" s="148"/>
      <c r="F22" s="4"/>
      <c r="G22" s="148"/>
      <c r="H22" s="148"/>
      <c r="I22" s="148"/>
      <c r="J22" s="148"/>
      <c r="K22" s="148"/>
      <c r="L22" s="148"/>
      <c r="M22" s="148"/>
      <c r="N22" s="148"/>
      <c r="O22" s="148"/>
      <c r="P22" s="148"/>
      <c r="Q22" s="148"/>
      <c r="R22" s="148"/>
      <c r="S22" s="148"/>
      <c r="T22" s="148"/>
      <c r="U22" s="148"/>
      <c r="V22" s="148"/>
      <c r="W22" s="148"/>
      <c r="X22" s="148"/>
      <c r="Y22" s="148"/>
      <c r="Z22" s="148"/>
      <c r="AA22" s="149"/>
      <c r="AB22" s="1">
        <f>+SUM(D22,F22,H22,J22,L22,N22,P22,R22,T22,V22,X22,Z22)</f>
        <v>0</v>
      </c>
    </row>
    <row r="23" spans="2:29" ht="15.75" thickBot="1" x14ac:dyDescent="0.3">
      <c r="B23" s="41" t="s">
        <v>103</v>
      </c>
      <c r="C23" s="47"/>
      <c r="D23" s="48"/>
      <c r="E23" s="48"/>
      <c r="F23" s="1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22"/>
      <c r="AB23" s="1">
        <f>+SUM(D23,F23,H23,J23,L23,N23,P23,R23,T23,V23,X23,Z23)</f>
        <v>0</v>
      </c>
    </row>
    <row r="24" spans="2:29" ht="17.25" thickTop="1" thickBot="1" x14ac:dyDescent="0.3">
      <c r="B24" s="5" t="s">
        <v>0</v>
      </c>
      <c r="C24" s="49"/>
      <c r="D24" s="24">
        <f>+SUM(D18:D23)</f>
        <v>0</v>
      </c>
      <c r="E24" s="50">
        <f>-D24/D$9</f>
        <v>0</v>
      </c>
      <c r="F24" s="24">
        <f>+SUM(F18:F23)</f>
        <v>0</v>
      </c>
      <c r="G24" s="50">
        <f>-F24/F$9</f>
        <v>0</v>
      </c>
      <c r="H24" s="24">
        <f>+SUM(H18:H23)</f>
        <v>0</v>
      </c>
      <c r="I24" s="50">
        <f>-H24/H$9</f>
        <v>0</v>
      </c>
      <c r="J24" s="24">
        <f>+SUM(J18:J23)</f>
        <v>0</v>
      </c>
      <c r="K24" s="50">
        <f>-J24/J$9</f>
        <v>0</v>
      </c>
      <c r="L24" s="24">
        <f>+SUM(L18:L23)</f>
        <v>0</v>
      </c>
      <c r="M24" s="50">
        <f>-L24/L$9</f>
        <v>0</v>
      </c>
      <c r="N24" s="24">
        <f>+SUM(N18:N23)</f>
        <v>0</v>
      </c>
      <c r="O24" s="50">
        <f>-N24/N$9</f>
        <v>0</v>
      </c>
      <c r="P24" s="24">
        <f>+SUM(P18:P23)</f>
        <v>0</v>
      </c>
      <c r="Q24" s="50">
        <f>-P24/P$9</f>
        <v>0</v>
      </c>
      <c r="R24" s="24">
        <f>+SUM(R18:R23)</f>
        <v>0</v>
      </c>
      <c r="S24" s="50">
        <f>-R24/R$9</f>
        <v>0</v>
      </c>
      <c r="T24" s="24">
        <f>+SUM(T18:T23)</f>
        <v>0</v>
      </c>
      <c r="U24" s="50">
        <f>-T24/T$9</f>
        <v>0</v>
      </c>
      <c r="V24" s="24">
        <f>+SUM(V18:V23)</f>
        <v>0</v>
      </c>
      <c r="W24" s="50">
        <f>-V24/V$9</f>
        <v>0</v>
      </c>
      <c r="X24" s="24">
        <f>+SUM(X18:X23)</f>
        <v>0</v>
      </c>
      <c r="Y24" s="50">
        <f>-X24/X$9</f>
        <v>0</v>
      </c>
      <c r="Z24" s="24">
        <f>+SUM(Z18:Z23)</f>
        <v>0</v>
      </c>
      <c r="AA24" s="51">
        <f>-Z24/Z$9</f>
        <v>0</v>
      </c>
      <c r="AB24" s="11">
        <f>+SUM(D24,F24,H24,J24,L24,N24,P24,R24,T24,V24,X24,Z24)</f>
        <v>0</v>
      </c>
      <c r="AC24" s="13">
        <f>-AB24/AB$9</f>
        <v>0</v>
      </c>
    </row>
    <row r="25" spans="2:29" ht="15.75" thickTop="1" x14ac:dyDescent="0.25"/>
  </sheetData>
  <conditionalFormatting sqref="D4">
    <cfRule type="cellIs" dxfId="124" priority="52" operator="equal">
      <formula>0</formula>
    </cfRule>
  </conditionalFormatting>
  <conditionalFormatting sqref="F4">
    <cfRule type="cellIs" dxfId="123" priority="51" operator="equal">
      <formula>0</formula>
    </cfRule>
  </conditionalFormatting>
  <conditionalFormatting sqref="H4">
    <cfRule type="cellIs" dxfId="122" priority="50" operator="equal">
      <formula>0</formula>
    </cfRule>
  </conditionalFormatting>
  <conditionalFormatting sqref="J4">
    <cfRule type="cellIs" dxfId="121" priority="49" operator="equal">
      <formula>0</formula>
    </cfRule>
  </conditionalFormatting>
  <conditionalFormatting sqref="L4">
    <cfRule type="cellIs" dxfId="120" priority="48" operator="equal">
      <formula>0</formula>
    </cfRule>
  </conditionalFormatting>
  <conditionalFormatting sqref="N4">
    <cfRule type="cellIs" dxfId="119" priority="47" operator="equal">
      <formula>0</formula>
    </cfRule>
  </conditionalFormatting>
  <conditionalFormatting sqref="P4">
    <cfRule type="cellIs" dxfId="118" priority="46" operator="equal">
      <formula>0</formula>
    </cfRule>
  </conditionalFormatting>
  <conditionalFormatting sqref="R4">
    <cfRule type="cellIs" dxfId="117" priority="45" operator="equal">
      <formula>0</formula>
    </cfRule>
  </conditionalFormatting>
  <conditionalFormatting sqref="T4">
    <cfRule type="cellIs" dxfId="116" priority="44" operator="equal">
      <formula>0</formula>
    </cfRule>
  </conditionalFormatting>
  <conditionalFormatting sqref="V4">
    <cfRule type="cellIs" dxfId="115" priority="43" operator="equal">
      <formula>0</formula>
    </cfRule>
  </conditionalFormatting>
  <conditionalFormatting sqref="X4">
    <cfRule type="cellIs" dxfId="114" priority="42" operator="equal">
      <formula>0</formula>
    </cfRule>
  </conditionalFormatting>
  <pageMargins left="0.7" right="0.7" top="0.75" bottom="0.75" header="0.3" footer="0.3"/>
  <pageSetup paperSize="9" orientation="portrait" r:id="rId1"/>
  <colBreaks count="1" manualBreakCount="1">
    <brk id="15" max="1048575" man="1"/>
  </colBreaks>
  <ignoredErrors>
    <ignoredError sqref="E17 G17 I17 K17 M17 O17 Q17 S17 U17 W17 Y17" formula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V25"/>
  <sheetViews>
    <sheetView workbookViewId="0">
      <pane ySplit="9" topLeftCell="A13" activePane="bottomLeft" state="frozen"/>
      <selection pane="bottomLeft" activeCell="A25" sqref="A25:XFD78"/>
    </sheetView>
  </sheetViews>
  <sheetFormatPr baseColWidth="10" defaultRowHeight="15" x14ac:dyDescent="0.25"/>
  <cols>
    <col min="2" max="2" width="11.85546875" bestFit="1" customWidth="1"/>
    <col min="3" max="3" width="7.7109375" customWidth="1"/>
    <col min="4" max="4" width="11.85546875" style="90" bestFit="1" customWidth="1"/>
    <col min="5" max="5" width="7.7109375" customWidth="1"/>
    <col min="6" max="6" width="11.85546875" customWidth="1"/>
    <col min="7" max="7" width="7.7109375" customWidth="1"/>
    <col min="9" max="9" width="5.7109375" customWidth="1"/>
    <col min="10" max="10" width="11.5703125" bestFit="1" customWidth="1"/>
    <col min="11" max="11" width="8.7109375" style="143" customWidth="1"/>
    <col min="12" max="12" width="45.7109375" customWidth="1"/>
    <col min="13" max="13" width="11.85546875" style="1" bestFit="1" customWidth="1"/>
    <col min="14" max="14" width="7.7109375" customWidth="1"/>
    <col min="16" max="16" width="7.7109375" customWidth="1"/>
    <col min="17" max="17" width="11.85546875" bestFit="1" customWidth="1"/>
    <col min="18" max="18" width="7.7109375" customWidth="1"/>
    <col min="19" max="19" width="12.28515625" customWidth="1"/>
    <col min="20" max="20" width="7.7109375" customWidth="1"/>
    <col min="22" max="22" width="7.7109375" customWidth="1"/>
  </cols>
  <sheetData>
    <row r="2" spans="2:22" ht="15.75" thickBot="1" x14ac:dyDescent="0.3"/>
    <row r="3" spans="2:22" ht="19.5" thickBot="1" x14ac:dyDescent="0.35">
      <c r="B3" s="93"/>
      <c r="C3" s="197" t="s">
        <v>33</v>
      </c>
      <c r="D3" s="198"/>
      <c r="E3" s="198"/>
      <c r="F3" s="198"/>
      <c r="G3" s="199"/>
      <c r="H3" s="195" t="s">
        <v>22</v>
      </c>
      <c r="I3" s="196"/>
      <c r="J3" s="196"/>
      <c r="K3" s="196"/>
      <c r="L3" s="91">
        <v>43466</v>
      </c>
      <c r="M3" s="104"/>
      <c r="N3" s="200" t="s">
        <v>20</v>
      </c>
      <c r="O3" s="200"/>
      <c r="P3" s="200"/>
      <c r="Q3" s="200"/>
      <c r="R3" s="201"/>
      <c r="S3" s="202" t="s">
        <v>22</v>
      </c>
      <c r="T3" s="203"/>
      <c r="U3" s="203"/>
      <c r="V3" s="204"/>
    </row>
    <row r="4" spans="2:22" ht="19.5" thickBot="1" x14ac:dyDescent="0.35">
      <c r="B4" s="106" t="s">
        <v>87</v>
      </c>
      <c r="C4" s="183" t="s">
        <v>120</v>
      </c>
      <c r="D4" s="184" t="s">
        <v>104</v>
      </c>
      <c r="E4" s="186" t="s">
        <v>119</v>
      </c>
      <c r="F4" s="3" t="s">
        <v>21</v>
      </c>
      <c r="G4" s="186" t="s">
        <v>111</v>
      </c>
      <c r="H4" s="185" t="s">
        <v>112</v>
      </c>
      <c r="I4" s="186" t="s">
        <v>113</v>
      </c>
      <c r="J4" s="185" t="s">
        <v>114</v>
      </c>
      <c r="K4" s="186" t="s">
        <v>115</v>
      </c>
      <c r="L4" s="92" t="s">
        <v>19</v>
      </c>
      <c r="M4" s="105" t="s">
        <v>83</v>
      </c>
      <c r="N4" s="187" t="s">
        <v>116</v>
      </c>
      <c r="O4" s="3" t="s">
        <v>84</v>
      </c>
      <c r="P4" s="187" t="s">
        <v>117</v>
      </c>
      <c r="Q4" s="115" t="s">
        <v>86</v>
      </c>
      <c r="R4" s="188" t="s">
        <v>118</v>
      </c>
      <c r="S4" s="105" t="s">
        <v>110</v>
      </c>
      <c r="T4" s="190" t="s">
        <v>121</v>
      </c>
      <c r="U4" s="105" t="s">
        <v>85</v>
      </c>
      <c r="V4" s="191" t="s">
        <v>32</v>
      </c>
    </row>
    <row r="5" spans="2:22" ht="15.75" thickTop="1" x14ac:dyDescent="0.25">
      <c r="B5" s="56">
        <f ca="1">IFERROR(SUMIF(L$4:L$24,TBase[[#Headers],[CATEGORIES]],TBase[[#This Row],[Janvier]]),0)</f>
        <v>0</v>
      </c>
      <c r="C5" s="60">
        <f ca="1">B5/B$9</f>
        <v>0</v>
      </c>
      <c r="D5" s="88"/>
      <c r="E5" s="193" t="str">
        <f>IFERROR(IF(D5="","",TJanv[[#This Row],[Budget]]/$F$9),0)</f>
        <v/>
      </c>
      <c r="F5" s="78">
        <v>1018018</v>
      </c>
      <c r="G5" s="79">
        <v>0.48016840500592656</v>
      </c>
      <c r="H5" s="80"/>
      <c r="I5" s="81"/>
      <c r="J5" s="168">
        <f ca="1">IF(OR(B5="",F5=""),"",F5-B5)</f>
        <v>1018018</v>
      </c>
      <c r="K5" s="79">
        <f ca="1">IFERROR(IF(OR(B5="",F5=""),"",TJanv[[#This Row],[Reel/2018]]/TJanv[[#This Row],[Janvier]]),0)</f>
        <v>0</v>
      </c>
      <c r="L5" s="65" t="str">
        <f>+'2018'!B5</f>
        <v>Ventes de matériaux Livré</v>
      </c>
      <c r="M5" s="109">
        <f ca="1">+IF(TJanv[[#This Row],[Janvier]]="","",TJanv[[#This Row],[Janvier]])</f>
        <v>0</v>
      </c>
      <c r="N5" s="62"/>
      <c r="O5" s="88" t="str">
        <f>+IF(TJanv[[#This Row],[Budget]]="","",TJanv[[#This Row],[Budget]])</f>
        <v/>
      </c>
      <c r="P5" s="62"/>
      <c r="Q5" s="109">
        <f>+IF(TJanv[[#This Row],[Réel]]="","",TJanv[[#This Row],[Réel]])</f>
        <v>1018018</v>
      </c>
      <c r="R5" s="62"/>
      <c r="S5" s="112"/>
      <c r="T5" s="62"/>
      <c r="U5" s="134"/>
      <c r="V5" s="116"/>
    </row>
    <row r="6" spans="2:22" x14ac:dyDescent="0.25">
      <c r="B6" s="56">
        <f ca="1">IFERROR(SUMIF(L$4:L$24,TBase[[#Headers],[CATEGORIES]],TBase[[#This Row],[Janvier]]),0)</f>
        <v>0</v>
      </c>
      <c r="C6" s="61">
        <f ca="1">B6/B$9</f>
        <v>0</v>
      </c>
      <c r="D6" s="89"/>
      <c r="E6" s="152" t="str">
        <f>IFERROR(IF(D6="","",TJanv[[#This Row],[Budget]]/$F$9),0)</f>
        <v/>
      </c>
      <c r="F6" s="82">
        <v>901918</v>
      </c>
      <c r="G6" s="83">
        <v>0.42540753454863789</v>
      </c>
      <c r="H6" s="84"/>
      <c r="I6" s="85"/>
      <c r="J6" s="171">
        <f t="shared" ref="J6:J8" ca="1" si="0">IF(OR(B6="",F6=""),"",F6-B6)</f>
        <v>901918</v>
      </c>
      <c r="K6" s="83">
        <f ca="1">IFERROR(IF(OR(B6="",F6=""),"",TJanv[[#This Row],[Reel/2018]]/TJanv[[#This Row],[Janvier]]),0)</f>
        <v>0</v>
      </c>
      <c r="L6" s="65" t="str">
        <f>+'2018'!B6</f>
        <v>Ventes de matériaux Direct</v>
      </c>
      <c r="M6" s="110">
        <f ca="1">+IF(TJanv[[#This Row],[Janvier]]="","",TJanv[[#This Row],[Janvier]])</f>
        <v>0</v>
      </c>
      <c r="N6" s="63"/>
      <c r="O6" s="89" t="str">
        <f>+IF(TJanv[[#This Row],[Budget]]="","",TJanv[[#This Row],[Budget]])</f>
        <v/>
      </c>
      <c r="P6" s="63"/>
      <c r="Q6" s="110">
        <f>+IF(TJanv[[#This Row],[Réel]]="","",TJanv[[#This Row],[Réel]])</f>
        <v>901918</v>
      </c>
      <c r="R6" s="63"/>
      <c r="S6" s="113"/>
      <c r="T6" s="63"/>
      <c r="U6" s="135"/>
      <c r="V6" s="117"/>
    </row>
    <row r="7" spans="2:22" x14ac:dyDescent="0.25">
      <c r="B7" s="57">
        <f ca="1">IFERROR(SUMIF(L$4:L$24,TBase[[#Headers],[CATEGORIES]],TBase[[#This Row],[Janvier]]),0)</f>
        <v>123923.96999999997</v>
      </c>
      <c r="C7" s="61">
        <f ca="1">B7/B$9</f>
        <v>0.78754144516978719</v>
      </c>
      <c r="D7" s="89"/>
      <c r="E7" s="152" t="str">
        <f>IFERROR(IF(D7="","",TJanv[[#This Row],[Budget]]/$F$9),0)</f>
        <v/>
      </c>
      <c r="F7" s="82">
        <v>91756</v>
      </c>
      <c r="G7" s="83">
        <v>4.3278539445986017E-2</v>
      </c>
      <c r="H7" s="84"/>
      <c r="I7" s="85"/>
      <c r="J7" s="171">
        <f t="shared" ca="1" si="0"/>
        <v>-32167.969999999972</v>
      </c>
      <c r="K7" s="83">
        <f ca="1">IFERROR(IF(OR(B7="",F7=""),"",TJanv[[#This Row],[Reel/2018]]/TJanv[[#This Row],[Janvier]]),0)</f>
        <v>-0.25957827206471823</v>
      </c>
      <c r="L7" s="65" t="str">
        <f>+'2018'!B7</f>
        <v>Ventes de matériaux Enlevé</v>
      </c>
      <c r="M7" s="110">
        <f ca="1">+IF(TJanv[[#This Row],[Janvier]]="","",TJanv[[#This Row],[Janvier]])</f>
        <v>123923.96999999997</v>
      </c>
      <c r="N7" s="63"/>
      <c r="O7" s="89" t="str">
        <f>+IF(TJanv[[#This Row],[Budget]]="","",TJanv[[#This Row],[Budget]])</f>
        <v/>
      </c>
      <c r="P7" s="63"/>
      <c r="Q7" s="110">
        <f>+IF(TJanv[[#This Row],[Réel]]="","",TJanv[[#This Row],[Réel]])</f>
        <v>91756</v>
      </c>
      <c r="R7" s="63"/>
      <c r="S7" s="113"/>
      <c r="T7" s="63"/>
      <c r="U7" s="135"/>
      <c r="V7" s="117"/>
    </row>
    <row r="8" spans="2:22" ht="15.75" thickBot="1" x14ac:dyDescent="0.3">
      <c r="B8" s="57">
        <f ca="1">IFERROR(SUMIF(L$4:L$24,TBase[[#Headers],[CATEGORIES]],TBase[[#This Row],[Janvier]]),0)</f>
        <v>33431.519999999997</v>
      </c>
      <c r="C8" s="61">
        <f ca="1">B8/B$9</f>
        <v>0.21245855483021281</v>
      </c>
      <c r="D8" s="89"/>
      <c r="E8" s="152" t="str">
        <f>IFERROR(IF(D8="","",TJanv[[#This Row],[Budget]]/$F$9),0)</f>
        <v/>
      </c>
      <c r="F8" s="82">
        <v>108435</v>
      </c>
      <c r="G8" s="86">
        <v>5.1145520999449565E-2</v>
      </c>
      <c r="H8" s="84"/>
      <c r="I8" s="85"/>
      <c r="J8" s="171">
        <f t="shared" ca="1" si="0"/>
        <v>75003.48000000001</v>
      </c>
      <c r="K8" s="83">
        <f ca="1">IFERROR(IF(OR(B8="",F8=""),"",TJanv[[#This Row],[Reel/2018]]/TJanv[[#This Row],[Janvier]]),0)</f>
        <v>2.2434959583052168</v>
      </c>
      <c r="L8" s="65" t="str">
        <f>+'2018'!B8</f>
        <v>Ventes de matériaux Franco</v>
      </c>
      <c r="M8" s="110">
        <f ca="1">+IF(TJanv[[#This Row],[Janvier]]="","",TJanv[[#This Row],[Janvier]])</f>
        <v>33431.519999999997</v>
      </c>
      <c r="N8" s="63"/>
      <c r="O8" s="89" t="str">
        <f>+IF(TJanv[[#This Row],[Budget]]="","",TJanv[[#This Row],[Budget]])</f>
        <v/>
      </c>
      <c r="P8" s="63"/>
      <c r="Q8" s="110">
        <f>+IF(TJanv[[#This Row],[Réel]]="","",TJanv[[#This Row],[Réel]])</f>
        <v>108435</v>
      </c>
      <c r="R8" s="63"/>
      <c r="S8" s="113"/>
      <c r="T8" s="63"/>
      <c r="U8" s="135"/>
      <c r="V8" s="117"/>
    </row>
    <row r="9" spans="2:22" s="118" customFormat="1" ht="17.25" thickTop="1" thickBot="1" x14ac:dyDescent="0.3">
      <c r="B9" s="119">
        <f ca="1">IFERROR(SUMIF(L$4:L$24,TBase[[#Headers],[CATEGORIES]],TBase[[#This Row],[Janvier]]),0)</f>
        <v>157355.48999999996</v>
      </c>
      <c r="C9" s="142"/>
      <c r="D9" s="144">
        <f>+TJanv[[#This Row],[Réel]]</f>
        <v>2120127</v>
      </c>
      <c r="E9" s="194"/>
      <c r="F9" s="123">
        <f>+SUM(F5:F8)</f>
        <v>2120127</v>
      </c>
      <c r="G9" s="124"/>
      <c r="H9" s="125"/>
      <c r="I9" s="124"/>
      <c r="J9" s="173">
        <f ca="1">F9-B9</f>
        <v>1962771.51</v>
      </c>
      <c r="K9" s="174">
        <f ca="1">IFERROR(IF(OR(B9="",F9=""),"",TJanv[[#This Row],[Reel/2018]]/TJanv[[#This Row],[Janvier]]),0)</f>
        <v>12.473486053775439</v>
      </c>
      <c r="L9" s="107" t="str">
        <f>+'2018'!B9</f>
        <v>CA TOTAL</v>
      </c>
      <c r="M9" s="132">
        <f ca="1">+IF(TJanv[[#This Row],[Janvier]]="","",TJanv[[#This Row],[Janvier]])</f>
        <v>157355.48999999996</v>
      </c>
      <c r="N9" s="122"/>
      <c r="O9" s="121">
        <f>+IF(TJanv[[#This Row],[Budget]]="","",TJanv[[#This Row],[Budget]])</f>
        <v>2120127</v>
      </c>
      <c r="P9" s="122"/>
      <c r="Q9" s="132">
        <f>+IF(TJanv[[#This Row],[Réel]]="","",TJanv[[#This Row],[Réel]])</f>
        <v>2120127</v>
      </c>
      <c r="R9" s="122"/>
      <c r="S9" s="133"/>
      <c r="T9" s="122"/>
      <c r="U9" s="136"/>
      <c r="V9" s="128"/>
    </row>
    <row r="10" spans="2:22" ht="15.75" thickTop="1" x14ac:dyDescent="0.25">
      <c r="B10" s="141">
        <f ca="1">IFERROR(SUMIF(L$4:L$24,TBase[[#Headers],[CATEGORIES]],TBase[[#This Row],[Janvier]]),0)</f>
        <v>0</v>
      </c>
      <c r="C10" s="61">
        <v>0.15010000000000001</v>
      </c>
      <c r="D10" s="89"/>
      <c r="E10" s="192" t="str">
        <f>IFERROR(IF(D10="","",TJanv[[#This Row],[Budget]]/$F$9),0)</f>
        <v/>
      </c>
      <c r="F10" s="82">
        <v>175262</v>
      </c>
      <c r="G10" s="83">
        <v>0.17219999999999999</v>
      </c>
      <c r="H10" s="84"/>
      <c r="I10" s="87"/>
      <c r="J10" s="171">
        <f ca="1">IF(OR(B10="",F10=""),"",F10-B10)</f>
        <v>175262</v>
      </c>
      <c r="K10" s="83">
        <f ca="1">IFERROR(IF(OR(B10="",F10=""),"",TJanv[[#This Row],[Reel/2018]]/TJanv[[#This Row],[Janvier]]),0)</f>
        <v>0</v>
      </c>
      <c r="L10" s="66" t="str">
        <f>+'2018'!B10</f>
        <v>Marge matériaux Livré</v>
      </c>
      <c r="M10" s="110">
        <f ca="1">+IF(TJanv[[#This Row],[Janvier]]="","",TJanv[[#This Row],[Janvier]])</f>
        <v>0</v>
      </c>
      <c r="N10" s="64"/>
      <c r="O10" s="89" t="str">
        <f>+IF(TJanv[[#This Row],[Budget]]="","",TJanv[[#This Row],[Budget]])</f>
        <v/>
      </c>
      <c r="P10" s="64"/>
      <c r="Q10" s="110">
        <f>+IF(TJanv[[#This Row],[Réel]]="","",TJanv[[#This Row],[Réel]])</f>
        <v>175262</v>
      </c>
      <c r="R10" s="64"/>
      <c r="S10" s="113"/>
      <c r="T10" s="64"/>
      <c r="U10" s="135"/>
      <c r="V10" s="117"/>
    </row>
    <row r="11" spans="2:22" x14ac:dyDescent="0.25">
      <c r="B11" s="138">
        <f ca="1">IFERROR(SUMIF(L$4:L$24,TBase[[#Headers],[CATEGORIES]],TBase[[#This Row],[Janvier]]),0)</f>
        <v>0</v>
      </c>
      <c r="C11" s="61">
        <v>7.4499999999999997E-2</v>
      </c>
      <c r="D11" s="89"/>
      <c r="E11" s="192" t="str">
        <f>IFERROR(IF(D11="","",TJanv[[#This Row],[Budget]]/$F$9),0)</f>
        <v/>
      </c>
      <c r="F11" s="82">
        <v>71667</v>
      </c>
      <c r="G11" s="83">
        <v>7.9500000000000001E-2</v>
      </c>
      <c r="H11" s="84"/>
      <c r="I11" s="87"/>
      <c r="J11" s="171">
        <f t="shared" ref="J11:J24" ca="1" si="1">IF(OR(B11="",F11=""),"",F11-B11)</f>
        <v>71667</v>
      </c>
      <c r="K11" s="83">
        <f ca="1">IFERROR(IF(OR(B11="",F11=""),"",TJanv[[#This Row],[Reel/2018]]/TJanv[[#This Row],[Janvier]]),0)</f>
        <v>0</v>
      </c>
      <c r="L11" s="65" t="str">
        <f>+'2018'!B11</f>
        <v>Marge matériaux Direct</v>
      </c>
      <c r="M11" s="110">
        <f ca="1">+IF(TJanv[[#This Row],[Janvier]]="","",TJanv[[#This Row],[Janvier]])</f>
        <v>0</v>
      </c>
      <c r="N11" s="64"/>
      <c r="O11" s="89" t="str">
        <f>+IF(TJanv[[#This Row],[Budget]]="","",TJanv[[#This Row],[Budget]])</f>
        <v/>
      </c>
      <c r="P11" s="64"/>
      <c r="Q11" s="110">
        <f>+IF(TJanv[[#This Row],[Réel]]="","",TJanv[[#This Row],[Réel]])</f>
        <v>71667</v>
      </c>
      <c r="R11" s="64"/>
      <c r="S11" s="113"/>
      <c r="T11" s="64"/>
      <c r="U11" s="135"/>
      <c r="V11" s="117"/>
    </row>
    <row r="12" spans="2:22" x14ac:dyDescent="0.25">
      <c r="B12" s="138">
        <f ca="1">IFERROR(SUMIF(L$4:L$24,TBase[[#Headers],[CATEGORIES]],TBase[[#This Row],[Janvier]]),0)</f>
        <v>26357.800000000003</v>
      </c>
      <c r="C12" s="61">
        <v>0.17599999999999999</v>
      </c>
      <c r="D12" s="89"/>
      <c r="E12" s="192" t="str">
        <f>IFERROR(IF(D12="","",TJanv[[#This Row],[Budget]]/$F$9),0)</f>
        <v/>
      </c>
      <c r="F12" s="82">
        <v>14923</v>
      </c>
      <c r="G12" s="83">
        <v>0.16170000000000001</v>
      </c>
      <c r="H12" s="84"/>
      <c r="I12" s="87"/>
      <c r="J12" s="171">
        <f t="shared" ca="1" si="1"/>
        <v>-11434.800000000003</v>
      </c>
      <c r="K12" s="83">
        <f ca="1">IFERROR(IF(OR(B12="",F12=""),"",TJanv[[#This Row],[Reel/2018]]/TJanv[[#This Row],[Janvier]]),0)</f>
        <v>-0.43382983405291797</v>
      </c>
      <c r="L12" s="65" t="str">
        <f>+'2018'!B12</f>
        <v>Marge matériaux Enlevé</v>
      </c>
      <c r="M12" s="110">
        <f ca="1">+IF(TJanv[[#This Row],[Janvier]]="","",TJanv[[#This Row],[Janvier]])</f>
        <v>26357.800000000003</v>
      </c>
      <c r="N12" s="64"/>
      <c r="O12" s="89" t="str">
        <f>+IF(TJanv[[#This Row],[Budget]]="","",TJanv[[#This Row],[Budget]])</f>
        <v/>
      </c>
      <c r="P12" s="64"/>
      <c r="Q12" s="110">
        <f>+IF(TJanv[[#This Row],[Réel]]="","",TJanv[[#This Row],[Réel]])</f>
        <v>14923</v>
      </c>
      <c r="R12" s="64"/>
      <c r="S12" s="113"/>
      <c r="T12" s="64"/>
      <c r="U12" s="135"/>
      <c r="V12" s="117"/>
    </row>
    <row r="13" spans="2:22" x14ac:dyDescent="0.25">
      <c r="B13" s="138">
        <f ca="1">IFERROR(SUMIF(L$4:L$24,TBase[[#Headers],[CATEGORIES]],TBase[[#This Row],[Janvier]]),0)</f>
        <v>3301.110000000001</v>
      </c>
      <c r="C13" s="61">
        <v>0.1235</v>
      </c>
      <c r="D13" s="89"/>
      <c r="E13" s="192" t="str">
        <f>IFERROR(IF(D13="","",TJanv[[#This Row],[Budget]]/$F$9),0)</f>
        <v/>
      </c>
      <c r="F13" s="82">
        <v>14193</v>
      </c>
      <c r="G13" s="86">
        <v>0.13089999999999999</v>
      </c>
      <c r="H13" s="84"/>
      <c r="I13" s="87"/>
      <c r="J13" s="171">
        <f t="shared" ca="1" si="1"/>
        <v>10891.89</v>
      </c>
      <c r="K13" s="83">
        <f ca="1">IFERROR(IF(OR(B13="",F13=""),"",TJanv[[#This Row],[Reel/2018]]/TJanv[[#This Row],[Janvier]]),0)</f>
        <v>3.2994629079309674</v>
      </c>
      <c r="L13" s="65" t="str">
        <f>+'2018'!B13</f>
        <v>Marge matériaux Franco</v>
      </c>
      <c r="M13" s="110">
        <f ca="1">+IF(TJanv[[#This Row],[Janvier]]="","",TJanv[[#This Row],[Janvier]])</f>
        <v>3301.110000000001</v>
      </c>
      <c r="N13" s="64"/>
      <c r="O13" s="89" t="str">
        <f>+IF(TJanv[[#This Row],[Budget]]="","",TJanv[[#This Row],[Budget]])</f>
        <v/>
      </c>
      <c r="P13" s="64"/>
      <c r="Q13" s="110">
        <f>+IF(TJanv[[#This Row],[Réel]]="","",TJanv[[#This Row],[Réel]])</f>
        <v>14193</v>
      </c>
      <c r="R13" s="64"/>
      <c r="S13" s="113"/>
      <c r="T13" s="64"/>
      <c r="U13" s="135"/>
      <c r="V13" s="117"/>
    </row>
    <row r="14" spans="2:22" x14ac:dyDescent="0.25">
      <c r="B14" s="141">
        <f ca="1">IFERROR(SUMIF(L$4:L$24,TBase[[#Headers],[CATEGORIES]],TBase[[#This Row],[Janvier]]),0)</f>
        <v>0</v>
      </c>
      <c r="C14" s="139"/>
      <c r="D14" s="89">
        <v>0</v>
      </c>
      <c r="E14" s="192">
        <f>IFERROR(IF(D14="","",TJanv[[#This Row],[Budget]]/$F$9),0)</f>
        <v>0</v>
      </c>
      <c r="F14" s="82">
        <f>IFERROR(SUMPRODUCT((Feuil1!C$2:C$18731&gt;=janvier!$L$3)*(Feuil1!C$2:C$18731&lt;=EOMONTH(janvier!$L$3,0))*(ISNUMBER(SEARCH("BFA",Feuil1!E$2:E$18731)))*(ISNUMBER(SEARCH("C",Feuil1!G$2:G$18731)))*Feuil1!F$2:F$18731),0)</f>
        <v>0</v>
      </c>
      <c r="G14" s="83"/>
      <c r="H14" s="84"/>
      <c r="I14" s="87"/>
      <c r="J14" s="171">
        <f t="shared" ca="1" si="1"/>
        <v>0</v>
      </c>
      <c r="K14" s="83">
        <f ca="1">IFERROR(IF(OR(B14="",F14=""),"",TJanv[[#This Row],[Reel/2018]]/TJanv[[#This Row],[Janvier]]),0)</f>
        <v>0</v>
      </c>
      <c r="L14" s="67" t="str">
        <f>+'2018'!B14</f>
        <v xml:space="preserve">BFA N-1 </v>
      </c>
      <c r="M14" s="110">
        <f ca="1">+IF(TJanv[[#This Row],[Janvier]]="","",TJanv[[#This Row],[Janvier]])</f>
        <v>0</v>
      </c>
      <c r="N14" s="111"/>
      <c r="O14" s="89">
        <f>+IF(TJanv[[#This Row],[Budget]]="","",TJanv[[#This Row],[Budget]])</f>
        <v>0</v>
      </c>
      <c r="P14" s="111"/>
      <c r="Q14" s="110">
        <f>+IF(TJanv[[#This Row],[Réel]]="","",TJanv[[#This Row],[Réel]])</f>
        <v>0</v>
      </c>
      <c r="R14" s="111"/>
      <c r="S14" s="113"/>
      <c r="T14" s="111"/>
      <c r="U14" s="135"/>
      <c r="V14" s="117"/>
    </row>
    <row r="15" spans="2:22" x14ac:dyDescent="0.25">
      <c r="B15" s="59">
        <f ca="1">IFERROR(SUMIF(L$4:L$24,TBase[[#Headers],[CATEGORIES]],TBase[[#This Row],[Janvier]]),0)</f>
        <v>-12350.833333333334</v>
      </c>
      <c r="C15" s="139"/>
      <c r="D15" s="89"/>
      <c r="E15" s="192" t="str">
        <f>IFERROR(IF(D15="","",TJanv[[#This Row],[Budget]]/$F$9),0)</f>
        <v/>
      </c>
      <c r="F15" s="82">
        <f>IFERROR(SUMPRODUCT((Feuil1!C$2:C$18731&gt;=janvier!$L$3)*(Feuil1!C$2:C$18731&lt;=EOMONTH(janvier!$L$3,0))*(ISNUMBER(SEARCH("BFA",Feuil1!E$2:E$18731)))*(ISNUMBER(SEARCH("D",Feuil1!G$2:G$18731)))*Feuil1!F$2:F$18731),0)</f>
        <v>0</v>
      </c>
      <c r="G15" s="83"/>
      <c r="H15" s="84"/>
      <c r="I15" s="87"/>
      <c r="J15" s="171">
        <f t="shared" ca="1" si="1"/>
        <v>12350.833333333334</v>
      </c>
      <c r="K15" s="83">
        <f ca="1">IFERROR(IF(OR(B15="",F15=""),"",TJanv[[#This Row],[Reel/2018]]/TJanv[[#This Row],[Janvier]]),0)</f>
        <v>-1</v>
      </c>
      <c r="L15" s="68" t="str">
        <f>+'2018'!B15</f>
        <v>RFA Reversées N-1</v>
      </c>
      <c r="M15" s="110">
        <f ca="1">+IF(TJanv[[#This Row],[Janvier]]="","",TJanv[[#This Row],[Janvier]])</f>
        <v>-12350.833333333334</v>
      </c>
      <c r="N15" s="64"/>
      <c r="O15" s="89" t="str">
        <f>+IF(TJanv[[#This Row],[Budget]]="","",TJanv[[#This Row],[Budget]])</f>
        <v/>
      </c>
      <c r="P15" s="64"/>
      <c r="Q15" s="110">
        <f>+IF(TJanv[[#This Row],[Réel]]="","",TJanv[[#This Row],[Réel]])</f>
        <v>0</v>
      </c>
      <c r="R15" s="64"/>
      <c r="S15" s="113"/>
      <c r="T15" s="64"/>
      <c r="U15" s="135"/>
      <c r="V15" s="117"/>
    </row>
    <row r="16" spans="2:22" ht="15.75" thickBot="1" x14ac:dyDescent="0.3">
      <c r="B16" s="140">
        <f ca="1">IFERROR(SUMIF(L$4:L$24,TBase[[#Headers],[CATEGORIES]],TBase[[#This Row],[Janvier]]),0)</f>
        <v>0</v>
      </c>
      <c r="C16" s="139"/>
      <c r="D16" s="89"/>
      <c r="E16" s="192" t="str">
        <f>IFERROR(IF(D16="","",TJanv[[#This Row],[Budget]]/$F$9),0)</f>
        <v/>
      </c>
      <c r="F16" s="82"/>
      <c r="G16" s="83"/>
      <c r="H16" s="84"/>
      <c r="I16" s="87"/>
      <c r="J16" s="171"/>
      <c r="K16" s="83" t="str">
        <f ca="1">IFERROR(IF(OR(B16="",F16=""),"",TFevr[[#This Row],[Reel/2018]]/TFevr[[#This Row],[0]]),0)</f>
        <v/>
      </c>
      <c r="L16" s="65" t="str">
        <f>+'2018'!B16</f>
        <v>Escomptes Clients</v>
      </c>
      <c r="M16" s="110">
        <f ca="1">+IF(TJanv[[#This Row],[Janvier]]="","",TJanv[[#This Row],[Janvier]])</f>
        <v>0</v>
      </c>
      <c r="N16" s="64"/>
      <c r="O16" s="89" t="str">
        <f>+IF(TJanv[[#This Row],[Budget]]="","",TJanv[[#This Row],[Budget]])</f>
        <v/>
      </c>
      <c r="P16" s="64"/>
      <c r="Q16" s="110" t="str">
        <f>+IF(TJanv[[#This Row],[Réel]]="","",TJanv[[#This Row],[Réel]])</f>
        <v/>
      </c>
      <c r="R16" s="64"/>
      <c r="S16" s="113"/>
      <c r="T16" s="64"/>
      <c r="U16" s="135"/>
      <c r="V16" s="117"/>
    </row>
    <row r="17" spans="2:22" s="118" customFormat="1" ht="17.25" thickTop="1" thickBot="1" x14ac:dyDescent="0.3">
      <c r="B17" s="119">
        <f ca="1">IFERROR(SUMIF(L$4:L$24,TBase[[#Headers],[CATEGORIES]],TBase[[#This Row],[Janvier]]),0)</f>
        <v>17308.076666666668</v>
      </c>
      <c r="C17" s="129">
        <f ca="1">+B17/B9</f>
        <v>0.10999347189390514</v>
      </c>
      <c r="D17" s="130">
        <f>+TJanv[[#This Row],[Réel]]</f>
        <v>276045</v>
      </c>
      <c r="E17" s="131">
        <f>IFERROR(IF(D17="","",TJanv[[#This Row],[Budget]]/$F$9),0)</f>
        <v>0.13020210581724587</v>
      </c>
      <c r="F17" s="130">
        <f>+SUM(F10:F16)</f>
        <v>276045</v>
      </c>
      <c r="G17" s="131">
        <f>+F17/F$9</f>
        <v>0.13020210581724587</v>
      </c>
      <c r="H17" s="132"/>
      <c r="I17" s="122"/>
      <c r="J17" s="177">
        <f t="shared" ca="1" si="1"/>
        <v>258736.92333333334</v>
      </c>
      <c r="K17" s="178">
        <f ca="1">IFERROR(IF(OR(B17="",F17=""),"",TJanv[[#This Row],[Reel/2018]]/TJanv[[#This Row],[Janvier]]),0)</f>
        <v>14.948912482669458</v>
      </c>
      <c r="L17" s="108" t="str">
        <f>+'2018'!B17</f>
        <v>MARGE BRUTE</v>
      </c>
      <c r="M17" s="132">
        <f ca="1">+IF(TJanv[[#This Row],[Janvier]]="","",TJanv[[#This Row],[Janvier]])</f>
        <v>17308.076666666668</v>
      </c>
      <c r="N17" s="122"/>
      <c r="O17" s="121">
        <f>+IF(TJanv[[#This Row],[Budget]]="","",TJanv[[#This Row],[Budget]])</f>
        <v>276045</v>
      </c>
      <c r="P17" s="122"/>
      <c r="Q17" s="132">
        <f>+IF(TJanv[[#This Row],[Réel]]="","",TJanv[[#This Row],[Réel]])</f>
        <v>276045</v>
      </c>
      <c r="R17" s="122"/>
      <c r="S17" s="133"/>
      <c r="T17" s="122"/>
      <c r="U17" s="136"/>
      <c r="V17" s="128"/>
    </row>
    <row r="18" spans="2:22" ht="15.75" thickTop="1" x14ac:dyDescent="0.25">
      <c r="B18" s="56">
        <f ca="1">IFERROR(SUMIF(L$4:L$24,TBase[[#Headers],[CATEGORIES]],TBase[[#This Row],[Janvier]]),0)</f>
        <v>0</v>
      </c>
      <c r="C18" s="4"/>
      <c r="D18" s="89"/>
      <c r="E18" s="152"/>
      <c r="F18" s="82">
        <f>IFERROR(SUMPRODUCT((Feuil1!C$2:C$18731&gt;=janvier!$L$3)*(Feuil1!C$2:C$18731&lt;=EOMONTH(janvier!$L$3,0))*(ISNUMBER(SEARCH("Salaire",Feuil1!E$2:E$18731)))*Feuil1!F$2:F$18731),0)</f>
        <v>-54830.020000000004</v>
      </c>
      <c r="G18" s="85"/>
      <c r="H18" s="84"/>
      <c r="I18" s="85"/>
      <c r="J18" s="171">
        <f t="shared" ca="1" si="1"/>
        <v>-54830.020000000004</v>
      </c>
      <c r="K18" s="83">
        <f ca="1">IFERROR(IF(OR(B18="",F18=""),"",TJanv[[#This Row],[Reel/2018]]/TJanv[[#This Row],[Janvier]]),0)</f>
        <v>0</v>
      </c>
      <c r="L18" s="69" t="str">
        <f>+'2018'!B18</f>
        <v>Salaires</v>
      </c>
      <c r="M18" s="110">
        <f ca="1">+IF(TJanv[[#This Row],[Janvier]]="","",TJanv[[#This Row],[Janvier]])</f>
        <v>0</v>
      </c>
      <c r="N18" s="63"/>
      <c r="O18" s="89" t="str">
        <f>+IF(TJanv[[#This Row],[Budget]]="","",TJanv[[#This Row],[Budget]])</f>
        <v/>
      </c>
      <c r="P18" s="63"/>
      <c r="Q18" s="110">
        <f>+IF(TJanv[[#This Row],[Réel]]="","",TJanv[[#This Row],[Réel]])</f>
        <v>-54830.020000000004</v>
      </c>
      <c r="R18" s="63"/>
      <c r="S18" s="113"/>
      <c r="T18" s="63"/>
      <c r="U18" s="135"/>
      <c r="V18" s="117"/>
    </row>
    <row r="19" spans="2:22" x14ac:dyDescent="0.25">
      <c r="B19" s="57">
        <f ca="1">IFERROR(SUMIF(L$4:L$24,TBase[[#Headers],[CATEGORIES]],TBase[[#This Row],[Janvier]]),0)</f>
        <v>0</v>
      </c>
      <c r="C19" s="4"/>
      <c r="D19" s="89"/>
      <c r="E19" s="152"/>
      <c r="F19" s="82">
        <f>IFERROR(SUMPRODUCT((Feuil1!C$2:C$18731&gt;=janvier!$L$3)*(Feuil1!C$2:C$18731&lt;=EOMONTH(janvier!$L$3,0))*(ISNUMBER(SEARCH("URSSAF",Feuil1!D$2:D$18731)))*Feuil1!F$2:F$18731),0)</f>
        <v>0</v>
      </c>
      <c r="G19" s="85"/>
      <c r="H19" s="84"/>
      <c r="I19" s="85"/>
      <c r="J19" s="171">
        <f t="shared" ca="1" si="1"/>
        <v>0</v>
      </c>
      <c r="K19" s="83">
        <f ca="1">IFERROR(IF(OR(B19="",F19=""),"",TJanv[[#This Row],[Reel/2018]]/TJanv[[#This Row],[Janvier]]),0)</f>
        <v>0</v>
      </c>
      <c r="L19" s="70" t="str">
        <f>+'2018'!B19</f>
        <v>Charge Salaire URSSAF</v>
      </c>
      <c r="M19" s="110">
        <f ca="1">+IF(TJanv[[#This Row],[Janvier]]="","",TJanv[[#This Row],[Janvier]])</f>
        <v>0</v>
      </c>
      <c r="N19" s="63"/>
      <c r="O19" s="89" t="str">
        <f>+IF(TJanv[[#This Row],[Budget]]="","",TJanv[[#This Row],[Budget]])</f>
        <v/>
      </c>
      <c r="P19" s="63"/>
      <c r="Q19" s="110">
        <f>+IF(TJanv[[#This Row],[Réel]]="","",TJanv[[#This Row],[Réel]])</f>
        <v>0</v>
      </c>
      <c r="R19" s="63"/>
      <c r="S19" s="113"/>
      <c r="T19" s="63"/>
      <c r="U19" s="135"/>
      <c r="V19" s="117"/>
    </row>
    <row r="20" spans="2:22" x14ac:dyDescent="0.25">
      <c r="B20" s="57">
        <f ca="1">IFERROR(SUMIF(L$4:L$24,TBase[[#Headers],[CATEGORIES]],TBase[[#This Row],[Janvier]]),0)</f>
        <v>0</v>
      </c>
      <c r="C20" s="4"/>
      <c r="D20" s="89"/>
      <c r="E20" s="152"/>
      <c r="F20" s="82">
        <f>IFERROR(SUMPRODUCT((Feuil1!C$2:C$18731&gt;=janvier!$L$3)*(Feuil1!C$2:C$18731&lt;=EOMONTH(janvier!$L$3,0))*(ISNUMBER(SEARCH("Retraite",Feuil1!D$2:D$18731)))*Feuil1!F$2:F$18731),0)</f>
        <v>0</v>
      </c>
      <c r="G20" s="85"/>
      <c r="H20" s="84"/>
      <c r="I20" s="85"/>
      <c r="J20" s="171">
        <f t="shared" ca="1" si="1"/>
        <v>0</v>
      </c>
      <c r="K20" s="83">
        <f ca="1">IFERROR(IF(OR(B20="",F20=""),"",TJanv[[#This Row],[Reel/2018]]/TJanv[[#This Row],[Janvier]]),0)</f>
        <v>0</v>
      </c>
      <c r="L20" s="70" t="str">
        <f>+'2018'!B20</f>
        <v>Charge Salaire Retraite</v>
      </c>
      <c r="M20" s="110">
        <f ca="1">+IF(TJanv[[#This Row],[Janvier]]="","",TJanv[[#This Row],[Janvier]])</f>
        <v>0</v>
      </c>
      <c r="N20" s="63"/>
      <c r="O20" s="89" t="str">
        <f>+IF(TJanv[[#This Row],[Budget]]="","",TJanv[[#This Row],[Budget]])</f>
        <v/>
      </c>
      <c r="P20" s="63"/>
      <c r="Q20" s="110">
        <f>+IF(TJanv[[#This Row],[Réel]]="","",TJanv[[#This Row],[Réel]])</f>
        <v>0</v>
      </c>
      <c r="R20" s="63"/>
      <c r="S20" s="113"/>
      <c r="T20" s="63"/>
      <c r="U20" s="135"/>
      <c r="V20" s="117"/>
    </row>
    <row r="21" spans="2:22" x14ac:dyDescent="0.25">
      <c r="B21" s="57">
        <f ca="1">IFERROR(SUMIF(L$4:L$24,TBase[[#Headers],[CATEGORIES]],TBase[[#This Row],[Janvier]]),0)</f>
        <v>0</v>
      </c>
      <c r="C21" s="4"/>
      <c r="D21" s="89">
        <v>-700</v>
      </c>
      <c r="E21" s="152"/>
      <c r="F21" s="82">
        <f>IFERROR(SUMPRODUCT((Feuil1!C$2:C$18731&gt;=janvier!$L$3)*(Feuil1!C$2:C$18731&lt;=EOMONTH(janvier!$L$3,0))*(ISNUMBER(SEARCH("prévoyance",Feuil1!D$2:D$18731)))*Feuil1!F$2:F$18731),0)</f>
        <v>0</v>
      </c>
      <c r="G21" s="85"/>
      <c r="H21" s="84"/>
      <c r="I21" s="85"/>
      <c r="J21" s="171">
        <f t="shared" ca="1" si="1"/>
        <v>0</v>
      </c>
      <c r="K21" s="83">
        <f ca="1">IFERROR(IF(OR(B21="",F21=""),"",TJanv[[#This Row],[Reel/2018]]/TJanv[[#This Row],[Janvier]]),0)</f>
        <v>0</v>
      </c>
      <c r="L21" s="70" t="str">
        <f>+'2018'!B21</f>
        <v>Charge Salaire Prévoyance</v>
      </c>
      <c r="M21" s="110">
        <f ca="1">+IF(TJanv[[#This Row],[Janvier]]="","",TJanv[[#This Row],[Janvier]])</f>
        <v>0</v>
      </c>
      <c r="N21" s="63"/>
      <c r="O21" s="89">
        <f>+IF(TJanv[[#This Row],[Budget]]="","",TJanv[[#This Row],[Budget]])</f>
        <v>-700</v>
      </c>
      <c r="P21" s="63"/>
      <c r="Q21" s="110">
        <f>+IF(TJanv[[#This Row],[Réel]]="","",TJanv[[#This Row],[Réel]])</f>
        <v>0</v>
      </c>
      <c r="R21" s="63"/>
      <c r="S21" s="113"/>
      <c r="T21" s="63"/>
      <c r="U21" s="135"/>
      <c r="V21" s="117"/>
    </row>
    <row r="22" spans="2:22" x14ac:dyDescent="0.25">
      <c r="B22" s="71">
        <f ca="1">IFERROR(SUMIF(L$4:L$24,TBase[[#Headers],[CATEGORIES]],TBase[[#This Row],[Janvier]]),0)</f>
        <v>0</v>
      </c>
      <c r="C22" s="4"/>
      <c r="D22" s="161"/>
      <c r="E22" s="152"/>
      <c r="F22" s="82">
        <f>IFERROR(SUMPRODUCT((Feuil1!C$2:C$18731&gt;=janvier!$L$3)*(Feuil1!C$2:C$18731&lt;=EOMONTH(janvier!$L$3,0))*(ISNUMBER(SEARCH("Médecine",Feuil1!D$2:D$18731)))*Feuil1!F$2:F$18731),0)</f>
        <v>0</v>
      </c>
      <c r="G22" s="85"/>
      <c r="H22" s="84"/>
      <c r="I22" s="85"/>
      <c r="J22" s="171"/>
      <c r="K22" s="83"/>
      <c r="L22" s="70" t="str">
        <f>+'2018'!B22</f>
        <v>Medecine Travail</v>
      </c>
      <c r="M22" s="110">
        <f ca="1">+IF(TJanv[[#This Row],[Janvier]]="","",TJanv[[#This Row],[Janvier]])</f>
        <v>0</v>
      </c>
      <c r="N22" s="63"/>
      <c r="O22" s="89" t="str">
        <f>+IF(TJanv[[#This Row],[Budget]]="","",TJanv[[#This Row],[Budget]])</f>
        <v/>
      </c>
      <c r="P22" s="63"/>
      <c r="Q22" s="110">
        <f>+IF(TJanv[[#This Row],[Réel]]="","",TJanv[[#This Row],[Réel]])</f>
        <v>0</v>
      </c>
      <c r="R22" s="63"/>
      <c r="S22" s="113"/>
      <c r="T22" s="63"/>
      <c r="U22" s="135"/>
      <c r="V22" s="117"/>
    </row>
    <row r="23" spans="2:22" ht="15.75" thickBot="1" x14ac:dyDescent="0.3">
      <c r="B23" s="71">
        <f ca="1">IFERROR(SUMIF(L$4:L$24,TBase[[#Headers],[CATEGORIES]],TBase[[#This Row],[Janvier]]),0)</f>
        <v>0</v>
      </c>
      <c r="C23" s="4"/>
      <c r="D23" s="89">
        <v>-2515</v>
      </c>
      <c r="E23" s="152"/>
      <c r="F23" s="82">
        <f>IFERROR(SUMPRODUCT((Feuil1!C$2:C$18731&gt;=janvier!$L$3)*(Feuil1!C$2:C$18731&lt;=EOMONTH(janvier!$L$3,0))*(ISNUMBER(SEARCH("Mutuelle",Feuil1!D$2:D$18731)))*Feuil1!F$2:F$18731),0)</f>
        <v>0</v>
      </c>
      <c r="G23" s="85"/>
      <c r="H23" s="84"/>
      <c r="I23" s="85"/>
      <c r="J23" s="171">
        <f t="shared" ca="1" si="1"/>
        <v>0</v>
      </c>
      <c r="K23" s="83">
        <f ca="1">IFERROR(IF(OR(B23="",F23=""),"",TJanv[[#This Row],[Reel/2018]]/TJanv[[#This Row],[Janvier]]),0)</f>
        <v>0</v>
      </c>
      <c r="L23" s="70" t="str">
        <f>+'2018'!B23</f>
        <v>Charge Salaire Mutuelle</v>
      </c>
      <c r="M23" s="110">
        <f ca="1">+IF(TJanv[[#This Row],[Janvier]]="","",TJanv[[#This Row],[Janvier]])</f>
        <v>0</v>
      </c>
      <c r="N23" s="63"/>
      <c r="O23" s="89">
        <f>+IF(TJanv[[#This Row],[Budget]]="","",TJanv[[#This Row],[Budget]])</f>
        <v>-2515</v>
      </c>
      <c r="P23" s="63"/>
      <c r="Q23" s="110">
        <f>+IF(TJanv[[#This Row],[Réel]]="","",TJanv[[#This Row],[Réel]])</f>
        <v>0</v>
      </c>
      <c r="R23" s="63"/>
      <c r="S23" s="113"/>
      <c r="T23" s="63"/>
      <c r="U23" s="135"/>
      <c r="V23" s="117"/>
    </row>
    <row r="24" spans="2:22" s="118" customFormat="1" ht="17.25" thickTop="1" thickBot="1" x14ac:dyDescent="0.3">
      <c r="B24" s="119">
        <f ca="1">IFERROR(SUMIF(L$4:L$24,TBase[[#Headers],[CATEGORIES]],TBase[[#This Row],[Janvier]]),0)</f>
        <v>0</v>
      </c>
      <c r="C24" s="120">
        <f ca="1">-TFevr[[#This Row],[Réel]]/B9</f>
        <v>0.34897670236990158</v>
      </c>
      <c r="D24" s="144">
        <f>+SUMPRODUCT((F18:F23)*(D18:D23=""))+SUM(D18:D23)</f>
        <v>-58045.020000000004</v>
      </c>
      <c r="E24" s="189">
        <f>IFERROR(IF(D24="","",TJanv[[#This Row],[Budget]]/$F$9),0)</f>
        <v>-2.7378086312753909E-2</v>
      </c>
      <c r="F24" s="123">
        <f>+SUM(F18:F23)</f>
        <v>-54830.020000000004</v>
      </c>
      <c r="G24" s="146">
        <f>-F24/F$9</f>
        <v>2.5861667720848799E-2</v>
      </c>
      <c r="H24" s="125"/>
      <c r="I24" s="124"/>
      <c r="J24" s="173">
        <f t="shared" ca="1" si="1"/>
        <v>-54830.020000000004</v>
      </c>
      <c r="K24" s="174">
        <f ca="1">IFERROR(IF(OR(B24="",F24=""),"",TJanv[[#This Row],[Reel/2018]]/TJanv[[#This Row],[Janvier]]),0)</f>
        <v>0</v>
      </c>
      <c r="L24" s="107" t="str">
        <f>+'2018'!B24</f>
        <v>PERSONNEL</v>
      </c>
      <c r="M24" s="132">
        <f ca="1">+IF(TJanv[[#This Row],[Janvier]]="","",TJanv[[#This Row],[Janvier]])</f>
        <v>0</v>
      </c>
      <c r="N24" s="122"/>
      <c r="O24" s="121">
        <f>+IF(TJanv[[#This Row],[Budget]]="","",TJanv[[#This Row],[Budget]])</f>
        <v>-58045.020000000004</v>
      </c>
      <c r="P24" s="122"/>
      <c r="Q24" s="132">
        <f>+IF(TJanv[[#This Row],[Réel]]="","",TJanv[[#This Row],[Réel]])</f>
        <v>-54830.020000000004</v>
      </c>
      <c r="R24" s="122"/>
      <c r="S24" s="133"/>
      <c r="T24" s="122"/>
      <c r="U24" s="136"/>
      <c r="V24" s="128"/>
    </row>
    <row r="25" spans="2:22" ht="15.75" thickTop="1" x14ac:dyDescent="0.25"/>
  </sheetData>
  <mergeCells count="4">
    <mergeCell ref="H3:K3"/>
    <mergeCell ref="C3:G3"/>
    <mergeCell ref="N3:R3"/>
    <mergeCell ref="S3:V3"/>
  </mergeCells>
  <conditionalFormatting sqref="K1:K3 K18:K23 K14:K15 K5:K8 K25:K1048576">
    <cfRule type="cellIs" dxfId="86" priority="348" operator="lessThan">
      <formula>0</formula>
    </cfRule>
  </conditionalFormatting>
  <conditionalFormatting sqref="K10:K13">
    <cfRule type="cellIs" dxfId="85" priority="347" operator="lessThan">
      <formula>0</formula>
    </cfRule>
  </conditionalFormatting>
  <conditionalFormatting sqref="K17">
    <cfRule type="cellIs" dxfId="84" priority="346" operator="lessThan">
      <formula>0</formula>
    </cfRule>
  </conditionalFormatting>
  <conditionalFormatting sqref="L9 N1:V3 B1:L3 N5:P5 R5:T5 L16 N6:T24 L24 U5:V24 F17:L23 F5:L8 F16:J16 F10:L15 F9:J9 F24:J24 B5:C24 B25:V1048576">
    <cfRule type="cellIs" dxfId="83" priority="338" operator="equal">
      <formula>0</formula>
    </cfRule>
  </conditionalFormatting>
  <conditionalFormatting sqref="K24">
    <cfRule type="cellIs" dxfId="82" priority="118" operator="lessThan">
      <formula>0</formula>
    </cfRule>
  </conditionalFormatting>
  <conditionalFormatting sqref="K24">
    <cfRule type="cellIs" dxfId="81" priority="117" operator="equal">
      <formula>0</formula>
    </cfRule>
  </conditionalFormatting>
  <conditionalFormatting sqref="K9">
    <cfRule type="cellIs" dxfId="80" priority="116" operator="lessThan">
      <formula>0</formula>
    </cfRule>
  </conditionalFormatting>
  <conditionalFormatting sqref="K9">
    <cfRule type="cellIs" dxfId="79" priority="115" operator="equal">
      <formula>0</formula>
    </cfRule>
  </conditionalFormatting>
  <conditionalFormatting sqref="K18:K23">
    <cfRule type="cellIs" dxfId="78" priority="142" operator="lessThan">
      <formula>0</formula>
    </cfRule>
  </conditionalFormatting>
  <conditionalFormatting sqref="M1:M3 M5:M24">
    <cfRule type="cellIs" dxfId="77" priority="112" operator="equal">
      <formula>0</formula>
    </cfRule>
  </conditionalFormatting>
  <conditionalFormatting sqref="Q5">
    <cfRule type="cellIs" dxfId="76" priority="109" operator="equal">
      <formula>0</formula>
    </cfRule>
  </conditionalFormatting>
  <conditionalFormatting sqref="K16">
    <cfRule type="cellIs" dxfId="75" priority="91" operator="equal">
      <formula>0</formula>
    </cfRule>
  </conditionalFormatting>
  <conditionalFormatting sqref="K16">
    <cfRule type="cellIs" dxfId="74" priority="92" operator="lessThan">
      <formula>0</formula>
    </cfRule>
  </conditionalFormatting>
  <conditionalFormatting sqref="D24 D5:D16 D18:D22">
    <cfRule type="cellIs" dxfId="73" priority="55" operator="equal">
      <formula>0</formula>
    </cfRule>
  </conditionalFormatting>
  <conditionalFormatting sqref="D17">
    <cfRule type="cellIs" dxfId="72" priority="50" operator="equal">
      <formula>0</formula>
    </cfRule>
  </conditionalFormatting>
  <conditionalFormatting sqref="K4">
    <cfRule type="cellIs" dxfId="71" priority="40" operator="lessThan">
      <formula>0</formula>
    </cfRule>
  </conditionalFormatting>
  <conditionalFormatting sqref="H4">
    <cfRule type="cellIs" dxfId="70" priority="39" operator="between">
      <formula>2</formula>
      <formula>-2</formula>
    </cfRule>
  </conditionalFormatting>
  <conditionalFormatting sqref="J4">
    <cfRule type="cellIs" dxfId="69" priority="38" operator="between">
      <formula>2</formula>
      <formula>-2</formula>
    </cfRule>
  </conditionalFormatting>
  <conditionalFormatting sqref="E5:E24">
    <cfRule type="cellIs" dxfId="68" priority="1" operator="equal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V25"/>
  <sheetViews>
    <sheetView tabSelected="1" workbookViewId="0">
      <pane ySplit="9" topLeftCell="A10" activePane="bottomLeft" state="frozen"/>
      <selection pane="bottomLeft" activeCell="B7" sqref="B7"/>
    </sheetView>
  </sheetViews>
  <sheetFormatPr baseColWidth="10" defaultRowHeight="15" x14ac:dyDescent="0.25"/>
  <cols>
    <col min="1" max="1" width="2.7109375" customWidth="1"/>
    <col min="2" max="2" width="11.85546875" bestFit="1" customWidth="1"/>
    <col min="3" max="3" width="7.7109375" customWidth="1"/>
    <col min="4" max="4" width="11.85546875" style="90" customWidth="1"/>
    <col min="5" max="5" width="7.7109375" customWidth="1"/>
    <col min="6" max="6" width="11.85546875" bestFit="1" customWidth="1"/>
    <col min="7" max="7" width="7.7109375" customWidth="1"/>
    <col min="9" max="9" width="7.7109375" customWidth="1"/>
    <col min="10" max="10" width="12.5703125" bestFit="1" customWidth="1"/>
    <col min="11" max="11" width="7.7109375" customWidth="1"/>
    <col min="12" max="12" width="45.7109375" customWidth="1"/>
    <col min="13" max="13" width="11.85546875" style="1" bestFit="1" customWidth="1"/>
    <col min="14" max="14" width="7.7109375" customWidth="1"/>
    <col min="15" max="15" width="11.85546875" customWidth="1"/>
    <col min="16" max="16" width="7.7109375" customWidth="1"/>
    <col min="17" max="17" width="11.85546875" bestFit="1" customWidth="1"/>
    <col min="18" max="18" width="7.7109375" customWidth="1"/>
    <col min="19" max="19" width="12.28515625" style="1" customWidth="1"/>
    <col min="20" max="20" width="7.7109375" customWidth="1"/>
    <col min="21" max="21" width="13.7109375" style="1" bestFit="1" customWidth="1"/>
    <col min="22" max="22" width="7.7109375" style="162" customWidth="1"/>
  </cols>
  <sheetData>
    <row r="2" spans="2:22" ht="19.5" thickBot="1" x14ac:dyDescent="0.35">
      <c r="B2" s="208" t="str">
        <f>PROPER(TEXT(L3,"mmmm"))</f>
        <v>Février</v>
      </c>
    </row>
    <row r="3" spans="2:22" ht="19.5" thickBot="1" x14ac:dyDescent="0.35">
      <c r="C3" s="197" t="s">
        <v>33</v>
      </c>
      <c r="D3" s="198"/>
      <c r="E3" s="198"/>
      <c r="F3" s="198"/>
      <c r="G3" s="199"/>
      <c r="H3" s="195" t="s">
        <v>22</v>
      </c>
      <c r="I3" s="196"/>
      <c r="J3" s="196"/>
      <c r="K3" s="196"/>
      <c r="L3" s="91">
        <f>EDATE(janvier!L3,1)</f>
        <v>43497</v>
      </c>
      <c r="M3" s="205" t="s">
        <v>20</v>
      </c>
      <c r="N3" s="206"/>
      <c r="O3" s="206"/>
      <c r="P3" s="206"/>
      <c r="Q3" s="206"/>
      <c r="R3" s="207"/>
      <c r="S3" s="203" t="s">
        <v>22</v>
      </c>
      <c r="T3" s="203"/>
      <c r="U3" s="203"/>
      <c r="V3" s="204"/>
    </row>
    <row r="4" spans="2:22" ht="19.5" thickBot="1" x14ac:dyDescent="0.35">
      <c r="B4" s="106" t="s">
        <v>122</v>
      </c>
      <c r="C4" s="183" t="s">
        <v>120</v>
      </c>
      <c r="D4" s="184" t="s">
        <v>104</v>
      </c>
      <c r="E4" s="186" t="s">
        <v>119</v>
      </c>
      <c r="F4" s="3" t="s">
        <v>21</v>
      </c>
      <c r="G4" s="186" t="s">
        <v>111</v>
      </c>
      <c r="H4" s="185" t="s">
        <v>112</v>
      </c>
      <c r="I4" s="186" t="s">
        <v>113</v>
      </c>
      <c r="J4" s="185" t="s">
        <v>114</v>
      </c>
      <c r="K4" s="186" t="s">
        <v>115</v>
      </c>
      <c r="L4" s="92" t="s">
        <v>19</v>
      </c>
      <c r="M4" s="105" t="s">
        <v>83</v>
      </c>
      <c r="N4" s="187" t="s">
        <v>116</v>
      </c>
      <c r="O4" s="3" t="s">
        <v>84</v>
      </c>
      <c r="P4" s="187" t="s">
        <v>117</v>
      </c>
      <c r="Q4" s="115" t="s">
        <v>86</v>
      </c>
      <c r="R4" s="188" t="s">
        <v>118</v>
      </c>
      <c r="S4" s="105" t="s">
        <v>110</v>
      </c>
      <c r="T4" s="190" t="s">
        <v>121</v>
      </c>
      <c r="U4" s="105" t="s">
        <v>85</v>
      </c>
      <c r="V4" s="191" t="s">
        <v>32</v>
      </c>
    </row>
    <row r="5" spans="2:22" ht="15" customHeight="1" thickTop="1" x14ac:dyDescent="0.25">
      <c r="B5" s="56">
        <f ca="1">IFERROR(SUMIF(L$4:L$24,TBase[[#Headers],[CATEGORIES]],TBase[[#This Row],[Février]]),0)</f>
        <v>0</v>
      </c>
      <c r="C5" s="60">
        <f ca="1">B5/B$9</f>
        <v>0</v>
      </c>
      <c r="D5" s="88"/>
      <c r="E5" s="193" t="str">
        <f>IFERROR(IF(D5="","",TFevr[[#This Row],[Budget]]/$F$9),0)</f>
        <v/>
      </c>
      <c r="F5" s="78">
        <v>1125014</v>
      </c>
      <c r="G5" s="79">
        <f>F5/F$9</f>
        <v>0.51829369702816397</v>
      </c>
      <c r="H5" s="166" t="str">
        <f>IF(OR(D5="",TFevr[[#This Row],[Réel]]=""),"",F5-TFevr[[#This Row],[Budget]])</f>
        <v/>
      </c>
      <c r="I5" s="167" t="str">
        <f>IFERROR(IF(OR(TFevr[[#This Row],[Budget]]="",F5=""),"",TFevr[[#This Row],[Reel/Budg.]]/TFevr[[#This Row],[0]]),0)</f>
        <v/>
      </c>
      <c r="J5" s="168">
        <f ca="1">IF(OR(B5="",F5=""),"",F5-B5)</f>
        <v>1125014</v>
      </c>
      <c r="K5" s="79">
        <f ca="1">IFERROR(IF(OR(B5="",F5=""),"",TFevr[[#This Row],[Reel/2018]]/TFevr[[#This Row],[0]]),0)</f>
        <v>0</v>
      </c>
      <c r="L5" s="65" t="str">
        <f>+'2018'!B5</f>
        <v>Ventes de matériaux Livré</v>
      </c>
      <c r="M5" s="137">
        <f ca="1">IFERROR(INDIRECT("'"&amp;TEXT(DATEVALUE("01/"&amp;MID(CELL("filename",$L5),FIND("]",CELL("filename",$L5))+1,99))-1,"mmmm")&amp;"'!m5")+B5,0)</f>
        <v>0</v>
      </c>
      <c r="N5" s="60">
        <f ca="1">+TFevr[[#This Row],[R2018]]/M$9</f>
        <v>0</v>
      </c>
      <c r="O5" s="157">
        <f ca="1">IFERROR(INDIRECT("'"&amp;TEXT(DATEVALUE("01/"&amp;MID(CELL("filename",$L5),FIND("]",CELL("filename",$L5))+1,99))-1,"mmmm")&amp;"'!o5")+D5,0)</f>
        <v>0</v>
      </c>
      <c r="P5" s="114"/>
      <c r="Q5" s="137">
        <f ca="1">IFERROR(INDIRECT("'"&amp;TEXT(DATEVALUE("01/"&amp;MID(CELL("filename",$L5),FIND("]",CELL("filename",$L5))+1,99))-1,"mmmm")&amp;"'!q5")+F5,0)</f>
        <v>2143032</v>
      </c>
      <c r="R5" s="154">
        <f ca="1">+TFevr[[#This Row],[R2018]]/Q$9</f>
        <v>0</v>
      </c>
      <c r="S5" s="180">
        <f ca="1">TFevr[[#This Row],[R19/18]]-TFevr[[#This Row],[R2018]]</f>
        <v>2143032</v>
      </c>
      <c r="T5" s="79">
        <f ca="1">IFERROR(IF(OR(M5="",Q5=""),"",TFevr[[#This Row],[R19/2018]]/TFevr[[#This Row],[R2018]]),0)</f>
        <v>0</v>
      </c>
      <c r="U5" s="158" t="str">
        <f ca="1">IF(TFevr[[#This Row],[B2019]]=0,"",TFevr[[#This Row],[R19/18]]-TFevr[[#This Row],[B2019]])</f>
        <v/>
      </c>
      <c r="V5" s="163">
        <f ca="1">IFERROR(IF(OR(O5="",Q5=""),"",TFevr[[#This Row],[R19/2018]]/TFevr[[#This Row],[B2019]]),0)</f>
        <v>0</v>
      </c>
    </row>
    <row r="6" spans="2:22" x14ac:dyDescent="0.25">
      <c r="B6" s="56">
        <f ca="1">IFERROR(SUMIF(L$4:L$24,TBase[[#Headers],[CATEGORIES]],TBase[[#This Row],[Février]]),0)</f>
        <v>0</v>
      </c>
      <c r="C6" s="61">
        <f ca="1">B6/B$9</f>
        <v>0</v>
      </c>
      <c r="D6" s="89"/>
      <c r="E6" s="152" t="str">
        <f>IFERROR(IF(D6="","",TFevr[[#This Row],[Budget]]/$F$9),0)</f>
        <v/>
      </c>
      <c r="F6" s="82">
        <v>791607</v>
      </c>
      <c r="G6" s="83">
        <f>F6/F$9</f>
        <v>0.36469316703914245</v>
      </c>
      <c r="H6" s="169" t="str">
        <f>IF(OR(D6="",TFevr[[#This Row],[Réel]]=""),"",F6-TFevr[[#This Row],[Budget]])</f>
        <v/>
      </c>
      <c r="I6" s="170" t="str">
        <f>IFERROR(IF(OR(TFevr[[#This Row],[Budget]]="",F6=""),"",TFevr[[#This Row],[Reel/Budg.]]/TFevr[[#This Row],[0]]),0)</f>
        <v/>
      </c>
      <c r="J6" s="171">
        <f ca="1">IF(OR(B6="",F6=""),"",F6-B6)</f>
        <v>791607</v>
      </c>
      <c r="K6" s="83">
        <f ca="1">IFERROR(IF(OR(B6="",F6=""),"",TFevr[[#This Row],[Reel/2018]]/TFevr[[#This Row],[0]]),0)</f>
        <v>0</v>
      </c>
      <c r="L6" s="65" t="str">
        <f>+'2018'!B6</f>
        <v>Ventes de matériaux Direct</v>
      </c>
      <c r="M6" s="110">
        <f ca="1">IFERROR(INDIRECT("'"&amp;TEXT(DATEVALUE("01/"&amp;MID(CELL("filename",$L6),FIND("]",CELL("filename",$L6))+1,99))-1,"mmmm")&amp;"'!m6")+B6,0)</f>
        <v>0</v>
      </c>
      <c r="N6" s="153">
        <f ca="1">+TFevr[[#This Row],[R2018]]/M$9</f>
        <v>0</v>
      </c>
      <c r="O6" s="89">
        <f ca="1">IFERROR(INDIRECT("'"&amp;TEXT(DATEVALUE("01/"&amp;MID(CELL("filename",$L6),FIND("]",CELL("filename",$L6))+1,99))-1,"mmmm")&amp;"'!o6")+D6,0)</f>
        <v>0</v>
      </c>
      <c r="P6" s="4"/>
      <c r="Q6" s="110">
        <f ca="1">IFERROR(INDIRECT("'"&amp;TEXT(DATEVALUE("01/"&amp;MID(CELL("filename",$L6),FIND("]",CELL("filename",$L6))+1,99))-1,"mmmm")&amp;"'!q6")+F6,0)</f>
        <v>1693525</v>
      </c>
      <c r="R6" s="155">
        <f ca="1">+TFevr[[#This Row],[R2018]]/Q$9</f>
        <v>0</v>
      </c>
      <c r="S6" s="181">
        <f ca="1">TFevr[[#This Row],[R19/18]]-TFevr[[#This Row],[R2018]]</f>
        <v>1693525</v>
      </c>
      <c r="T6" s="83">
        <f ca="1">IFERROR(IF(OR(M6="",Q6=""),"",TFevr[[#This Row],[R19/2018]]/TFevr[[#This Row],[R2018]]),0)</f>
        <v>0</v>
      </c>
      <c r="U6" s="159" t="str">
        <f ca="1">IF(TFevr[[#This Row],[B2019]]=0,"",TFevr[[#This Row],[R19/18]]-TFevr[[#This Row],[B2019]])</f>
        <v/>
      </c>
      <c r="V6" s="164">
        <f ca="1">IFERROR(IF(OR(O6="",Q6=""),"",TFevr[[#This Row],[R19/2018]]/TFevr[[#This Row],[B2019]]),0)</f>
        <v>0</v>
      </c>
    </row>
    <row r="7" spans="2:22" x14ac:dyDescent="0.25">
      <c r="B7" s="57">
        <f ca="1">IFERROR(SUMIF(L$4:L$24,TBase[[#Headers],[CATEGORIES]],TBase[[#This Row],[Février]]),0)</f>
        <v>90559.510000000009</v>
      </c>
      <c r="C7" s="61">
        <f ca="1">B7/B$9</f>
        <v>0.62854380271613453</v>
      </c>
      <c r="D7" s="89"/>
      <c r="E7" s="152" t="str">
        <f>IFERROR(IF(D7="","",TFevr[[#This Row],[Budget]]/$F$9),0)</f>
        <v/>
      </c>
      <c r="F7" s="82">
        <v>112670</v>
      </c>
      <c r="G7" s="83">
        <f>F7/F$9</f>
        <v>5.1907043684934796E-2</v>
      </c>
      <c r="H7" s="169" t="str">
        <f>IF(OR(D7="",TFevr[[#This Row],[Réel]]=""),"",F7-TFevr[[#This Row],[Budget]])</f>
        <v/>
      </c>
      <c r="I7" s="170" t="str">
        <f>IFERROR(IF(OR(TFevr[[#This Row],[Budget]]="",F7=""),"",TFevr[[#This Row],[Reel/Budg.]]/TFevr[[#This Row],[0]]),0)</f>
        <v/>
      </c>
      <c r="J7" s="171">
        <f ca="1">IF(OR(B7="",F7=""),"",F7-B7)</f>
        <v>22110.489999999991</v>
      </c>
      <c r="K7" s="83">
        <f ca="1">IFERROR(IF(OR(B7="",F7=""),"",TFevr[[#This Row],[Reel/2018]]/TFevr[[#This Row],[0]]),0)</f>
        <v>0.24415425834349136</v>
      </c>
      <c r="L7" s="65" t="str">
        <f>+'2018'!B7</f>
        <v>Ventes de matériaux Enlevé</v>
      </c>
      <c r="M7" s="110">
        <f ca="1">IFERROR(INDIRECT("'"&amp;TEXT(DATEVALUE("01/"&amp;MID(CELL("filename",$L7),FIND("]",CELL("filename",$L7))+1,99))-1,"mmmm")&amp;"'!m7")+B7,0)</f>
        <v>214483.47999999998</v>
      </c>
      <c r="N7" s="153">
        <f ca="1">+TFevr[[#This Row],[R2018]]/M$9</f>
        <v>0.71154429711043976</v>
      </c>
      <c r="O7" s="89">
        <f ca="1">IFERROR(INDIRECT("'"&amp;TEXT(DATEVALUE("01/"&amp;MID(CELL("filename",$L7),FIND("]",CELL("filename",$L7))+1,99))-1,"mmmm")&amp;"'!o7")+D7,0)</f>
        <v>0</v>
      </c>
      <c r="P7" s="4"/>
      <c r="Q7" s="110">
        <f ca="1">IFERROR(INDIRECT("'"&amp;TEXT(DATEVALUE("01/"&amp;MID(CELL("filename",$L7),FIND("]",CELL("filename",$L7))+1,99))-1,"mmmm")&amp;"'!q7")+F7,0)</f>
        <v>204426</v>
      </c>
      <c r="R7" s="155">
        <f ca="1">+TFevr[[#This Row],[R2018]]/Q$9</f>
        <v>4.9987549927308535E-2</v>
      </c>
      <c r="S7" s="181">
        <f ca="1">TFevr[[#This Row],[R19/18]]-TFevr[[#This Row],[R2018]]</f>
        <v>-10057.479999999981</v>
      </c>
      <c r="T7" s="83">
        <f ca="1">IFERROR(IF(OR(M7="",Q7=""),"",TFevr[[#This Row],[R19/2018]]/TFevr[[#This Row],[R2018]]),0)</f>
        <v>-4.6891630068665348E-2</v>
      </c>
      <c r="U7" s="159" t="str">
        <f ca="1">IF(TFevr[[#This Row],[B2019]]=0,"",TFevr[[#This Row],[R19/18]]-TFevr[[#This Row],[B2019]])</f>
        <v/>
      </c>
      <c r="V7" s="164">
        <f ca="1">IFERROR(IF(OR(O7="",Q7=""),"",TFevr[[#This Row],[R19/2018]]/TFevr[[#This Row],[B2019]]),0)</f>
        <v>0</v>
      </c>
    </row>
    <row r="8" spans="2:22" ht="15.75" thickBot="1" x14ac:dyDescent="0.3">
      <c r="B8" s="57">
        <f ca="1">IFERROR(SUMIF(L$4:L$24,TBase[[#Headers],[CATEGORIES]],TBase[[#This Row],[Février]]),0)</f>
        <v>53518.770000000004</v>
      </c>
      <c r="C8" s="61">
        <f ca="1">B8/B$9</f>
        <v>0.37145619728386536</v>
      </c>
      <c r="D8" s="89"/>
      <c r="E8" s="152" t="str">
        <f>IFERROR(IF(D8="","",TFevr[[#This Row],[Budget]]/$F$9),0)</f>
        <v/>
      </c>
      <c r="F8" s="82">
        <v>141320</v>
      </c>
      <c r="G8" s="86">
        <f>F8/F$9</f>
        <v>6.5106092247758804E-2</v>
      </c>
      <c r="H8" s="169" t="str">
        <f>IF(OR(D8="",TFevr[[#This Row],[Réel]]=""),"",F8-TFevr[[#This Row],[Budget]])</f>
        <v/>
      </c>
      <c r="I8" s="170" t="str">
        <f>IFERROR(IF(OR(TFevr[[#This Row],[Budget]]="",F8=""),"",TFevr[[#This Row],[Reel/Budg.]]/TFevr[[#This Row],[0]]),0)</f>
        <v/>
      </c>
      <c r="J8" s="171">
        <f ca="1">IF(OR(B8="",F8=""),"",F8-B8)</f>
        <v>87801.23</v>
      </c>
      <c r="K8" s="83">
        <f ca="1">IFERROR(IF(OR(B8="",F8=""),"",TFevr[[#This Row],[Reel/2018]]/TFevr[[#This Row],[0]]),0)</f>
        <v>1.6405689069461049</v>
      </c>
      <c r="L8" s="65" t="str">
        <f>+'2018'!B8</f>
        <v>Ventes de matériaux Franco</v>
      </c>
      <c r="M8" s="110">
        <f ca="1">IFERROR(INDIRECT("'"&amp;TEXT(DATEVALUE("01/"&amp;MID(CELL("filename",$L8),FIND("]",CELL("filename",$L8))+1,99))-1,"mmmm")&amp;"'!m8")+B8,0)</f>
        <v>86950.290000000008</v>
      </c>
      <c r="N8" s="153">
        <f ca="1">+TFevr[[#This Row],[R2018]]/M$9</f>
        <v>0.28845570288956013</v>
      </c>
      <c r="O8" s="89">
        <f ca="1">IFERROR(INDIRECT("'"&amp;TEXT(DATEVALUE("01/"&amp;MID(CELL("filename",$L8),FIND("]",CELL("filename",$L8))+1,99))-1,"mmmm")&amp;"'!o8")+D8,0)</f>
        <v>0</v>
      </c>
      <c r="P8" s="4"/>
      <c r="Q8" s="110">
        <f ca="1">IFERROR(INDIRECT("'"&amp;TEXT(DATEVALUE("01/"&amp;MID(CELL("filename",$L8),FIND("]",CELL("filename",$L8))+1,99))-1,"mmmm")&amp;"'!q8")+F8,0)</f>
        <v>249755</v>
      </c>
      <c r="R8" s="155">
        <f ca="1">+TFevr[[#This Row],[R2018]]/Q$9</f>
        <v>2.0264646781043262E-2</v>
      </c>
      <c r="S8" s="181">
        <f ca="1">TFevr[[#This Row],[R19/18]]-TFevr[[#This Row],[R2018]]</f>
        <v>162804.71</v>
      </c>
      <c r="T8" s="83">
        <f ca="1">IFERROR(IF(OR(M8="",Q8=""),"",TFevr[[#This Row],[R19/2018]]/TFevr[[#This Row],[R2018]]),0)</f>
        <v>1.8723883497110818</v>
      </c>
      <c r="U8" s="159" t="str">
        <f ca="1">IF(TFevr[[#This Row],[B2019]]=0,"",TFevr[[#This Row],[R19/18]]-TFevr[[#This Row],[B2019]])</f>
        <v/>
      </c>
      <c r="V8" s="164">
        <f ca="1">IFERROR(IF(OR(O8="",Q8=""),"",TFevr[[#This Row],[R19/2018]]/TFevr[[#This Row],[B2019]]),0)</f>
        <v>0</v>
      </c>
    </row>
    <row r="9" spans="2:22" s="118" customFormat="1" ht="17.25" thickTop="1" thickBot="1" x14ac:dyDescent="0.3">
      <c r="B9" s="119">
        <f ca="1">IFERROR(SUMIF(L$4:L$24,TBase[[#Headers],[CATEGORIES]],TBase[[#This Row],[Février]]),0)</f>
        <v>144078.28000000003</v>
      </c>
      <c r="C9" s="120"/>
      <c r="D9" s="144">
        <f>+TFevr[[#This Row],[Réel]]</f>
        <v>2170611</v>
      </c>
      <c r="E9" s="194">
        <f>IFERROR(IF(D9="","",TFevr[[#This Row],[Budget]]/$F$9),0)</f>
        <v>1</v>
      </c>
      <c r="F9" s="123">
        <f>+SUM(F5:F8)</f>
        <v>2170611</v>
      </c>
      <c r="G9" s="124"/>
      <c r="H9" s="144">
        <f>IF(OR(D9="",TFevr[[#This Row],[Réel]]=""),"",F9-TFevr[[#This Row],[Budget]])</f>
        <v>0</v>
      </c>
      <c r="I9" s="172"/>
      <c r="J9" s="173">
        <f ca="1">IFERROR(IF(F9=0,"",TFevr[[#This Row],[Réel]]-TFevr[[#This Row],[0]]),0)</f>
        <v>2026532.72</v>
      </c>
      <c r="K9" s="174">
        <f ca="1">IFERROR(IF(OR(B9="",F9=""),"",TFevr[[#This Row],[Reel/2018]]/TFevr[[#This Row],[0]]),0)</f>
        <v>14.065497728040615</v>
      </c>
      <c r="L9" s="107" t="str">
        <f>+'2018'!B9</f>
        <v>CA TOTAL</v>
      </c>
      <c r="M9" s="126">
        <f ca="1">+SUM(M5:M8)</f>
        <v>301433.77</v>
      </c>
      <c r="N9" s="156"/>
      <c r="O9" s="144">
        <f ca="1">IFERROR(INDIRECT("'"&amp;TEXT(DATEVALUE("01/"&amp;MID(CELL("filename",$L9),FIND("]",CELL("filename",$L9))+1,99))-1,"mmmm")&amp;"'!o9")+D9,0)</f>
        <v>4290738</v>
      </c>
      <c r="P9" s="127"/>
      <c r="Q9" s="123">
        <f ca="1">+SUM(Q5:Q8)</f>
        <v>4290738</v>
      </c>
      <c r="R9" s="151"/>
      <c r="S9" s="173">
        <f ca="1">TFevr[[#This Row],[R19/18]]-TFevr[[#This Row],[R2018]]</f>
        <v>3989304.23</v>
      </c>
      <c r="T9" s="174">
        <f ca="1">IFERROR(IF(OR(M9="",Q9=""),"",TFevr[[#This Row],[R19/2018]]/TFevr[[#This Row],[R2018]]),0)</f>
        <v>13.234430336056905</v>
      </c>
      <c r="U9" s="160"/>
      <c r="V9" s="165"/>
    </row>
    <row r="10" spans="2:22" ht="15.75" thickTop="1" x14ac:dyDescent="0.25">
      <c r="B10" s="59">
        <f ca="1">IFERROR(SUMIF(L$4:L$24,TBase[[#Headers],[CATEGORIES]],TBase[[#This Row],[Février]]),0)</f>
        <v>0</v>
      </c>
      <c r="C10" s="61">
        <v>0.15010000000000001</v>
      </c>
      <c r="D10" s="89"/>
      <c r="E10" s="192" t="str">
        <f>IFERROR(IF(D10="","",TFevr[[#This Row],[Budget]]/$F$9),0)</f>
        <v/>
      </c>
      <c r="F10" s="82">
        <v>168850</v>
      </c>
      <c r="G10" s="83">
        <v>0.15010000000000001</v>
      </c>
      <c r="H10" s="169" t="str">
        <f>IF(OR(D10="",TFevr[[#This Row],[Réel]]=""),"",F10-TFevr[[#This Row],[Budget]])</f>
        <v/>
      </c>
      <c r="I10" s="175" t="str">
        <f>IFERROR(IF(OR(TFevr[[#This Row],[Budget]]="",F10=""),"",TFevr[[#This Row],[Reel/Budg.]]/TFevr[[#This Row],[0]]),0)</f>
        <v/>
      </c>
      <c r="J10" s="171">
        <f t="shared" ref="J10:J23" ca="1" si="0">IF(OR(B10="",F10=""),"",F10-B10)</f>
        <v>168850</v>
      </c>
      <c r="K10" s="83">
        <f ca="1">IFERROR(IF(OR(B10="",F10=""),"",TFevr[[#This Row],[Reel/2018]]/TFevr[[#This Row],[0]]),0)</f>
        <v>0</v>
      </c>
      <c r="L10" s="66" t="str">
        <f>+'2018'!B10</f>
        <v>Marge matériaux Livré</v>
      </c>
      <c r="M10" s="110">
        <f ca="1">IFERROR(INDIRECT("'"&amp;TEXT(DATEVALUE("01/"&amp;MID(CELL("filename",$L10),FIND("]",CELL("filename",$L10))+1,99))-1,"mmmm")&amp;"'!m10")+B10,0)</f>
        <v>0</v>
      </c>
      <c r="N10" s="61">
        <f ca="1">+TFevr[[#This Row],[R2018]]/M$17</f>
        <v>0</v>
      </c>
      <c r="O10" s="89">
        <f ca="1">IFERROR(INDIRECT("'"&amp;TEXT(DATEVALUE("01/"&amp;MID(CELL("filename",$L10),FIND("]",CELL("filename",$L10))+1,99))-1,"mmmm")&amp;"'!o10")+D10,0)</f>
        <v>0</v>
      </c>
      <c r="P10" s="6"/>
      <c r="Q10" s="110">
        <f ca="1">IFERROR(INDIRECT("'"&amp;TEXT(DATEVALUE("01/"&amp;MID(CELL("filename",$L10),FIND("]",CELL("filename",$L10))+1,99))-1,"mmmm")&amp;"'!q10")+F10,0)</f>
        <v>344112</v>
      </c>
      <c r="R10" s="64"/>
      <c r="S10" s="181">
        <f ca="1">TFevr[[#This Row],[R19/18]]-TFevr[[#This Row],[R2018]]</f>
        <v>344112</v>
      </c>
      <c r="T10" s="83">
        <f ca="1">IFERROR(IF(OR(M10="",Q10=""),"",TFevr[[#This Row],[R19/2018]]/TFevr[[#This Row],[R2018]]),0)</f>
        <v>0</v>
      </c>
      <c r="U10" s="159" t="str">
        <f ca="1">IF(TFevr[[#This Row],[B2019]]=0,"",TFevr[[#This Row],[R19/18]]-TFevr[[#This Row],[B2019]])</f>
        <v/>
      </c>
      <c r="V10" s="164">
        <f ca="1">IFERROR(IF(OR(O10="",Q10=""),"",TFevr[[#This Row],[R/B]]/TFevr[[#This Row],[B2019]]),0)</f>
        <v>0</v>
      </c>
    </row>
    <row r="11" spans="2:22" x14ac:dyDescent="0.25">
      <c r="B11" s="58">
        <f ca="1">IFERROR(SUMIF(L$4:L$24,TBase[[#Headers],[CATEGORIES]],TBase[[#This Row],[Février]]),0)</f>
        <v>0</v>
      </c>
      <c r="C11" s="61">
        <v>7.4499999999999997E-2</v>
      </c>
      <c r="D11" s="89"/>
      <c r="E11" s="192" t="str">
        <f>IFERROR(IF(D11="","",TFevr[[#This Row],[Budget]]/$F$9),0)</f>
        <v/>
      </c>
      <c r="F11" s="82">
        <v>58956</v>
      </c>
      <c r="G11" s="83">
        <v>7.4499999999999997E-2</v>
      </c>
      <c r="H11" s="169" t="str">
        <f>IF(OR(D11="",TFevr[[#This Row],[Réel]]=""),"",F11-TFevr[[#This Row],[Budget]])</f>
        <v/>
      </c>
      <c r="I11" s="175" t="str">
        <f>IFERROR(IF(OR(TFevr[[#This Row],[Budget]]="",F11=""),"",TFevr[[#This Row],[Reel/Budg.]]/TFevr[[#This Row],[0]]),0)</f>
        <v/>
      </c>
      <c r="J11" s="171">
        <f t="shared" ca="1" si="0"/>
        <v>58956</v>
      </c>
      <c r="K11" s="83">
        <f ca="1">IFERROR(IF(OR(B11="",F11=""),"",TFevr[[#This Row],[Reel/2018]]/TFevr[[#This Row],[0]]),0)</f>
        <v>0</v>
      </c>
      <c r="L11" s="65" t="str">
        <f>+'2018'!B11</f>
        <v>Marge matériaux Direct</v>
      </c>
      <c r="M11" s="110">
        <f ca="1">IFERROR(INDIRECT("'"&amp;TEXT(DATEVALUE("01/"&amp;MID(CELL("filename",$L11),FIND("]",CELL("filename",$L11))+1,99))-1,"mmmm")&amp;"'!m11")+B11,0)</f>
        <v>0</v>
      </c>
      <c r="N11" s="153">
        <f ca="1">+TFevr[[#This Row],[R2018]]/M$17</f>
        <v>0</v>
      </c>
      <c r="O11" s="89">
        <f ca="1">IFERROR(INDIRECT("'"&amp;TEXT(DATEVALUE("01/"&amp;MID(CELL("filename",$L11),FIND("]",CELL("filename",$L11))+1,99))-1,"mmmm")&amp;"'!o11")+D11,0)</f>
        <v>0</v>
      </c>
      <c r="P11" s="6"/>
      <c r="Q11" s="110">
        <f ca="1">IFERROR(INDIRECT("'"&amp;TEXT(DATEVALUE("01/"&amp;MID(CELL("filename",$L11),FIND("]",CELL("filename",$L11))+1,99))-1,"mmmm")&amp;"'!q11")+F11,0)</f>
        <v>130623</v>
      </c>
      <c r="R11" s="64"/>
      <c r="S11" s="181">
        <f ca="1">TFevr[[#This Row],[R19/18]]-TFevr[[#This Row],[R2018]]</f>
        <v>130623</v>
      </c>
      <c r="T11" s="83">
        <f ca="1">IFERROR(IF(OR(M11="",Q11=""),"",TFevr[[#This Row],[R19/2018]]/TFevr[[#This Row],[R2018]]),0)</f>
        <v>0</v>
      </c>
      <c r="U11" s="159" t="str">
        <f ca="1">IF(TFevr[[#This Row],[B2019]]=0,"",TFevr[[#This Row],[R19/18]]-TFevr[[#This Row],[B2019]])</f>
        <v/>
      </c>
      <c r="V11" s="164">
        <f ca="1">IFERROR(IF(OR(O11="",Q11=""),"",TFevr[[#This Row],[R/B]]/TFevr[[#This Row],[B2019]]),0)</f>
        <v>0</v>
      </c>
    </row>
    <row r="12" spans="2:22" x14ac:dyDescent="0.25">
      <c r="B12" s="58">
        <f ca="1">IFERROR(SUMIF(L$4:L$24,TBase[[#Headers],[CATEGORIES]],TBase[[#This Row],[Février]]),0)</f>
        <v>13894.359999999997</v>
      </c>
      <c r="C12" s="61">
        <v>0.17599999999999999</v>
      </c>
      <c r="D12" s="89"/>
      <c r="E12" s="192" t="str">
        <f>IFERROR(IF(D12="","",TFevr[[#This Row],[Budget]]/$F$9),0)</f>
        <v/>
      </c>
      <c r="F12" s="82">
        <v>19814</v>
      </c>
      <c r="G12" s="83">
        <v>0.17599999999999999</v>
      </c>
      <c r="H12" s="169" t="str">
        <f>IF(OR(D12="",TFevr[[#This Row],[Réel]]=""),"",F12-TFevr[[#This Row],[Budget]])</f>
        <v/>
      </c>
      <c r="I12" s="175" t="str">
        <f>IFERROR(IF(OR(TFevr[[#This Row],[Budget]]="",F12=""),"",TFevr[[#This Row],[Reel/Budg.]]/TFevr[[#This Row],[0]]),0)</f>
        <v/>
      </c>
      <c r="J12" s="171">
        <f t="shared" ca="1" si="0"/>
        <v>5919.6400000000031</v>
      </c>
      <c r="K12" s="83">
        <f ca="1">IFERROR(IF(OR(B12="",F12=""),"",TFevr[[#This Row],[Reel/2018]]/TFevr[[#This Row],[0]]),0)</f>
        <v>0.42604625186046746</v>
      </c>
      <c r="L12" s="65" t="str">
        <f>+'2018'!B12</f>
        <v>Marge matériaux Enlevé</v>
      </c>
      <c r="M12" s="110">
        <f ca="1">IFERROR(INDIRECT("'"&amp;TEXT(DATEVALUE("01/"&amp;MID(CELL("filename",$L12),FIND("]",CELL("filename",$L12))+1,99))-1,"mmmm")&amp;"'!m12")+B12,0)</f>
        <v>40252.160000000003</v>
      </c>
      <c r="N12" s="153">
        <f ca="1">+TFevr[[#This Row],[R2018]]/M$17</f>
        <v>0.78293184754350242</v>
      </c>
      <c r="O12" s="89">
        <f ca="1">IFERROR(INDIRECT("'"&amp;TEXT(DATEVALUE("01/"&amp;MID(CELL("filename",$L12),FIND("]",CELL("filename",$L12))+1,99))-1,"mmmm")&amp;"'!o12")+D12,0)</f>
        <v>0</v>
      </c>
      <c r="P12" s="6"/>
      <c r="Q12" s="110">
        <f ca="1">IFERROR(INDIRECT("'"&amp;TEXT(DATEVALUE("01/"&amp;MID(CELL("filename",$L12),FIND("]",CELL("filename",$L12))+1,99))-1,"mmmm")&amp;"'!q12")+F12,0)</f>
        <v>34737</v>
      </c>
      <c r="R12" s="64"/>
      <c r="S12" s="181">
        <f ca="1">TFevr[[#This Row],[R19/18]]-TFevr[[#This Row],[R2018]]</f>
        <v>-5515.1600000000035</v>
      </c>
      <c r="T12" s="83">
        <f ca="1">IFERROR(IF(OR(M12="",Q12=""),"",TFevr[[#This Row],[R19/2018]]/TFevr[[#This Row],[R2018]]),0)</f>
        <v>-0.13701525582726501</v>
      </c>
      <c r="U12" s="159" t="str">
        <f ca="1">IF(TFevr[[#This Row],[B2019]]=0,"",TFevr[[#This Row],[R19/18]]-TFevr[[#This Row],[B2019]])</f>
        <v/>
      </c>
      <c r="V12" s="164">
        <f ca="1">IFERROR(IF(OR(O12="",Q12=""),"",TFevr[[#This Row],[R/B]]/TFevr[[#This Row],[B2019]]),0)</f>
        <v>0</v>
      </c>
    </row>
    <row r="13" spans="2:22" x14ac:dyDescent="0.25">
      <c r="B13" s="58">
        <f ca="1">IFERROR(SUMIF(L$4:L$24,TBase[[#Headers],[CATEGORIES]],TBase[[#This Row],[Février]]),0)</f>
        <v>5479.6499999999987</v>
      </c>
      <c r="C13" s="61">
        <v>0.1235</v>
      </c>
      <c r="D13" s="89"/>
      <c r="E13" s="192" t="str">
        <f>IFERROR(IF(D13="","",TFevr[[#This Row],[Budget]]/$F$9),0)</f>
        <v/>
      </c>
      <c r="F13" s="82">
        <v>17447</v>
      </c>
      <c r="G13" s="86">
        <v>0.1235</v>
      </c>
      <c r="H13" s="169" t="str">
        <f>IF(OR(D13="",TFevr[[#This Row],[Réel]]=""),"",F13-TFevr[[#This Row],[Budget]])</f>
        <v/>
      </c>
      <c r="I13" s="175" t="str">
        <f>IFERROR(IF(OR(TFevr[[#This Row],[Budget]]="",F13=""),"",TFevr[[#This Row],[Reel/Budg.]]/TFevr[[#This Row],[0]]),0)</f>
        <v/>
      </c>
      <c r="J13" s="171">
        <f t="shared" ca="1" si="0"/>
        <v>11967.350000000002</v>
      </c>
      <c r="K13" s="83">
        <f ca="1">IFERROR(IF(OR(B13="",F13=""),"",TFevr[[#This Row],[Reel/2018]]/TFevr[[#This Row],[0]]),0)</f>
        <v>2.1839624793554342</v>
      </c>
      <c r="L13" s="65" t="str">
        <f>+'2018'!B13</f>
        <v>Marge matériaux Franco</v>
      </c>
      <c r="M13" s="110">
        <f ca="1">IFERROR(INDIRECT("'"&amp;TEXT(DATEVALUE("01/"&amp;MID(CELL("filename",$L13),FIND("]",CELL("filename",$L13))+1,99))-1,"mmmm")&amp;"'!m13")+B13,0)</f>
        <v>8780.76</v>
      </c>
      <c r="N13" s="153">
        <f ca="1">+TFevr[[#This Row],[R2018]]/M$17</f>
        <v>0.17079174507991829</v>
      </c>
      <c r="O13" s="89">
        <f ca="1">IFERROR(INDIRECT("'"&amp;TEXT(DATEVALUE("01/"&amp;MID(CELL("filename",$L13),FIND("]",CELL("filename",$L13))+1,99))-1,"mmmm")&amp;"'!o13")+D13,0)</f>
        <v>0</v>
      </c>
      <c r="P13" s="6"/>
      <c r="Q13" s="110">
        <f ca="1">IFERROR(INDIRECT("'"&amp;TEXT(DATEVALUE("01/"&amp;MID(CELL("filename",$L13),FIND("]",CELL("filename",$L13))+1,99))-1,"mmmm")&amp;"'!q13")+F13,0)</f>
        <v>31640</v>
      </c>
      <c r="R13" s="64"/>
      <c r="S13" s="181">
        <f ca="1">TFevr[[#This Row],[R19/18]]-TFevr[[#This Row],[R2018]]</f>
        <v>22859.239999999998</v>
      </c>
      <c r="T13" s="83">
        <f ca="1">IFERROR(IF(OR(M13="",Q13=""),"",TFevr[[#This Row],[R19/2018]]/TFevr[[#This Row],[R2018]]),0)</f>
        <v>2.6033327411294693</v>
      </c>
      <c r="U13" s="159" t="str">
        <f ca="1">IF(TFevr[[#This Row],[B2019]]=0,"",TFevr[[#This Row],[R19/18]]-TFevr[[#This Row],[B2019]])</f>
        <v/>
      </c>
      <c r="V13" s="164">
        <f ca="1">IFERROR(IF(OR(O13="",Q13=""),"",TFevr[[#This Row],[R/B]]/TFevr[[#This Row],[B2019]]),0)</f>
        <v>0</v>
      </c>
    </row>
    <row r="14" spans="2:22" x14ac:dyDescent="0.25">
      <c r="B14" s="59">
        <f ca="1">IFERROR(SUMIF(L$4:L$24,TBase[[#Headers],[CATEGORIES]],TBase[[#This Row],[Février]]),0)</f>
        <v>14730</v>
      </c>
      <c r="C14" s="61"/>
      <c r="D14" s="89"/>
      <c r="E14" s="192" t="str">
        <f>IFERROR(IF(D14="","",TFevr[[#This Row],[Budget]]/$F$9),0)</f>
        <v/>
      </c>
      <c r="F14" s="82">
        <f>IFERROR(SUMPRODUCT((Feuil1!C$2:C$18731&gt;=Février!$L$3)*(Feuil1!C$2:C$18731&lt;=EOMONTH(Février!$L$3,0))*(ISNUMBER(SEARCH("BFA",Feuil1!E$2:E$18731)))*(ISNUMBER(SEARCH("C",Feuil1!G$2:G$18731)))*Feuil1!F$2:F$18731),0)</f>
        <v>11800.06</v>
      </c>
      <c r="G14" s="83"/>
      <c r="H14" s="169" t="str">
        <f>IF(OR(D14="",TFevr[[#This Row],[Réel]]=""),"",F14-TFevr[[#This Row],[Budget]])</f>
        <v/>
      </c>
      <c r="I14" s="175" t="str">
        <f>IFERROR(IF(OR(TFevr[[#This Row],[Budget]]="",F14=""),"",TFevr[[#This Row],[Reel/Budg.]]/TFevr[[#This Row],[0]]),0)</f>
        <v/>
      </c>
      <c r="J14" s="171">
        <f t="shared" ca="1" si="0"/>
        <v>-2929.9400000000005</v>
      </c>
      <c r="K14" s="83">
        <f ca="1">IFERROR(IF(OR(B14="",F14=""),"",TFevr[[#This Row],[Reel/2018]]/TFevr[[#This Row],[0]]),0)</f>
        <v>-0.19890970807875089</v>
      </c>
      <c r="L14" s="67" t="str">
        <f>+'2018'!B14</f>
        <v xml:space="preserve">BFA N-1 </v>
      </c>
      <c r="M14" s="110">
        <f ca="1">IFERROR(INDIRECT("'"&amp;TEXT(DATEVALUE("01/"&amp;MID(CELL("filename",$L14),FIND("]",CELL("filename",$L14))+1,99))-1,"mmmm")&amp;"'!m14")+B14,0)</f>
        <v>14730</v>
      </c>
      <c r="N14" s="153">
        <f ca="1">+TFevr[[#This Row],[R2018]]/M$17</f>
        <v>0.28650850325338539</v>
      </c>
      <c r="O14" s="89">
        <f ca="1">IFERROR(INDIRECT("'"&amp;TEXT(DATEVALUE("01/"&amp;MID(CELL("filename",$L14),FIND("]",CELL("filename",$L14))+1,99))-1,"mmmm")&amp;"'!o14")+D14,0)</f>
        <v>0</v>
      </c>
      <c r="P14" s="4"/>
      <c r="Q14" s="110">
        <f ca="1">IFERROR(INDIRECT("'"&amp;TEXT(DATEVALUE("01/"&amp;MID(CELL("filename",$L14),FIND("]",CELL("filename",$L14))+1,99))-1,"mmmm")&amp;"'!q14")+F14,0)</f>
        <v>11800.06</v>
      </c>
      <c r="R14" s="63"/>
      <c r="S14" s="181">
        <f ca="1">TFevr[[#This Row],[R19/18]]-TFevr[[#This Row],[R2018]]</f>
        <v>-2929.9400000000005</v>
      </c>
      <c r="T14" s="83">
        <f ca="1">IFERROR(IF(OR(M14="",Q14=""),"",TFevr[[#This Row],[R19/2018]]/TFevr[[#This Row],[R2018]]),0)</f>
        <v>-0.19890970807875089</v>
      </c>
      <c r="U14" s="159" t="str">
        <f ca="1">IF(TFevr[[#This Row],[B2019]]=0,"",TFevr[[#This Row],[R19/18]]-TFevr[[#This Row],[B2019]])</f>
        <v/>
      </c>
      <c r="V14" s="164">
        <f ca="1">IFERROR(IF(OR(O14="",Q14=""),"",TFevr[[#This Row],[R/B]]/TFevr[[#This Row],[B2019]]),0)</f>
        <v>0</v>
      </c>
    </row>
    <row r="15" spans="2:22" x14ac:dyDescent="0.25">
      <c r="B15" s="59">
        <f ca="1">IFERROR(SUMIF(L$4:L$24,TBase[[#Headers],[CATEGORIES]],TBase[[#This Row],[Février]]),0)</f>
        <v>0</v>
      </c>
      <c r="C15" s="61"/>
      <c r="D15" s="89"/>
      <c r="E15" s="192" t="str">
        <f>IFERROR(IF(D15="","",TFevr[[#This Row],[Budget]]/$F$9),0)</f>
        <v/>
      </c>
      <c r="F15" s="82">
        <f>IFERROR(SUMPRODUCT((Feuil1!C$2:C$18731&gt;=Février!$L$3)*(Feuil1!C$2:C$18731&lt;=EOMONTH(Février!$L$3,0))*(ISNUMBER(SEARCH("BFA",Feuil1!E$2:E$18731)))*(ISNUMBER(SEARCH("D",Feuil1!G$2:G$18731)))*Feuil1!F$2:F$18731),0)</f>
        <v>-30674</v>
      </c>
      <c r="G15" s="83"/>
      <c r="H15" s="169" t="str">
        <f>IF(OR(D15="",TFevr[[#This Row],[Réel]]=""),"",F15-TFevr[[#This Row],[Budget]])</f>
        <v/>
      </c>
      <c r="I15" s="175" t="str">
        <f>IFERROR(IF(OR(TFevr[[#This Row],[Budget]]="",F15=""),"",TFevr[[#This Row],[Reel/Budg.]]/TFevr[[#This Row],[0]]),0)</f>
        <v/>
      </c>
      <c r="J15" s="171">
        <f t="shared" ca="1" si="0"/>
        <v>-30674</v>
      </c>
      <c r="K15" s="83">
        <f ca="1">IFERROR(IF(OR(B15="",F15=""),"",TFevr[[#This Row],[Reel/2018]]/TFevr[[#This Row],[0]]),0)</f>
        <v>0</v>
      </c>
      <c r="L15" s="68" t="str">
        <f>+'2018'!B15</f>
        <v>RFA Reversées N-1</v>
      </c>
      <c r="M15" s="110">
        <f ca="1">IFERROR(INDIRECT("'"&amp;TEXT(DATEVALUE("01/"&amp;MID(CELL("filename",$L15),FIND("]",CELL("filename",$L15))+1,99))-1,"mmmm")&amp;"'!m15")+B15,0)</f>
        <v>-12350.833333333334</v>
      </c>
      <c r="N15" s="153">
        <f ca="1">+TFevr[[#This Row],[R2018]]/M$17</f>
        <v>-0.24023209587680613</v>
      </c>
      <c r="O15" s="89">
        <f ca="1">IFERROR(INDIRECT("'"&amp;TEXT(DATEVALUE("01/"&amp;MID(CELL("filename",$L15),FIND("]",CELL("filename",$L15))+1,99))-1,"mmmm")&amp;"'!o15")+D15,0)</f>
        <v>0</v>
      </c>
      <c r="P15" s="6"/>
      <c r="Q15" s="110">
        <f ca="1">IFERROR(INDIRECT("'"&amp;TEXT(DATEVALUE("01/"&amp;MID(CELL("filename",$L15),FIND("]",CELL("filename",$L15))+1,99))-1,"mmmm")&amp;"'!q15")+F15,0)</f>
        <v>-30674</v>
      </c>
      <c r="R15" s="64"/>
      <c r="S15" s="181">
        <f ca="1">TFevr[[#This Row],[R19/18]]-TFevr[[#This Row],[R2018]]</f>
        <v>-18323.166666666664</v>
      </c>
      <c r="T15" s="83">
        <f ca="1">IFERROR(IF(OR(M15="",Q15=""),"",TFevr[[#This Row],[R19/2018]]/TFevr[[#This Row],[R2018]]),0)</f>
        <v>1.483557114904527</v>
      </c>
      <c r="U15" s="159" t="str">
        <f ca="1">IF(TFevr[[#This Row],[B2019]]=0,"",TFevr[[#This Row],[R19/18]]-TFevr[[#This Row],[B2019]])</f>
        <v/>
      </c>
      <c r="V15" s="164">
        <f ca="1">IFERROR(IF(OR(O15="",Q15=""),"",TFevr[[#This Row],[R/B]]/TFevr[[#This Row],[B2019]]),0)</f>
        <v>0</v>
      </c>
    </row>
    <row r="16" spans="2:22" ht="15.75" thickBot="1" x14ac:dyDescent="0.3">
      <c r="B16" s="77">
        <f ca="1">IFERROR(SUMIF(L$4:L$24,TBase[[#Headers],[CATEGORIES]],TBase[[#This Row],[Février]]),0)</f>
        <v>0</v>
      </c>
      <c r="C16" s="61"/>
      <c r="D16" s="89"/>
      <c r="E16" s="192" t="str">
        <f>IFERROR(IF(D16="","",TFevr[[#This Row],[Budget]]/$F$9),0)</f>
        <v/>
      </c>
      <c r="F16" s="82"/>
      <c r="G16" s="83"/>
      <c r="H16" s="169" t="str">
        <f>IF(OR(D16="",TFevr[[#This Row],[Réel]]=""),"",F16-TFevr[[#This Row],[Budget]])</f>
        <v/>
      </c>
      <c r="I16" s="175" t="str">
        <f>IFERROR(IF(OR(TFevr[[#This Row],[Budget]]="",F16=""),"",TFevr[[#This Row],[Reel/Budg.]]/TFevr[[#This Row],[0]]),0)</f>
        <v/>
      </c>
      <c r="J16" s="171"/>
      <c r="K16" s="83" t="str">
        <f ca="1">IFERROR(IF(OR(B16="",F16=""),"",TFevr[[#This Row],[Reel/2018]]/TFevr[[#This Row],[0]]),0)</f>
        <v/>
      </c>
      <c r="L16" s="65" t="str">
        <f>+'2018'!B16</f>
        <v>Escomptes Clients</v>
      </c>
      <c r="M16" s="110">
        <f ca="1">IFERROR(INDIRECT("'"&amp;TEXT(DATEVALUE("01/"&amp;MID(CELL("filename",$L16),FIND("]",CELL("filename",$L16))+1,99))-1,"mmmm")&amp;"'!m16")+B16,0)</f>
        <v>0</v>
      </c>
      <c r="N16" s="153">
        <f ca="1">+TFevr[[#This Row],[R2018]]/M$17</f>
        <v>0</v>
      </c>
      <c r="O16" s="89">
        <f ca="1">IFERROR(INDIRECT("'"&amp;TEXT(DATEVALUE("01/"&amp;MID(CELL("filename",$L16),FIND("]",CELL("filename",$L16))+1,99))-1,"mmmm")&amp;"'!o16")+D16,0)</f>
        <v>0</v>
      </c>
      <c r="P16" s="6">
        <f ca="1">-TFevr[[#This Row],[R19/18]]/O$9</f>
        <v>0</v>
      </c>
      <c r="Q16" s="110">
        <f ca="1">IFERROR(INDIRECT("'"&amp;TEXT(DATEVALUE("01/"&amp;MID(CELL("filename",$L16),FIND("]",CELL("filename",$L16))+1,99))-1,"mmmm")&amp;"'!q16")+F16,0)</f>
        <v>0</v>
      </c>
      <c r="R16" s="64"/>
      <c r="S16" s="181">
        <f ca="1">TFevr[[#This Row],[R19/18]]-TFevr[[#This Row],[R2018]]</f>
        <v>0</v>
      </c>
      <c r="T16" s="83">
        <f ca="1">IFERROR(IF(OR(M16="",Q16=""),"",TFevr[[#This Row],[R19/2018]]/TFevr[[#This Row],[R2018]]),0)</f>
        <v>0</v>
      </c>
      <c r="U16" s="159" t="str">
        <f ca="1">IF(TFevr[[#This Row],[B2019]]=0,"",TFevr[[#This Row],[R19/18]]-TFevr[[#This Row],[B2019]])</f>
        <v/>
      </c>
      <c r="V16" s="164">
        <f ca="1">IFERROR(IF(OR(O16="",Q16=""),"",TFevr[[#This Row],[R/B]]/TFevr[[#This Row],[B2019]]),0)</f>
        <v>0</v>
      </c>
    </row>
    <row r="17" spans="2:22" s="118" customFormat="1" ht="17.25" thickTop="1" thickBot="1" x14ac:dyDescent="0.3">
      <c r="B17" s="119">
        <f ca="1">IFERROR(SUMIF(L$4:L$24,TBase[[#Headers],[CATEGORIES]],TBase[[#This Row],[Février]]),0)</f>
        <v>34104.009999999995</v>
      </c>
      <c r="C17" s="129">
        <f ca="1">+B17/B9</f>
        <v>0.23670472745787907</v>
      </c>
      <c r="D17" s="130">
        <f>+TFevr[[#This Row],[Réel]]</f>
        <v>246193.06</v>
      </c>
      <c r="E17" s="131">
        <f>IFERROR(IF(D17="","",TFevr[[#This Row],[Budget]]/$F$9),0)</f>
        <v>0.11342108742653566</v>
      </c>
      <c r="F17" s="130">
        <f>+SUM(F10:F16)</f>
        <v>246193.06</v>
      </c>
      <c r="G17" s="131">
        <f>IFERROR(IF(F17="","",TFevr[[#This Row],[Réel]]/$F$9),0)</f>
        <v>0.11342108742653566</v>
      </c>
      <c r="H17" s="130">
        <f>IF(OR(D17="",TFevr[[#This Row],[Réel]]=""),"",F17-TFevr[[#This Row],[Budget]])</f>
        <v>0</v>
      </c>
      <c r="I17" s="176">
        <f ca="1">IFERROR(IF(OR(TFevr[[#This Row],[Budget]]="",F17=""),"",TFevr[[#This Row],[Reel/Budg.]]/TFevr[[#This Row],[0]]),0)</f>
        <v>0</v>
      </c>
      <c r="J17" s="177">
        <f ca="1">IFERROR(IF(F17=0,"",TFevr[[#This Row],[Réel]]-TFevr[[#This Row],[0]]),0)</f>
        <v>212089.05</v>
      </c>
      <c r="K17" s="178">
        <f ca="1">IFERROR(IF(OR(B17="",F17=""),"",TFevr[[#This Row],[Reel/2018]]/TFevr[[#This Row],[0]]),0)</f>
        <v>6.2188889224463644</v>
      </c>
      <c r="L17" s="108" t="str">
        <f>+'2018'!B17</f>
        <v>MARGE BRUTE</v>
      </c>
      <c r="M17" s="126">
        <f ca="1">+SUM(M10:M16)</f>
        <v>51412.08666666667</v>
      </c>
      <c r="N17" s="131">
        <f ca="1">+M17/M9</f>
        <v>0.17055848343291685</v>
      </c>
      <c r="O17" s="130">
        <f ca="1">IFERROR(INDIRECT("'"&amp;TEXT(DATEVALUE("01/"&amp;MID(CELL("filename",$L17),FIND("]",CELL("filename",$L17))+1,99))-1,"mmmm")&amp;"'!o17")+D17,0)</f>
        <v>522238.06</v>
      </c>
      <c r="P17" s="129">
        <f ca="1">-TFevr[[#This Row],[B2019]]/O$9</f>
        <v>-0.12171287550067145</v>
      </c>
      <c r="Q17" s="123">
        <f ca="1">+SUM(Q10:Q16)</f>
        <v>522238.06000000006</v>
      </c>
      <c r="R17" s="131">
        <f ca="1">+Q17/Q9</f>
        <v>0.12171287550067146</v>
      </c>
      <c r="S17" s="173">
        <f ca="1">TFevr[[#This Row],[R19/18]]-TFevr[[#This Row],[R2018]]</f>
        <v>470825.97333333339</v>
      </c>
      <c r="T17" s="174">
        <f ca="1">IFERROR(IF(OR(M17="",Q17=""),"",TFevr[[#This Row],[R19/2018]]/TFevr[[#This Row],[R2018]]),0)</f>
        <v>9.1578849227801555</v>
      </c>
      <c r="U17" s="160"/>
      <c r="V17" s="165"/>
    </row>
    <row r="18" spans="2:22" ht="15.75" thickTop="1" x14ac:dyDescent="0.25">
      <c r="B18" s="56">
        <f ca="1">IFERROR(SUMIF(L$4:L$24,TBase[[#Headers],[CATEGORIES]],TBase[[#This Row],[Février]]),0)</f>
        <v>0</v>
      </c>
      <c r="C18" s="4"/>
      <c r="D18" s="89"/>
      <c r="E18" s="152"/>
      <c r="F18" s="82">
        <f>IFERROR(SUMPRODUCT((Feuil1!C$2:C$18731&gt;=Février!$L$3)*(Feuil1!C$2:C$18731&lt;=EOMONTH(Février!$L$3,0))*(ISNUMBER(SEARCH("Salaire",Feuil1!E$2:E$18731)))*Feuil1!F$2:F$18731),0)</f>
        <v>-54913.400000000009</v>
      </c>
      <c r="G18" s="85"/>
      <c r="H18" s="169" t="str">
        <f>IF(OR(D18="",TFevr[[#This Row],[Réel]]=""),"",F18-TFevr[[#This Row],[Budget]])</f>
        <v/>
      </c>
      <c r="I18" s="170"/>
      <c r="J18" s="171">
        <f t="shared" ca="1" si="0"/>
        <v>-54913.400000000009</v>
      </c>
      <c r="K18" s="150">
        <f ca="1">IFERROR(IF(OR(B18="",F18=""),"",TFevr[[#This Row],[Reel/2018]]/TFevr[[#This Row],[0]]),0)</f>
        <v>0</v>
      </c>
      <c r="L18" s="69" t="str">
        <f>+'2018'!B18</f>
        <v>Salaires</v>
      </c>
      <c r="M18" s="110">
        <f ca="1">IFERROR(INDIRECT("'"&amp;TEXT(DATEVALUE("01/"&amp;MID(CELL("filename",$L18),FIND("]",CELL("filename",$L18))+1,99))-1,"mmmm")&amp;"'!m18")+B18,0)</f>
        <v>0</v>
      </c>
      <c r="N18" s="63"/>
      <c r="O18" s="89">
        <f ca="1">IFERROR(INDIRECT("'"&amp;TEXT(DATEVALUE("01/"&amp;MID(CELL("filename",$L18),FIND("]",CELL("filename",$L18))+1,99))-1,"mmmm")&amp;"'!o18")+D18,0)</f>
        <v>0</v>
      </c>
      <c r="P18" s="4"/>
      <c r="Q18" s="110">
        <f ca="1">IFERROR(INDIRECT("'"&amp;TEXT(DATEVALUE("01/"&amp;MID(CELL("filename",$L18),FIND("]",CELL("filename",$L18))+1,99))-1,"mmmm")&amp;"'!q18")+F18,0)</f>
        <v>-109743.42000000001</v>
      </c>
      <c r="R18" s="63"/>
      <c r="S18" s="181">
        <f ca="1">TFevr[[#This Row],[R19/18]]-TFevr[[#This Row],[R2018]]</f>
        <v>-109743.42000000001</v>
      </c>
      <c r="T18" s="150">
        <f ca="1">IFERROR(IF(OR(M18="",Q18=""),"",TFevr[[#This Row],[R19/2018]]/TFevr[[#This Row],[R2018]]),0)</f>
        <v>0</v>
      </c>
      <c r="U18" s="159" t="str">
        <f ca="1">IF(TFevr[[#This Row],[B2019]]=0,"",TFevr[[#This Row],[R19/18]]-TFevr[[#This Row],[B2019]])</f>
        <v/>
      </c>
      <c r="V18" s="164">
        <f ca="1">IFERROR(IF(OR(O18="",Q18=""),"",TFevr[[#This Row],[R/B]]/TFevr[[#This Row],[B2019]]),0)</f>
        <v>0</v>
      </c>
    </row>
    <row r="19" spans="2:22" x14ac:dyDescent="0.25">
      <c r="B19" s="57">
        <f ca="1">IFERROR(SUMIF(L$4:L$24,TBase[[#Headers],[CATEGORIES]],TBase[[#This Row],[Février]]),0)</f>
        <v>0</v>
      </c>
      <c r="C19" s="4"/>
      <c r="D19" s="89"/>
      <c r="E19" s="152"/>
      <c r="F19" s="82">
        <f>IFERROR(SUMPRODUCT((Feuil1!C$2:C$18731&gt;=Février!$L$3)*(Feuil1!C$2:C$18731&lt;=EOMONTH(Février!$L$3,0))*(ISNUMBER(SEARCH("URSSAF",Feuil1!D$2:D$18731)))*Feuil1!F$2:F$18731),0)</f>
        <v>0</v>
      </c>
      <c r="G19" s="85"/>
      <c r="H19" s="169" t="str">
        <f>IF(OR(D19="",TFevr[[#This Row],[Réel]]=""),"",F19-TFevr[[#This Row],[Budget]])</f>
        <v/>
      </c>
      <c r="I19" s="170"/>
      <c r="J19" s="171">
        <f t="shared" ca="1" si="0"/>
        <v>0</v>
      </c>
      <c r="K19" s="150">
        <f ca="1">IFERROR(IF(OR(B19="",F19=""),"",TFevr[[#This Row],[Reel/2018]]/TFevr[[#This Row],[0]]),0)</f>
        <v>0</v>
      </c>
      <c r="L19" s="70" t="str">
        <f>+'2018'!B19</f>
        <v>Charge Salaire URSSAF</v>
      </c>
      <c r="M19" s="110">
        <f ca="1">IFERROR(INDIRECT("'"&amp;TEXT(DATEVALUE("01/"&amp;MID(CELL("filename",$L19),FIND("]",CELL("filename",$L19))+1,99))-1,"mmmm")&amp;"'!m19")+B19,0)</f>
        <v>0</v>
      </c>
      <c r="N19" s="63"/>
      <c r="O19" s="89">
        <f ca="1">IFERROR(INDIRECT("'"&amp;TEXT(DATEVALUE("01/"&amp;MID(CELL("filename",$L19),FIND("]",CELL("filename",$L19))+1,99))-1,"mmmm")&amp;"'!o19")+D19,0)</f>
        <v>0</v>
      </c>
      <c r="P19" s="4"/>
      <c r="Q19" s="110">
        <f ca="1">IFERROR(INDIRECT("'"&amp;TEXT(DATEVALUE("01/"&amp;MID(CELL("filename",$L19),FIND("]",CELL("filename",$L19))+1,99))-1,"mmmm")&amp;"'!q19")+F19,0)</f>
        <v>0</v>
      </c>
      <c r="R19" s="63"/>
      <c r="S19" s="181">
        <f ca="1">TFevr[[#This Row],[R19/18]]-TFevr[[#This Row],[R2018]]</f>
        <v>0</v>
      </c>
      <c r="T19" s="150">
        <f ca="1">IFERROR(IF(OR(M19="",Q19=""),"",TFevr[[#This Row],[R19/2018]]/TFevr[[#This Row],[R2018]]),0)</f>
        <v>0</v>
      </c>
      <c r="U19" s="159" t="str">
        <f ca="1">IF(TFevr[[#This Row],[B2019]]=0,"",TFevr[[#This Row],[R19/18]]-TFevr[[#This Row],[B2019]])</f>
        <v/>
      </c>
      <c r="V19" s="164">
        <f ca="1">IFERROR(IF(OR(O19="",Q19=""),"",TFevr[[#This Row],[R/B]]/TFevr[[#This Row],[B2019]]),0)</f>
        <v>0</v>
      </c>
    </row>
    <row r="20" spans="2:22" x14ac:dyDescent="0.25">
      <c r="B20" s="57">
        <f ca="1">IFERROR(SUMIF(L$4:L$24,TBase[[#Headers],[CATEGORIES]],TBase[[#This Row],[Février]]),0)</f>
        <v>0</v>
      </c>
      <c r="C20" s="4"/>
      <c r="D20" s="89"/>
      <c r="E20" s="152"/>
      <c r="F20" s="82">
        <f>IFERROR(SUMPRODUCT((Feuil1!C$2:C$18731&gt;=Février!$L$3)*(Feuil1!C$2:C$18731&lt;=EOMONTH(Février!$L$3,0))*(ISNUMBER(SEARCH("Retraite",Feuil1!D$2:D$18731)))*Feuil1!F$2:F$18731),0)</f>
        <v>0</v>
      </c>
      <c r="G20" s="85"/>
      <c r="H20" s="169" t="str">
        <f>IF(OR(D20="",TFevr[[#This Row],[Réel]]=""),"",F20-TFevr[[#This Row],[Budget]])</f>
        <v/>
      </c>
      <c r="I20" s="170"/>
      <c r="J20" s="171">
        <f t="shared" ca="1" si="0"/>
        <v>0</v>
      </c>
      <c r="K20" s="150">
        <f ca="1">IFERROR(IF(OR(B20="",F20=""),"",TFevr[[#This Row],[Reel/2018]]/TFevr[[#This Row],[0]]),0)</f>
        <v>0</v>
      </c>
      <c r="L20" s="70" t="str">
        <f>+'2018'!B20</f>
        <v>Charge Salaire Retraite</v>
      </c>
      <c r="M20" s="110">
        <f ca="1">IFERROR(INDIRECT("'"&amp;TEXT(DATEVALUE("01/"&amp;MID(CELL("filename",$L20),FIND("]",CELL("filename",$L20))+1,99))-1,"mmmm")&amp;"'!m20")+B20,0)</f>
        <v>0</v>
      </c>
      <c r="N20" s="63"/>
      <c r="O20" s="89">
        <f ca="1">IFERROR(INDIRECT("'"&amp;TEXT(DATEVALUE("01/"&amp;MID(CELL("filename",$L20),FIND("]",CELL("filename",$L20))+1,99))-1,"mmmm")&amp;"'!o20")+D20,0)</f>
        <v>0</v>
      </c>
      <c r="P20" s="4"/>
      <c r="Q20" s="110">
        <f ca="1">IFERROR(INDIRECT("'"&amp;TEXT(DATEVALUE("01/"&amp;MID(CELL("filename",$L20),FIND("]",CELL("filename",$L20))+1,99))-1,"mmmm")&amp;"'!q20")+F20,0)</f>
        <v>0</v>
      </c>
      <c r="R20" s="63"/>
      <c r="S20" s="181">
        <f ca="1">TFevr[[#This Row],[R19/18]]-TFevr[[#This Row],[R2018]]</f>
        <v>0</v>
      </c>
      <c r="T20" s="150">
        <f ca="1">IFERROR(IF(OR(M20="",Q20=""),"",TFevr[[#This Row],[R19/2018]]/TFevr[[#This Row],[R2018]]),0)</f>
        <v>0</v>
      </c>
      <c r="U20" s="159" t="str">
        <f ca="1">IF(TFevr[[#This Row],[B2019]]=0,"",TFevr[[#This Row],[R19/18]]-TFevr[[#This Row],[B2019]])</f>
        <v/>
      </c>
      <c r="V20" s="164">
        <f ca="1">IFERROR(IF(OR(O20="",Q20=""),"",TFevr[[#This Row],[R/B]]/TFevr[[#This Row],[B2019]]),0)</f>
        <v>0</v>
      </c>
    </row>
    <row r="21" spans="2:22" x14ac:dyDescent="0.25">
      <c r="B21" s="57">
        <f ca="1">IFERROR(SUMIF(L$4:L$24,TBase[[#Headers],[CATEGORIES]],TBase[[#This Row],[Février]]),0)</f>
        <v>0</v>
      </c>
      <c r="C21" s="4"/>
      <c r="D21" s="89">
        <v>-700</v>
      </c>
      <c r="E21" s="152"/>
      <c r="F21" s="82">
        <f>IFERROR(SUMPRODUCT((Feuil1!C$2:C$18731&gt;=Février!$L$3)*(Feuil1!C$2:C$18731&lt;=EOMONTH(Février!$L$3,0))*(ISNUMBER(SEARCH("prévoyance",Feuil1!D$2:D$18731)))*Feuil1!F$2:F$18731),0)</f>
        <v>0</v>
      </c>
      <c r="G21" s="85"/>
      <c r="H21" s="169">
        <f>IF(OR(D21="",TFevr[[#This Row],[Réel]]=""),"",F21-TFevr[[#This Row],[Budget]])</f>
        <v>700</v>
      </c>
      <c r="I21" s="170"/>
      <c r="J21" s="171">
        <f t="shared" ca="1" si="0"/>
        <v>0</v>
      </c>
      <c r="K21" s="150">
        <f ca="1">IFERROR(IF(OR(B21="",F21=""),"",TFevr[[#This Row],[Reel/2018]]/TFevr[[#This Row],[0]]),0)</f>
        <v>0</v>
      </c>
      <c r="L21" s="70" t="str">
        <f>+'2018'!B21</f>
        <v>Charge Salaire Prévoyance</v>
      </c>
      <c r="M21" s="110">
        <f ca="1">IFERROR(INDIRECT("'"&amp;TEXT(DATEVALUE("01/"&amp;MID(CELL("filename",$L21),FIND("]",CELL("filename",$L21))+1,99))-1,"mmmm")&amp;"'!m21")+B21,0)</f>
        <v>0</v>
      </c>
      <c r="N21" s="63"/>
      <c r="O21" s="89">
        <f ca="1">IFERROR(INDIRECT("'"&amp;TEXT(DATEVALUE("01/"&amp;MID(CELL("filename",$L21),FIND("]",CELL("filename",$L21))+1,99))-1,"mmmm")&amp;"'!o21")+D21,0)</f>
        <v>-1400</v>
      </c>
      <c r="P21" s="4"/>
      <c r="Q21" s="110">
        <f ca="1">IFERROR(INDIRECT("'"&amp;TEXT(DATEVALUE("01/"&amp;MID(CELL("filename",$L21),FIND("]",CELL("filename",$L21))+1,99))-1,"mmmm")&amp;"'!q21")+F21,0)</f>
        <v>0</v>
      </c>
      <c r="R21" s="63"/>
      <c r="S21" s="181">
        <f ca="1">TFevr[[#This Row],[R19/18]]-TFevr[[#This Row],[R2018]]</f>
        <v>0</v>
      </c>
      <c r="T21" s="150">
        <f ca="1">IFERROR(IF(OR(M21="",Q21=""),"",TFevr[[#This Row],[R19/2018]]/TFevr[[#This Row],[R2018]]),0)</f>
        <v>0</v>
      </c>
      <c r="U21" s="159">
        <f ca="1">IF(TFevr[[#This Row],[B2019]]=0,"",TFevr[[#This Row],[R19/18]]-TFevr[[#This Row],[B2019]])</f>
        <v>1400</v>
      </c>
      <c r="V21" s="164">
        <f ca="1">IFERROR(IF(OR(O21="",Q21=""),"",TFevr[[#This Row],[R/B]]/TFevr[[#This Row],[B2019]]),0)</f>
        <v>-1</v>
      </c>
    </row>
    <row r="22" spans="2:22" x14ac:dyDescent="0.25">
      <c r="B22" s="71">
        <f ca="1">IFERROR(SUMIF(L$4:L$24,TBase[[#Headers],[CATEGORIES]],TBase[[#This Row],[Février]]),0)</f>
        <v>0</v>
      </c>
      <c r="C22" s="4"/>
      <c r="D22" s="161"/>
      <c r="E22" s="152"/>
      <c r="F22" s="82">
        <f>IFERROR(SUMPRODUCT((Feuil1!C$2:C$18731&gt;=Février!$L$3)*(Feuil1!C$2:C$18731&lt;=EOMONTH(Février!$L$3,0))*(ISNUMBER(SEARCH("Médecine",Feuil1!D$2:D$18731)))*Feuil1!F$2:F$18731),0)</f>
        <v>0</v>
      </c>
      <c r="G22" s="85"/>
      <c r="H22" s="169" t="str">
        <f>IF(OR(D22="",TFevr[[#This Row],[Réel]]=""),"",F22-TFevr[[#This Row],[Budget]])</f>
        <v/>
      </c>
      <c r="I22" s="170"/>
      <c r="J22" s="171">
        <f t="shared" ca="1" si="0"/>
        <v>0</v>
      </c>
      <c r="K22" s="150">
        <f ca="1">IFERROR(IF(OR(B22="",F22=""),"",TFevr[[#This Row],[Reel/2018]]/TFevr[[#This Row],[0]]),0)</f>
        <v>0</v>
      </c>
      <c r="L22" s="70" t="str">
        <f>+'2018'!B22</f>
        <v>Medecine Travail</v>
      </c>
      <c r="M22" s="110">
        <f ca="1">IFERROR(INDIRECT("'"&amp;TEXT(DATEVALUE("01/"&amp;MID(CELL("filename",$L22),FIND("]",CELL("filename",$L22))+1,99))-1,"mmmm")&amp;"'!m22")+B22,0)</f>
        <v>0</v>
      </c>
      <c r="N22" s="63"/>
      <c r="O22" s="89">
        <f ca="1">IFERROR(INDIRECT("'"&amp;TEXT(DATEVALUE("01/"&amp;MID(CELL("filename",$L22),FIND("]",CELL("filename",$L22))+1,99))-1,"mmmm")&amp;"'!o22")+D22,0)</f>
        <v>0</v>
      </c>
      <c r="P22" s="4"/>
      <c r="Q22" s="110">
        <f ca="1">IFERROR(INDIRECT("'"&amp;TEXT(DATEVALUE("01/"&amp;MID(CELL("filename",$L22),FIND("]",CELL("filename",$L22))+1,99))-1,"mmmm")&amp;"'!q22")+F22,0)</f>
        <v>0</v>
      </c>
      <c r="R22" s="63"/>
      <c r="S22" s="181">
        <f ca="1">TFevr[[#This Row],[R19/18]]-TFevr[[#This Row],[R2018]]</f>
        <v>0</v>
      </c>
      <c r="T22" s="150">
        <f ca="1">IFERROR(IF(OR(M22="",Q22=""),"",TFevr[[#This Row],[R19/2018]]/TFevr[[#This Row],[R2018]]),0)</f>
        <v>0</v>
      </c>
      <c r="U22" s="159" t="str">
        <f ca="1">IF(TFevr[[#This Row],[B2019]]=0,"",TFevr[[#This Row],[R19/18]]-TFevr[[#This Row],[B2019]])</f>
        <v/>
      </c>
      <c r="V22" s="164">
        <f ca="1">IFERROR(IF(OR(O22="",Q22=""),"",TFevr[[#This Row],[R/B]]/TFevr[[#This Row],[B2019]]),0)</f>
        <v>0</v>
      </c>
    </row>
    <row r="23" spans="2:22" ht="15.75" thickBot="1" x14ac:dyDescent="0.3">
      <c r="B23" s="71">
        <f ca="1">IFERROR(SUMIF(L$4:L$24,TBase[[#Headers],[CATEGORIES]],TBase[[#This Row],[Février]]),0)</f>
        <v>0</v>
      </c>
      <c r="C23" s="4"/>
      <c r="D23" s="89">
        <v>-2515</v>
      </c>
      <c r="E23" s="152"/>
      <c r="F23" s="82">
        <f>IFERROR(SUMPRODUCT((Feuil1!C$2:C$18731&gt;=Février!$L$3)*(Feuil1!C$2:C$18731&lt;=EOMONTH(Février!$L$3,0))*(ISNUMBER(SEARCH("Mutuelle",Feuil1!D$2:D$18731)))*Feuil1!F$2:F$18731),0)</f>
        <v>0</v>
      </c>
      <c r="G23" s="85"/>
      <c r="H23" s="169">
        <f>IF(OR(D23="",TFevr[[#This Row],[Réel]]=""),"",F23-TFevr[[#This Row],[Budget]])</f>
        <v>2515</v>
      </c>
      <c r="I23" s="170"/>
      <c r="J23" s="171">
        <f t="shared" ca="1" si="0"/>
        <v>0</v>
      </c>
      <c r="K23" s="150">
        <f ca="1">IFERROR(IF(OR(B23="",F23=""),"",TFevr[[#This Row],[Reel/2018]]/TFevr[[#This Row],[0]]),0)</f>
        <v>0</v>
      </c>
      <c r="L23" s="70" t="str">
        <f>+'2018'!B23</f>
        <v>Charge Salaire Mutuelle</v>
      </c>
      <c r="M23" s="110">
        <f ca="1">IFERROR(INDIRECT("'"&amp;TEXT(DATEVALUE("01/"&amp;MID(CELL("filename",$L23),FIND("]",CELL("filename",$L23))+1,99))-1,"mmmm")&amp;"'!m23")+B23,0)</f>
        <v>0</v>
      </c>
      <c r="N23" s="63"/>
      <c r="O23" s="89">
        <f ca="1">IFERROR(INDIRECT("'"&amp;TEXT(DATEVALUE("01/"&amp;MID(CELL("filename",$L23),FIND("]",CELL("filename",$L23))+1,99))-1,"mmmm")&amp;"'!o23")+D23,0)</f>
        <v>-5030</v>
      </c>
      <c r="P23" s="4">
        <f ca="1">-TFevr[[#This Row],[R19/18]]/O$9</f>
        <v>0</v>
      </c>
      <c r="Q23" s="110">
        <f ca="1">IFERROR(INDIRECT("'"&amp;TEXT(DATEVALUE("01/"&amp;MID(CELL("filename",$L23),FIND("]",CELL("filename",$L23))+1,99))-1,"mmmm")&amp;"'!q23")+F23,0)</f>
        <v>0</v>
      </c>
      <c r="R23" s="63"/>
      <c r="S23" s="181">
        <f ca="1">TFevr[[#This Row],[R19/18]]-TFevr[[#This Row],[R2018]]</f>
        <v>0</v>
      </c>
      <c r="T23" s="150">
        <f ca="1">IFERROR(IF(OR(M23="",Q23=""),"",TFevr[[#This Row],[R19/2018]]/TFevr[[#This Row],[R2018]]),0)</f>
        <v>0</v>
      </c>
      <c r="U23" s="159">
        <f ca="1">IF(TFevr[[#This Row],[B2019]]=0,"",TFevr[[#This Row],[R19/18]]-TFevr[[#This Row],[B2019]])</f>
        <v>5030</v>
      </c>
      <c r="V23" s="164">
        <f ca="1">IFERROR(IF(OR(O23="",Q23=""),"",TFevr[[#This Row],[R/B]]/TFevr[[#This Row],[B2019]]),0)</f>
        <v>-1</v>
      </c>
    </row>
    <row r="24" spans="2:22" s="118" customFormat="1" ht="17.25" thickTop="1" thickBot="1" x14ac:dyDescent="0.3">
      <c r="B24" s="119">
        <f ca="1">IFERROR(SUMIF(L$4:L$24,TBase[[#Headers],[CATEGORIES]],TBase[[#This Row],[Février]]),0)</f>
        <v>0</v>
      </c>
      <c r="C24" s="120">
        <f ca="1">-TFevr[[#This Row],[Réel]]/B9</f>
        <v>0.38113586586402892</v>
      </c>
      <c r="D24" s="144">
        <f>+SUMPRODUCT((F18:F23)*(D18:D23=""))+SUM(D18:D23)</f>
        <v>-58128.400000000009</v>
      </c>
      <c r="E24" s="189">
        <f>IFERROR(IF(D24="","",TFevr[[#This Row],[Budget]]/$F$9),0)</f>
        <v>-2.6779740819520406E-2</v>
      </c>
      <c r="F24" s="123">
        <f>+SUM(F18:F23)</f>
        <v>-54913.400000000009</v>
      </c>
      <c r="G24" s="146">
        <f>IFERROR(IF(F24="","",TFevr[[#This Row],[Réel]]/$F$9),0)</f>
        <v>-2.5298591041877153E-2</v>
      </c>
      <c r="H24" s="179">
        <f>IFERROR(IF(F24=0,"",TFevr[[#This Row],[Réel]]-TFevr[[#This Row],[Budget]]),0)</f>
        <v>3215</v>
      </c>
      <c r="I24" s="182">
        <f>IFERROR(IF(OR(TFevr[[#This Row],[Budget]]="",F24=""),"",TFevr[[#This Row],[Reel/Budg.]]/TFevr[[#This Row],[Budget]]),0)</f>
        <v>-5.5308592701674215E-2</v>
      </c>
      <c r="J24" s="173">
        <f ca="1">IFERROR(IF(F24=0,"",TFevr[[#This Row],[Réel]]-TFevr[[#This Row],[0]]),0)</f>
        <v>-54913.400000000009</v>
      </c>
      <c r="K24" s="174">
        <f ca="1">IFERROR(IF(OR(B24="",F24=""),"",TFevr[[#This Row],[Reel/2018]]/TFevr[[#This Row],[0]]),0)</f>
        <v>0</v>
      </c>
      <c r="L24" s="107" t="str">
        <f>+'2018'!B24</f>
        <v>PERSONNEL</v>
      </c>
      <c r="M24" s="126">
        <f ca="1">+SUM(M18:M23)</f>
        <v>0</v>
      </c>
      <c r="N24" s="120">
        <f ca="1">-TFevr[[#This Row],[R2018]]/M$9</f>
        <v>0</v>
      </c>
      <c r="O24" s="144">
        <f ca="1">+SUMPRODUCT((Q18:Q23)*(O18:O23=0))+SUM(O18:O23)</f>
        <v>-116173.42000000001</v>
      </c>
      <c r="P24" s="189">
        <f ca="1">-TFevr[[#This Row],[B2019]]/O$9</f>
        <v>2.7075393557005813E-2</v>
      </c>
      <c r="Q24" s="123">
        <f ca="1">+SUM(Q18:Q23)</f>
        <v>-109743.42000000001</v>
      </c>
      <c r="R24" s="146">
        <f ca="1">-TFevr[[#This Row],[R19/18]]/Q$9</f>
        <v>2.557681685528224E-2</v>
      </c>
      <c r="S24" s="173">
        <f ca="1">TFevr[[#This Row],[R19/18]]-TFevr[[#This Row],[R2018]]</f>
        <v>-109743.42000000001</v>
      </c>
      <c r="T24" s="174">
        <f ca="1">IFERROR(IF(OR(M24="",Q24=""),"",TFevr[[#This Row],[R19/2018]]/TFevr[[#This Row],[R2018]]),0)</f>
        <v>0</v>
      </c>
      <c r="U24" s="160">
        <f ca="1">+SUM(U18:U23)</f>
        <v>6430</v>
      </c>
      <c r="V24" s="165"/>
    </row>
    <row r="25" spans="2:22" ht="15.75" thickTop="1" x14ac:dyDescent="0.25"/>
  </sheetData>
  <mergeCells count="4">
    <mergeCell ref="C3:G3"/>
    <mergeCell ref="H3:K3"/>
    <mergeCell ref="S3:V3"/>
    <mergeCell ref="M3:R3"/>
  </mergeCells>
  <conditionalFormatting sqref="P5:T17 B23:C23 E23:G23 L21:N23 I21:I23 I5:N20 I24:N24 B24:G24 B5:G22 P18:S24">
    <cfRule type="cellIs" dxfId="50" priority="141" operator="equal">
      <formula>0</formula>
    </cfRule>
  </conditionalFormatting>
  <conditionalFormatting sqref="K5:K16">
    <cfRule type="cellIs" dxfId="49" priority="140" operator="lessThan">
      <formula>0</formula>
    </cfRule>
  </conditionalFormatting>
  <conditionalFormatting sqref="T1:T3 T5:T17 T25:T1048576">
    <cfRule type="cellIs" dxfId="48" priority="139" operator="lessThan">
      <formula>0</formula>
    </cfRule>
  </conditionalFormatting>
  <conditionalFormatting sqref="K1:K20 K24:K1048576">
    <cfRule type="cellIs" dxfId="47" priority="132" operator="lessThan">
      <formula>0</formula>
    </cfRule>
  </conditionalFormatting>
  <conditionalFormatting sqref="O1:O3 O5:O8 O10:O16 O18:O23 O25:O1048576">
    <cfRule type="cellIs" dxfId="46" priority="131" operator="equal">
      <formula>0</formula>
    </cfRule>
  </conditionalFormatting>
  <conditionalFormatting sqref="U1:U3 U5:U16 U18:U23 U25:U1048576">
    <cfRule type="cellIs" dxfId="45" priority="112" operator="between">
      <formula>-1</formula>
      <formula>1</formula>
    </cfRule>
    <cfRule type="cellIs" dxfId="44" priority="114" operator="greaterThan">
      <formula>0</formula>
    </cfRule>
  </conditionalFormatting>
  <conditionalFormatting sqref="V3 V5:V8 V10:V16 V18:V23 V334:V1048576">
    <cfRule type="cellIs" dxfId="43" priority="103" operator="between">
      <formula>-0.01</formula>
      <formula>0.01</formula>
    </cfRule>
  </conditionalFormatting>
  <conditionalFormatting sqref="U17">
    <cfRule type="cellIs" dxfId="42" priority="101" operator="between">
      <formula>-1</formula>
      <formula>1</formula>
    </cfRule>
    <cfRule type="cellIs" dxfId="41" priority="102" operator="greaterThan">
      <formula>0</formula>
    </cfRule>
  </conditionalFormatting>
  <conditionalFormatting sqref="J21:K23">
    <cfRule type="cellIs" dxfId="40" priority="88" operator="equal">
      <formula>0</formula>
    </cfRule>
  </conditionalFormatting>
  <conditionalFormatting sqref="K21:K23">
    <cfRule type="cellIs" dxfId="39" priority="87" operator="lessThan">
      <formula>0</formula>
    </cfRule>
  </conditionalFormatting>
  <conditionalFormatting sqref="T18:T24">
    <cfRule type="cellIs" dxfId="38" priority="86" operator="greaterThan">
      <formula>0</formula>
    </cfRule>
  </conditionalFormatting>
  <conditionalFormatting sqref="T18:T24">
    <cfRule type="cellIs" dxfId="37" priority="85" operator="greaterThan">
      <formula>50%</formula>
    </cfRule>
  </conditionalFormatting>
  <conditionalFormatting sqref="H1:H8 H10:H16 H18:H1048576">
    <cfRule type="cellIs" dxfId="36" priority="80" operator="between">
      <formula>2</formula>
      <formula>-2</formula>
    </cfRule>
  </conditionalFormatting>
  <conditionalFormatting sqref="O9">
    <cfRule type="cellIs" dxfId="35" priority="79" operator="equal">
      <formula>0</formula>
    </cfRule>
  </conditionalFormatting>
  <conditionalFormatting sqref="O17">
    <cfRule type="cellIs" dxfId="34" priority="78" operator="equal">
      <formula>0</formula>
    </cfRule>
  </conditionalFormatting>
  <conditionalFormatting sqref="O24">
    <cfRule type="cellIs" dxfId="33" priority="76" operator="equal">
      <formula>0</formula>
    </cfRule>
  </conditionalFormatting>
  <conditionalFormatting sqref="H9">
    <cfRule type="cellIs" dxfId="32" priority="57" operator="equal">
      <formula>0</formula>
    </cfRule>
  </conditionalFormatting>
  <conditionalFormatting sqref="H17">
    <cfRule type="cellIs" dxfId="31" priority="56" operator="equal">
      <formula>0</formula>
    </cfRule>
  </conditionalFormatting>
  <conditionalFormatting sqref="I24">
    <cfRule type="cellIs" dxfId="30" priority="55" operator="lessThan">
      <formula>0</formula>
    </cfRule>
  </conditionalFormatting>
  <conditionalFormatting sqref="J4">
    <cfRule type="cellIs" dxfId="29" priority="42" operator="between">
      <formula>2</formula>
      <formula>-2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813"/>
  <sheetViews>
    <sheetView workbookViewId="0">
      <selection activeCell="A8" sqref="A8"/>
    </sheetView>
  </sheetViews>
  <sheetFormatPr baseColWidth="10" defaultRowHeight="15" x14ac:dyDescent="0.25"/>
  <cols>
    <col min="1" max="1" width="10.7109375" bestFit="1" customWidth="1"/>
    <col min="2" max="2" width="14" bestFit="1" customWidth="1"/>
    <col min="3" max="3" width="12.7109375" style="74" bestFit="1" customWidth="1"/>
    <col min="4" max="4" width="37.7109375" bestFit="1" customWidth="1"/>
    <col min="5" max="5" width="19.7109375" bestFit="1" customWidth="1"/>
    <col min="6" max="6" width="11" bestFit="1" customWidth="1"/>
    <col min="7" max="7" width="7.42578125" bestFit="1" customWidth="1"/>
    <col min="8" max="8" width="7.140625" bestFit="1" customWidth="1"/>
  </cols>
  <sheetData>
    <row r="1" spans="1:10" x14ac:dyDescent="0.25">
      <c r="A1" s="72" t="s">
        <v>34</v>
      </c>
      <c r="B1" s="72" t="s">
        <v>35</v>
      </c>
      <c r="C1" s="74" t="s">
        <v>36</v>
      </c>
      <c r="D1" s="72" t="s">
        <v>37</v>
      </c>
      <c r="E1" s="72" t="s">
        <v>38</v>
      </c>
      <c r="F1" s="72" t="s">
        <v>39</v>
      </c>
      <c r="G1" s="72" t="s">
        <v>40</v>
      </c>
      <c r="H1" s="72" t="s">
        <v>41</v>
      </c>
      <c r="J1" s="145">
        <f>SUBTOTAL(9,F:F)</f>
        <v>470262.67999999988</v>
      </c>
    </row>
    <row r="2" spans="1:10" x14ac:dyDescent="0.25">
      <c r="A2" s="73">
        <v>43536</v>
      </c>
      <c r="B2" s="72" t="s">
        <v>76</v>
      </c>
      <c r="C2" s="74">
        <v>43525</v>
      </c>
      <c r="D2" s="72" t="s">
        <v>109</v>
      </c>
      <c r="E2" s="72" t="s">
        <v>46</v>
      </c>
      <c r="F2" s="72">
        <v>248.21</v>
      </c>
      <c r="G2" s="72" t="s">
        <v>47</v>
      </c>
      <c r="H2" s="72" t="s">
        <v>1</v>
      </c>
    </row>
    <row r="3" spans="1:10" x14ac:dyDescent="0.25">
      <c r="A3" s="73">
        <v>43537</v>
      </c>
      <c r="B3" s="72" t="s">
        <v>76</v>
      </c>
      <c r="C3" s="74">
        <v>43525</v>
      </c>
      <c r="D3" s="72" t="s">
        <v>109</v>
      </c>
      <c r="E3" s="72" t="s">
        <v>46</v>
      </c>
      <c r="F3" s="72">
        <v>15</v>
      </c>
      <c r="G3" s="72" t="s">
        <v>47</v>
      </c>
      <c r="H3" s="72" t="s">
        <v>1</v>
      </c>
    </row>
    <row r="4" spans="1:10" x14ac:dyDescent="0.25">
      <c r="A4" s="73">
        <v>43538</v>
      </c>
      <c r="B4" s="72" t="s">
        <v>76</v>
      </c>
      <c r="C4" s="74">
        <v>43525</v>
      </c>
      <c r="D4" s="72" t="s">
        <v>109</v>
      </c>
      <c r="E4" s="72" t="s">
        <v>46</v>
      </c>
      <c r="F4" s="72">
        <v>623.20000000000005</v>
      </c>
      <c r="G4" s="72" t="s">
        <v>47</v>
      </c>
      <c r="H4" s="72" t="s">
        <v>1</v>
      </c>
    </row>
    <row r="5" spans="1:10" x14ac:dyDescent="0.25">
      <c r="A5" s="73">
        <v>43535</v>
      </c>
      <c r="B5" s="72" t="s">
        <v>76</v>
      </c>
      <c r="C5" s="74">
        <v>43525</v>
      </c>
      <c r="D5" s="72" t="s">
        <v>109</v>
      </c>
      <c r="E5" s="72" t="s">
        <v>79</v>
      </c>
      <c r="F5" s="72">
        <v>-307.22000000000003</v>
      </c>
      <c r="G5" s="72" t="s">
        <v>44</v>
      </c>
      <c r="H5" s="72"/>
    </row>
    <row r="6" spans="1:10" x14ac:dyDescent="0.25">
      <c r="A6" s="73">
        <v>43535</v>
      </c>
      <c r="B6" s="72" t="s">
        <v>76</v>
      </c>
      <c r="C6" s="74">
        <v>43525</v>
      </c>
      <c r="D6" s="72" t="s">
        <v>109</v>
      </c>
      <c r="E6" s="72" t="s">
        <v>79</v>
      </c>
      <c r="F6" s="72">
        <v>-390</v>
      </c>
      <c r="G6" s="72" t="s">
        <v>44</v>
      </c>
      <c r="H6" s="72"/>
    </row>
    <row r="7" spans="1:10" x14ac:dyDescent="0.25">
      <c r="A7" s="73">
        <v>43535</v>
      </c>
      <c r="B7" s="72" t="s">
        <v>76</v>
      </c>
      <c r="C7" s="74">
        <v>43525</v>
      </c>
      <c r="D7" s="72" t="s">
        <v>109</v>
      </c>
      <c r="E7" s="72" t="s">
        <v>79</v>
      </c>
      <c r="F7" s="72">
        <v>-292.63</v>
      </c>
      <c r="G7" s="72" t="s">
        <v>44</v>
      </c>
      <c r="H7" s="72"/>
    </row>
    <row r="8" spans="1:10" x14ac:dyDescent="0.25">
      <c r="A8" s="73">
        <v>43535</v>
      </c>
      <c r="B8" s="72" t="s">
        <v>76</v>
      </c>
      <c r="C8" s="74">
        <v>43525</v>
      </c>
      <c r="D8" s="72" t="s">
        <v>109</v>
      </c>
      <c r="E8" s="72" t="s">
        <v>79</v>
      </c>
      <c r="F8" s="72">
        <v>-3.8</v>
      </c>
      <c r="G8" s="72" t="s">
        <v>44</v>
      </c>
      <c r="H8" s="72"/>
    </row>
    <row r="9" spans="1:10" x14ac:dyDescent="0.25">
      <c r="A9" s="73">
        <v>43535</v>
      </c>
      <c r="B9" s="72" t="s">
        <v>76</v>
      </c>
      <c r="C9" s="74">
        <v>43525</v>
      </c>
      <c r="D9" s="72" t="s">
        <v>109</v>
      </c>
      <c r="E9" s="72" t="s">
        <v>79</v>
      </c>
      <c r="F9" s="72">
        <v>-3.8</v>
      </c>
      <c r="G9" s="72" t="s">
        <v>44</v>
      </c>
      <c r="H9" s="72"/>
    </row>
    <row r="10" spans="1:10" x14ac:dyDescent="0.25">
      <c r="A10" s="73">
        <v>43535</v>
      </c>
      <c r="B10" s="72" t="s">
        <v>76</v>
      </c>
      <c r="C10" s="74">
        <v>43525</v>
      </c>
      <c r="D10" s="72" t="s">
        <v>109</v>
      </c>
      <c r="E10" s="72" t="s">
        <v>79</v>
      </c>
      <c r="F10" s="72">
        <v>-220</v>
      </c>
      <c r="G10" s="72" t="s">
        <v>44</v>
      </c>
      <c r="H10" s="72"/>
    </row>
    <row r="11" spans="1:10" x14ac:dyDescent="0.25">
      <c r="A11" s="73">
        <v>43535</v>
      </c>
      <c r="B11" s="72" t="s">
        <v>76</v>
      </c>
      <c r="C11" s="74">
        <v>43525</v>
      </c>
      <c r="D11" s="72" t="s">
        <v>109</v>
      </c>
      <c r="E11" s="72" t="s">
        <v>79</v>
      </c>
      <c r="F11" s="72">
        <v>-378.56</v>
      </c>
      <c r="G11" s="72" t="s">
        <v>44</v>
      </c>
      <c r="H11" s="72"/>
    </row>
    <row r="12" spans="1:10" x14ac:dyDescent="0.25">
      <c r="A12" s="73">
        <v>43535</v>
      </c>
      <c r="B12" s="72" t="s">
        <v>76</v>
      </c>
      <c r="C12" s="74">
        <v>43525</v>
      </c>
      <c r="D12" s="72" t="s">
        <v>109</v>
      </c>
      <c r="E12" s="72" t="s">
        <v>79</v>
      </c>
      <c r="F12" s="72">
        <v>-5.9</v>
      </c>
      <c r="G12" s="72" t="s">
        <v>44</v>
      </c>
      <c r="H12" s="72"/>
    </row>
    <row r="13" spans="1:10" x14ac:dyDescent="0.25">
      <c r="A13" s="73">
        <v>43536</v>
      </c>
      <c r="B13" s="72" t="s">
        <v>76</v>
      </c>
      <c r="C13" s="74">
        <v>43525</v>
      </c>
      <c r="D13" s="72" t="s">
        <v>109</v>
      </c>
      <c r="E13" s="72" t="s">
        <v>79</v>
      </c>
      <c r="F13" s="72">
        <v>-5.9</v>
      </c>
      <c r="G13" s="72" t="s">
        <v>44</v>
      </c>
      <c r="H13" s="72"/>
    </row>
    <row r="14" spans="1:10" x14ac:dyDescent="0.25">
      <c r="A14" s="73">
        <v>43536</v>
      </c>
      <c r="B14" s="72" t="s">
        <v>76</v>
      </c>
      <c r="C14" s="74">
        <v>43525</v>
      </c>
      <c r="D14" s="72" t="s">
        <v>109</v>
      </c>
      <c r="E14" s="72" t="s">
        <v>79</v>
      </c>
      <c r="F14" s="72">
        <v>-11.8</v>
      </c>
      <c r="G14" s="72" t="s">
        <v>44</v>
      </c>
      <c r="H14" s="72"/>
    </row>
    <row r="15" spans="1:10" x14ac:dyDescent="0.25">
      <c r="A15" s="73">
        <v>43536</v>
      </c>
      <c r="B15" s="72" t="s">
        <v>76</v>
      </c>
      <c r="C15" s="74">
        <v>43525</v>
      </c>
      <c r="D15" s="72" t="s">
        <v>109</v>
      </c>
      <c r="E15" s="72" t="s">
        <v>79</v>
      </c>
      <c r="F15" s="72">
        <v>-11.8</v>
      </c>
      <c r="G15" s="72" t="s">
        <v>44</v>
      </c>
      <c r="H15" s="72"/>
    </row>
    <row r="16" spans="1:10" x14ac:dyDescent="0.25">
      <c r="A16" s="73">
        <v>43536</v>
      </c>
      <c r="B16" s="72" t="s">
        <v>76</v>
      </c>
      <c r="C16" s="74">
        <v>43525</v>
      </c>
      <c r="D16" s="72" t="s">
        <v>109</v>
      </c>
      <c r="E16" s="72" t="s">
        <v>79</v>
      </c>
      <c r="F16" s="72">
        <v>-11.8</v>
      </c>
      <c r="G16" s="72" t="s">
        <v>44</v>
      </c>
      <c r="H16" s="72"/>
    </row>
    <row r="17" spans="1:8" x14ac:dyDescent="0.25">
      <c r="A17" s="73">
        <v>43536</v>
      </c>
      <c r="B17" s="72" t="s">
        <v>76</v>
      </c>
      <c r="C17" s="74">
        <v>43525</v>
      </c>
      <c r="D17" s="72" t="s">
        <v>109</v>
      </c>
      <c r="E17" s="72" t="s">
        <v>79</v>
      </c>
      <c r="F17" s="72">
        <v>-207.35</v>
      </c>
      <c r="G17" s="72" t="s">
        <v>44</v>
      </c>
      <c r="H17" s="72"/>
    </row>
    <row r="18" spans="1:8" x14ac:dyDescent="0.25">
      <c r="A18" s="73">
        <v>43536</v>
      </c>
      <c r="B18" s="72" t="s">
        <v>76</v>
      </c>
      <c r="C18" s="74">
        <v>43525</v>
      </c>
      <c r="D18" s="72" t="s">
        <v>109</v>
      </c>
      <c r="E18" s="72" t="s">
        <v>79</v>
      </c>
      <c r="F18" s="72">
        <v>-395.41</v>
      </c>
      <c r="G18" s="72" t="s">
        <v>44</v>
      </c>
      <c r="H18" s="72"/>
    </row>
    <row r="19" spans="1:8" x14ac:dyDescent="0.25">
      <c r="A19" s="73">
        <v>43536</v>
      </c>
      <c r="B19" s="72" t="s">
        <v>76</v>
      </c>
      <c r="C19" s="74">
        <v>43525</v>
      </c>
      <c r="D19" s="72" t="s">
        <v>109</v>
      </c>
      <c r="E19" s="72" t="s">
        <v>79</v>
      </c>
      <c r="F19" s="72">
        <v>-395.91</v>
      </c>
      <c r="G19" s="72" t="s">
        <v>44</v>
      </c>
      <c r="H19" s="72"/>
    </row>
    <row r="20" spans="1:8" x14ac:dyDescent="0.25">
      <c r="A20" s="73">
        <v>43532</v>
      </c>
      <c r="B20" s="72" t="s">
        <v>76</v>
      </c>
      <c r="C20" s="74">
        <v>43526</v>
      </c>
      <c r="D20" s="72" t="s">
        <v>109</v>
      </c>
      <c r="E20" s="72" t="s">
        <v>79</v>
      </c>
      <c r="F20" s="72">
        <v>-5.9</v>
      </c>
      <c r="G20" s="72" t="s">
        <v>44</v>
      </c>
      <c r="H20" s="72"/>
    </row>
    <row r="21" spans="1:8" x14ac:dyDescent="0.25">
      <c r="A21" s="73">
        <v>43532</v>
      </c>
      <c r="B21" s="72" t="s">
        <v>76</v>
      </c>
      <c r="C21" s="74">
        <v>43526</v>
      </c>
      <c r="D21" s="72" t="s">
        <v>109</v>
      </c>
      <c r="E21" s="72" t="s">
        <v>79</v>
      </c>
      <c r="F21" s="72">
        <v>-216</v>
      </c>
      <c r="G21" s="72" t="s">
        <v>44</v>
      </c>
      <c r="H21" s="72"/>
    </row>
    <row r="22" spans="1:8" x14ac:dyDescent="0.25">
      <c r="A22" s="73">
        <v>43532</v>
      </c>
      <c r="B22" s="72" t="s">
        <v>76</v>
      </c>
      <c r="C22" s="74">
        <v>43526</v>
      </c>
      <c r="D22" s="72" t="s">
        <v>109</v>
      </c>
      <c r="E22" s="72" t="s">
        <v>79</v>
      </c>
      <c r="F22" s="72">
        <v>-11.8</v>
      </c>
      <c r="G22" s="72" t="s">
        <v>44</v>
      </c>
      <c r="H22" s="72"/>
    </row>
    <row r="23" spans="1:8" x14ac:dyDescent="0.25">
      <c r="A23" s="73">
        <v>43532</v>
      </c>
      <c r="B23" s="72" t="s">
        <v>76</v>
      </c>
      <c r="C23" s="74">
        <v>43526</v>
      </c>
      <c r="D23" s="72" t="s">
        <v>109</v>
      </c>
      <c r="E23" s="72" t="s">
        <v>79</v>
      </c>
      <c r="F23" s="72">
        <v>-5.9</v>
      </c>
      <c r="G23" s="72" t="s">
        <v>44</v>
      </c>
      <c r="H23" s="72"/>
    </row>
    <row r="24" spans="1:8" x14ac:dyDescent="0.25">
      <c r="A24" s="73">
        <v>43532</v>
      </c>
      <c r="B24" s="72" t="s">
        <v>76</v>
      </c>
      <c r="C24" s="74">
        <v>43526</v>
      </c>
      <c r="D24" s="72" t="s">
        <v>109</v>
      </c>
      <c r="E24" s="72" t="s">
        <v>79</v>
      </c>
      <c r="F24" s="72">
        <v>-210.57</v>
      </c>
      <c r="G24" s="72" t="s">
        <v>44</v>
      </c>
      <c r="H24" s="72"/>
    </row>
    <row r="25" spans="1:8" x14ac:dyDescent="0.25">
      <c r="A25" s="73">
        <v>43532</v>
      </c>
      <c r="B25" s="72" t="s">
        <v>76</v>
      </c>
      <c r="C25" s="74">
        <v>43526</v>
      </c>
      <c r="D25" s="72" t="s">
        <v>109</v>
      </c>
      <c r="E25" s="72" t="s">
        <v>79</v>
      </c>
      <c r="F25" s="72">
        <v>-4.3</v>
      </c>
      <c r="G25" s="72" t="s">
        <v>44</v>
      </c>
      <c r="H25" s="72"/>
    </row>
    <row r="26" spans="1:8" x14ac:dyDescent="0.25">
      <c r="A26" s="73">
        <v>43532</v>
      </c>
      <c r="B26" s="72" t="s">
        <v>76</v>
      </c>
      <c r="C26" s="74">
        <v>43526</v>
      </c>
      <c r="D26" s="72" t="s">
        <v>109</v>
      </c>
      <c r="E26" s="72" t="s">
        <v>79</v>
      </c>
      <c r="F26" s="72">
        <v>-355</v>
      </c>
      <c r="G26" s="72" t="s">
        <v>44</v>
      </c>
      <c r="H26" s="72"/>
    </row>
    <row r="27" spans="1:8" x14ac:dyDescent="0.25">
      <c r="A27" s="73">
        <v>43532</v>
      </c>
      <c r="B27" s="72" t="s">
        <v>76</v>
      </c>
      <c r="C27" s="74">
        <v>43526</v>
      </c>
      <c r="D27" s="72" t="s">
        <v>109</v>
      </c>
      <c r="E27" s="72" t="s">
        <v>79</v>
      </c>
      <c r="F27" s="72">
        <v>-4.3</v>
      </c>
      <c r="G27" s="72" t="s">
        <v>44</v>
      </c>
      <c r="H27" s="72"/>
    </row>
    <row r="28" spans="1:8" x14ac:dyDescent="0.25">
      <c r="A28" s="73">
        <v>43537</v>
      </c>
      <c r="B28" s="72" t="s">
        <v>76</v>
      </c>
      <c r="C28" s="74">
        <v>43526</v>
      </c>
      <c r="D28" s="72" t="s">
        <v>109</v>
      </c>
      <c r="E28" s="72" t="s">
        <v>79</v>
      </c>
      <c r="F28" s="72">
        <v>-350.2</v>
      </c>
      <c r="G28" s="72" t="s">
        <v>44</v>
      </c>
      <c r="H28" s="72"/>
    </row>
    <row r="29" spans="1:8" x14ac:dyDescent="0.25">
      <c r="A29" s="73">
        <v>43537</v>
      </c>
      <c r="B29" s="72" t="s">
        <v>76</v>
      </c>
      <c r="C29" s="74">
        <v>43526</v>
      </c>
      <c r="D29" s="72" t="s">
        <v>109</v>
      </c>
      <c r="E29" s="72" t="s">
        <v>79</v>
      </c>
      <c r="F29" s="72">
        <v>-368.08</v>
      </c>
      <c r="G29" s="72" t="s">
        <v>44</v>
      </c>
      <c r="H29" s="72"/>
    </row>
    <row r="30" spans="1:8" x14ac:dyDescent="0.25">
      <c r="A30" s="73">
        <v>43537</v>
      </c>
      <c r="B30" s="72" t="s">
        <v>76</v>
      </c>
      <c r="C30" s="74">
        <v>43526</v>
      </c>
      <c r="D30" s="72" t="s">
        <v>109</v>
      </c>
      <c r="E30" s="72" t="s">
        <v>79</v>
      </c>
      <c r="F30" s="72">
        <v>-17.7</v>
      </c>
      <c r="G30" s="72" t="s">
        <v>44</v>
      </c>
      <c r="H30" s="72"/>
    </row>
    <row r="31" spans="1:8" x14ac:dyDescent="0.25">
      <c r="A31" s="73">
        <v>43537</v>
      </c>
      <c r="B31" s="72" t="s">
        <v>76</v>
      </c>
      <c r="C31" s="74">
        <v>43526</v>
      </c>
      <c r="D31" s="72" t="s">
        <v>109</v>
      </c>
      <c r="E31" s="72" t="s">
        <v>79</v>
      </c>
      <c r="F31" s="72">
        <v>-295.97000000000003</v>
      </c>
      <c r="G31" s="72" t="s">
        <v>44</v>
      </c>
      <c r="H31" s="72"/>
    </row>
    <row r="32" spans="1:8" x14ac:dyDescent="0.25">
      <c r="A32" s="73">
        <v>43537</v>
      </c>
      <c r="B32" s="72" t="s">
        <v>76</v>
      </c>
      <c r="C32" s="74">
        <v>43526</v>
      </c>
      <c r="D32" s="72" t="s">
        <v>109</v>
      </c>
      <c r="E32" s="72" t="s">
        <v>79</v>
      </c>
      <c r="F32" s="72">
        <v>-241</v>
      </c>
      <c r="G32" s="72" t="s">
        <v>44</v>
      </c>
      <c r="H32" s="72"/>
    </row>
    <row r="33" spans="1:8" x14ac:dyDescent="0.25">
      <c r="A33" s="73">
        <v>43537</v>
      </c>
      <c r="B33" s="72" t="s">
        <v>76</v>
      </c>
      <c r="C33" s="74">
        <v>43526</v>
      </c>
      <c r="D33" s="72" t="s">
        <v>109</v>
      </c>
      <c r="E33" s="72" t="s">
        <v>79</v>
      </c>
      <c r="F33" s="72">
        <v>-218.72</v>
      </c>
      <c r="G33" s="72" t="s">
        <v>44</v>
      </c>
      <c r="H33" s="72"/>
    </row>
    <row r="34" spans="1:8" x14ac:dyDescent="0.25">
      <c r="A34" s="73">
        <v>43537</v>
      </c>
      <c r="B34" s="72" t="s">
        <v>76</v>
      </c>
      <c r="C34" s="74">
        <v>43526</v>
      </c>
      <c r="D34" s="72" t="s">
        <v>109</v>
      </c>
      <c r="E34" s="72" t="s">
        <v>79</v>
      </c>
      <c r="F34" s="72">
        <v>-150</v>
      </c>
      <c r="G34" s="72" t="s">
        <v>44</v>
      </c>
      <c r="H34" s="72"/>
    </row>
    <row r="35" spans="1:8" x14ac:dyDescent="0.25">
      <c r="A35" s="73">
        <v>43538</v>
      </c>
      <c r="B35" s="72" t="s">
        <v>76</v>
      </c>
      <c r="C35" s="74">
        <v>43526</v>
      </c>
      <c r="D35" s="72" t="s">
        <v>109</v>
      </c>
      <c r="E35" s="72" t="s">
        <v>79</v>
      </c>
      <c r="F35" s="72">
        <v>-6.8</v>
      </c>
      <c r="G35" s="72" t="s">
        <v>44</v>
      </c>
      <c r="H35" s="72"/>
    </row>
    <row r="36" spans="1:8" x14ac:dyDescent="0.25">
      <c r="A36" s="73">
        <v>43538</v>
      </c>
      <c r="B36" s="72" t="s">
        <v>76</v>
      </c>
      <c r="C36" s="74">
        <v>43526</v>
      </c>
      <c r="D36" s="72" t="s">
        <v>109</v>
      </c>
      <c r="E36" s="72" t="s">
        <v>79</v>
      </c>
      <c r="F36" s="72">
        <v>-13.1</v>
      </c>
      <c r="G36" s="72" t="s">
        <v>44</v>
      </c>
      <c r="H36" s="72"/>
    </row>
    <row r="37" spans="1:8" x14ac:dyDescent="0.25">
      <c r="A37" s="73">
        <v>43538</v>
      </c>
      <c r="B37" s="72" t="s">
        <v>76</v>
      </c>
      <c r="C37" s="74">
        <v>43526</v>
      </c>
      <c r="D37" s="72" t="s">
        <v>109</v>
      </c>
      <c r="E37" s="72" t="s">
        <v>79</v>
      </c>
      <c r="F37" s="72">
        <v>-11.8</v>
      </c>
      <c r="G37" s="72" t="s">
        <v>44</v>
      </c>
      <c r="H37" s="72"/>
    </row>
    <row r="38" spans="1:8" x14ac:dyDescent="0.25">
      <c r="A38" s="73">
        <v>43538</v>
      </c>
      <c r="B38" s="72" t="s">
        <v>76</v>
      </c>
      <c r="C38" s="74">
        <v>43526</v>
      </c>
      <c r="D38" s="72" t="s">
        <v>109</v>
      </c>
      <c r="E38" s="72" t="s">
        <v>79</v>
      </c>
      <c r="F38" s="72">
        <v>-211</v>
      </c>
      <c r="G38" s="72" t="s">
        <v>44</v>
      </c>
      <c r="H38" s="72"/>
    </row>
    <row r="39" spans="1:8" x14ac:dyDescent="0.25">
      <c r="A39" s="73">
        <v>43538</v>
      </c>
      <c r="B39" s="72" t="s">
        <v>76</v>
      </c>
      <c r="C39" s="74">
        <v>43526</v>
      </c>
      <c r="D39" s="72" t="s">
        <v>109</v>
      </c>
      <c r="E39" s="72" t="s">
        <v>79</v>
      </c>
      <c r="F39" s="72">
        <v>-11.8</v>
      </c>
      <c r="G39" s="72" t="s">
        <v>44</v>
      </c>
      <c r="H39" s="72"/>
    </row>
    <row r="40" spans="1:8" x14ac:dyDescent="0.25">
      <c r="A40" s="73">
        <v>43538</v>
      </c>
      <c r="B40" s="72" t="s">
        <v>76</v>
      </c>
      <c r="C40" s="74">
        <v>43526</v>
      </c>
      <c r="D40" s="72" t="s">
        <v>109</v>
      </c>
      <c r="E40" s="72" t="s">
        <v>79</v>
      </c>
      <c r="F40" s="72">
        <v>-383.31</v>
      </c>
      <c r="G40" s="72" t="s">
        <v>44</v>
      </c>
      <c r="H40" s="72"/>
    </row>
    <row r="41" spans="1:8" x14ac:dyDescent="0.25">
      <c r="A41" s="73">
        <v>43538</v>
      </c>
      <c r="B41" s="72" t="s">
        <v>76</v>
      </c>
      <c r="C41" s="74">
        <v>43526</v>
      </c>
      <c r="D41" s="72" t="s">
        <v>109</v>
      </c>
      <c r="E41" s="72" t="s">
        <v>79</v>
      </c>
      <c r="F41" s="72">
        <v>-198.99</v>
      </c>
      <c r="G41" s="72" t="s">
        <v>44</v>
      </c>
      <c r="H41" s="72"/>
    </row>
    <row r="42" spans="1:8" x14ac:dyDescent="0.25">
      <c r="A42" s="73">
        <v>43538</v>
      </c>
      <c r="B42" s="72" t="s">
        <v>76</v>
      </c>
      <c r="C42" s="74">
        <v>43526</v>
      </c>
      <c r="D42" s="72" t="s">
        <v>109</v>
      </c>
      <c r="E42" s="72" t="s">
        <v>79</v>
      </c>
      <c r="F42" s="72">
        <v>-150</v>
      </c>
      <c r="G42" s="72" t="s">
        <v>44</v>
      </c>
      <c r="H42" s="72"/>
    </row>
    <row r="43" spans="1:8" x14ac:dyDescent="0.25">
      <c r="A43" s="73">
        <v>43538</v>
      </c>
      <c r="B43" s="72" t="s">
        <v>76</v>
      </c>
      <c r="C43" s="74">
        <v>43526</v>
      </c>
      <c r="D43" s="72" t="s">
        <v>109</v>
      </c>
      <c r="E43" s="72" t="s">
        <v>79</v>
      </c>
      <c r="F43" s="72">
        <v>-22.5</v>
      </c>
      <c r="G43" s="72" t="s">
        <v>44</v>
      </c>
      <c r="H43" s="72"/>
    </row>
    <row r="44" spans="1:8" x14ac:dyDescent="0.25">
      <c r="A44" s="73">
        <v>43507</v>
      </c>
      <c r="B44" s="72" t="s">
        <v>42</v>
      </c>
      <c r="C44" s="74">
        <v>43476</v>
      </c>
      <c r="D44" s="72" t="s">
        <v>109</v>
      </c>
      <c r="E44" s="72" t="s">
        <v>43</v>
      </c>
      <c r="F44" s="72">
        <v>-13.99</v>
      </c>
      <c r="G44" s="72" t="s">
        <v>44</v>
      </c>
      <c r="H44" s="72" t="s">
        <v>1</v>
      </c>
    </row>
    <row r="45" spans="1:8" x14ac:dyDescent="0.25">
      <c r="A45" s="73">
        <v>43507</v>
      </c>
      <c r="B45" s="72" t="s">
        <v>42</v>
      </c>
      <c r="C45" s="74">
        <v>43476</v>
      </c>
      <c r="D45" s="72" t="s">
        <v>109</v>
      </c>
      <c r="E45" s="72" t="s">
        <v>43</v>
      </c>
      <c r="F45" s="72">
        <v>-14.99</v>
      </c>
      <c r="G45" s="72" t="s">
        <v>44</v>
      </c>
      <c r="H45" s="72" t="s">
        <v>1</v>
      </c>
    </row>
    <row r="46" spans="1:8" x14ac:dyDescent="0.25">
      <c r="A46" s="73">
        <v>43507</v>
      </c>
      <c r="B46" s="72" t="s">
        <v>42</v>
      </c>
      <c r="C46" s="74">
        <v>43476</v>
      </c>
      <c r="D46" s="72" t="s">
        <v>109</v>
      </c>
      <c r="E46" s="72" t="s">
        <v>43</v>
      </c>
      <c r="F46" s="72">
        <v>-14.99</v>
      </c>
      <c r="G46" s="72" t="s">
        <v>44</v>
      </c>
      <c r="H46" s="72" t="s">
        <v>1</v>
      </c>
    </row>
    <row r="47" spans="1:8" x14ac:dyDescent="0.25">
      <c r="A47" s="73">
        <v>43507</v>
      </c>
      <c r="B47" s="72" t="s">
        <v>42</v>
      </c>
      <c r="C47" s="74">
        <v>43476</v>
      </c>
      <c r="D47" s="72" t="s">
        <v>109</v>
      </c>
      <c r="E47" s="72" t="s">
        <v>43</v>
      </c>
      <c r="F47" s="72">
        <v>-14.99</v>
      </c>
      <c r="G47" s="72" t="s">
        <v>44</v>
      </c>
      <c r="H47" s="72" t="s">
        <v>1</v>
      </c>
    </row>
    <row r="48" spans="1:8" x14ac:dyDescent="0.25">
      <c r="A48" s="73">
        <v>43507</v>
      </c>
      <c r="B48" s="72" t="s">
        <v>42</v>
      </c>
      <c r="C48" s="74">
        <v>43476</v>
      </c>
      <c r="D48" s="72" t="s">
        <v>109</v>
      </c>
      <c r="E48" s="72" t="s">
        <v>43</v>
      </c>
      <c r="F48" s="72">
        <v>-14.99</v>
      </c>
      <c r="G48" s="72" t="s">
        <v>44</v>
      </c>
      <c r="H48" s="72" t="s">
        <v>1</v>
      </c>
    </row>
    <row r="49" spans="1:8" x14ac:dyDescent="0.25">
      <c r="A49" s="73">
        <v>43507</v>
      </c>
      <c r="B49" s="72" t="s">
        <v>42</v>
      </c>
      <c r="C49" s="74">
        <v>43476</v>
      </c>
      <c r="D49" s="72" t="s">
        <v>109</v>
      </c>
      <c r="E49" s="72" t="s">
        <v>43</v>
      </c>
      <c r="F49" s="72">
        <v>-14.99</v>
      </c>
      <c r="G49" s="72" t="s">
        <v>44</v>
      </c>
      <c r="H49" s="72" t="s">
        <v>1</v>
      </c>
    </row>
    <row r="50" spans="1:8" x14ac:dyDescent="0.25">
      <c r="A50" s="73">
        <v>43507</v>
      </c>
      <c r="B50" s="72" t="s">
        <v>42</v>
      </c>
      <c r="C50" s="74">
        <v>43476</v>
      </c>
      <c r="D50" s="72" t="s">
        <v>109</v>
      </c>
      <c r="E50" s="72" t="s">
        <v>43</v>
      </c>
      <c r="F50" s="72">
        <v>-14.99</v>
      </c>
      <c r="G50" s="72" t="s">
        <v>44</v>
      </c>
      <c r="H50" s="72" t="s">
        <v>1</v>
      </c>
    </row>
    <row r="51" spans="1:8" x14ac:dyDescent="0.25">
      <c r="A51" s="73">
        <v>43536</v>
      </c>
      <c r="B51" s="72" t="s">
        <v>42</v>
      </c>
      <c r="C51" s="74">
        <v>43507</v>
      </c>
      <c r="D51" s="72" t="s">
        <v>109</v>
      </c>
      <c r="E51" s="72" t="s">
        <v>43</v>
      </c>
      <c r="F51" s="72">
        <v>-14.99</v>
      </c>
      <c r="G51" s="72" t="s">
        <v>44</v>
      </c>
      <c r="H51" s="72" t="s">
        <v>1</v>
      </c>
    </row>
    <row r="52" spans="1:8" x14ac:dyDescent="0.25">
      <c r="A52" s="73">
        <v>43536</v>
      </c>
      <c r="B52" s="72" t="s">
        <v>42</v>
      </c>
      <c r="C52" s="74">
        <v>43507</v>
      </c>
      <c r="D52" s="72" t="s">
        <v>109</v>
      </c>
      <c r="E52" s="72" t="s">
        <v>43</v>
      </c>
      <c r="F52" s="72">
        <v>-14.99</v>
      </c>
      <c r="G52" s="72" t="s">
        <v>44</v>
      </c>
      <c r="H52" s="72" t="s">
        <v>1</v>
      </c>
    </row>
    <row r="53" spans="1:8" x14ac:dyDescent="0.25">
      <c r="A53" s="73">
        <v>43536</v>
      </c>
      <c r="B53" s="72" t="s">
        <v>42</v>
      </c>
      <c r="C53" s="74">
        <v>43507</v>
      </c>
      <c r="D53" s="72" t="s">
        <v>109</v>
      </c>
      <c r="E53" s="72" t="s">
        <v>43</v>
      </c>
      <c r="F53" s="72">
        <v>-14.99</v>
      </c>
      <c r="G53" s="72" t="s">
        <v>44</v>
      </c>
      <c r="H53" s="72" t="s">
        <v>1</v>
      </c>
    </row>
    <row r="54" spans="1:8" x14ac:dyDescent="0.25">
      <c r="A54" s="73">
        <v>43536</v>
      </c>
      <c r="B54" s="72" t="s">
        <v>42</v>
      </c>
      <c r="C54" s="74">
        <v>43507</v>
      </c>
      <c r="D54" s="72" t="s">
        <v>109</v>
      </c>
      <c r="E54" s="72" t="s">
        <v>43</v>
      </c>
      <c r="F54" s="72">
        <v>-14.99</v>
      </c>
      <c r="G54" s="72" t="s">
        <v>44</v>
      </c>
      <c r="H54" s="72" t="s">
        <v>1</v>
      </c>
    </row>
    <row r="55" spans="1:8" x14ac:dyDescent="0.25">
      <c r="A55" s="73">
        <v>43536</v>
      </c>
      <c r="B55" s="72" t="s">
        <v>42</v>
      </c>
      <c r="C55" s="74">
        <v>43507</v>
      </c>
      <c r="D55" s="72" t="s">
        <v>109</v>
      </c>
      <c r="E55" s="72" t="s">
        <v>43</v>
      </c>
      <c r="F55" s="72">
        <v>-14.99</v>
      </c>
      <c r="G55" s="72" t="s">
        <v>44</v>
      </c>
      <c r="H55" s="72" t="s">
        <v>1</v>
      </c>
    </row>
    <row r="56" spans="1:8" x14ac:dyDescent="0.25">
      <c r="A56" s="73">
        <v>43536</v>
      </c>
      <c r="B56" s="72" t="s">
        <v>42</v>
      </c>
      <c r="C56" s="74">
        <v>43507</v>
      </c>
      <c r="D56" s="72" t="s">
        <v>109</v>
      </c>
      <c r="E56" s="72" t="s">
        <v>43</v>
      </c>
      <c r="F56" s="72">
        <v>-14.99</v>
      </c>
      <c r="G56" s="72" t="s">
        <v>44</v>
      </c>
      <c r="H56" s="72" t="s">
        <v>1</v>
      </c>
    </row>
    <row r="57" spans="1:8" x14ac:dyDescent="0.25">
      <c r="A57" s="73">
        <v>43536</v>
      </c>
      <c r="B57" s="72" t="s">
        <v>42</v>
      </c>
      <c r="C57" s="74">
        <v>43507</v>
      </c>
      <c r="D57" s="72" t="s">
        <v>109</v>
      </c>
      <c r="E57" s="72" t="s">
        <v>43</v>
      </c>
      <c r="F57" s="72">
        <v>-13.99</v>
      </c>
      <c r="G57" s="72" t="s">
        <v>44</v>
      </c>
      <c r="H57" s="72" t="s">
        <v>1</v>
      </c>
    </row>
    <row r="58" spans="1:8" x14ac:dyDescent="0.25">
      <c r="A58" s="73">
        <v>43565</v>
      </c>
      <c r="B58" s="72" t="s">
        <v>42</v>
      </c>
      <c r="C58" s="74">
        <v>43535</v>
      </c>
      <c r="D58" s="72" t="s">
        <v>109</v>
      </c>
      <c r="E58" s="72" t="s">
        <v>43</v>
      </c>
      <c r="F58" s="72">
        <v>-103.93</v>
      </c>
      <c r="G58" s="72"/>
      <c r="H58" s="72"/>
    </row>
    <row r="59" spans="1:8" x14ac:dyDescent="0.25">
      <c r="A59" s="73">
        <v>43539</v>
      </c>
      <c r="B59" s="72" t="s">
        <v>60</v>
      </c>
      <c r="C59" s="74">
        <v>43479</v>
      </c>
      <c r="D59" s="72" t="s">
        <v>109</v>
      </c>
      <c r="E59" s="72" t="s">
        <v>46</v>
      </c>
      <c r="F59" s="72">
        <v>645.16</v>
      </c>
      <c r="G59" s="72" t="s">
        <v>47</v>
      </c>
      <c r="H59" s="72"/>
    </row>
    <row r="60" spans="1:8" x14ac:dyDescent="0.25">
      <c r="A60" s="73">
        <v>43531</v>
      </c>
      <c r="B60" s="72" t="s">
        <v>67</v>
      </c>
      <c r="C60" s="74">
        <v>43497</v>
      </c>
      <c r="D60" s="72" t="s">
        <v>109</v>
      </c>
      <c r="E60" s="72" t="s">
        <v>46</v>
      </c>
      <c r="F60" s="72">
        <v>3462.67</v>
      </c>
      <c r="G60" s="72" t="s">
        <v>47</v>
      </c>
      <c r="H60" s="72"/>
    </row>
    <row r="61" spans="1:8" x14ac:dyDescent="0.25">
      <c r="A61" s="73">
        <v>43539</v>
      </c>
      <c r="B61" s="72" t="s">
        <v>60</v>
      </c>
      <c r="C61" s="74">
        <v>43485</v>
      </c>
      <c r="D61" s="72" t="s">
        <v>109</v>
      </c>
      <c r="E61" s="72" t="s">
        <v>46</v>
      </c>
      <c r="F61" s="72">
        <v>3839.05</v>
      </c>
      <c r="G61" s="72" t="s">
        <v>47</v>
      </c>
      <c r="H61" s="72"/>
    </row>
    <row r="62" spans="1:8" x14ac:dyDescent="0.25">
      <c r="A62" s="73">
        <v>43521</v>
      </c>
      <c r="B62" s="72" t="s">
        <v>45</v>
      </c>
      <c r="C62" s="74">
        <v>43497</v>
      </c>
      <c r="D62" s="72" t="s">
        <v>109</v>
      </c>
      <c r="E62" s="72" t="s">
        <v>63</v>
      </c>
      <c r="F62" s="72">
        <v>-6986</v>
      </c>
      <c r="G62" s="72" t="s">
        <v>44</v>
      </c>
      <c r="H62" s="72"/>
    </row>
    <row r="63" spans="1:8" x14ac:dyDescent="0.25">
      <c r="A63" s="73">
        <v>43535</v>
      </c>
      <c r="B63" s="72" t="s">
        <v>45</v>
      </c>
      <c r="C63" s="74">
        <v>43498</v>
      </c>
      <c r="D63" s="72" t="s">
        <v>109</v>
      </c>
      <c r="E63" s="72" t="s">
        <v>68</v>
      </c>
      <c r="F63" s="72">
        <v>-300</v>
      </c>
      <c r="G63" s="72" t="s">
        <v>44</v>
      </c>
      <c r="H63" s="72"/>
    </row>
    <row r="64" spans="1:8" x14ac:dyDescent="0.25">
      <c r="A64" s="73">
        <v>43561</v>
      </c>
      <c r="B64" s="72" t="s">
        <v>45</v>
      </c>
      <c r="C64" s="74">
        <v>43525</v>
      </c>
      <c r="D64" s="72" t="s">
        <v>109</v>
      </c>
      <c r="E64" s="72" t="s">
        <v>68</v>
      </c>
      <c r="F64" s="72">
        <v>-840</v>
      </c>
      <c r="G64" s="72"/>
      <c r="H64" s="72"/>
    </row>
    <row r="65" spans="1:8" x14ac:dyDescent="0.25">
      <c r="A65" s="73">
        <v>43570</v>
      </c>
      <c r="B65" s="72" t="s">
        <v>45</v>
      </c>
      <c r="C65" s="74">
        <v>43527</v>
      </c>
      <c r="D65" s="72" t="s">
        <v>109</v>
      </c>
      <c r="E65" s="72" t="s">
        <v>68</v>
      </c>
      <c r="F65" s="72">
        <v>-300</v>
      </c>
      <c r="G65" s="72"/>
      <c r="H65" s="72"/>
    </row>
    <row r="66" spans="1:8" x14ac:dyDescent="0.25">
      <c r="A66" s="73">
        <v>43522</v>
      </c>
      <c r="B66" s="72" t="s">
        <v>67</v>
      </c>
      <c r="C66" s="74">
        <v>43497</v>
      </c>
      <c r="D66" s="72" t="s">
        <v>109</v>
      </c>
      <c r="E66" s="72" t="s">
        <v>46</v>
      </c>
      <c r="F66" s="72">
        <v>330.32</v>
      </c>
      <c r="G66" s="72" t="s">
        <v>47</v>
      </c>
      <c r="H66" s="72"/>
    </row>
    <row r="67" spans="1:8" x14ac:dyDescent="0.25">
      <c r="A67" s="73">
        <v>43524</v>
      </c>
      <c r="B67" s="72" t="s">
        <v>45</v>
      </c>
      <c r="C67" s="74">
        <v>43497</v>
      </c>
      <c r="D67" s="72" t="s">
        <v>109</v>
      </c>
      <c r="E67" s="72" t="s">
        <v>73</v>
      </c>
      <c r="F67" s="72">
        <v>-139.19999999999999</v>
      </c>
      <c r="G67" s="72" t="s">
        <v>44</v>
      </c>
      <c r="H67" s="72"/>
    </row>
    <row r="68" spans="1:8" x14ac:dyDescent="0.25">
      <c r="A68" s="73">
        <v>43544</v>
      </c>
      <c r="B68" s="72" t="s">
        <v>45</v>
      </c>
      <c r="C68" s="74">
        <v>43525</v>
      </c>
      <c r="D68" s="72" t="s">
        <v>109</v>
      </c>
      <c r="E68" s="72" t="s">
        <v>73</v>
      </c>
      <c r="F68" s="72">
        <v>-139.19999999999999</v>
      </c>
      <c r="G68" s="72"/>
      <c r="H68" s="72"/>
    </row>
    <row r="69" spans="1:8" x14ac:dyDescent="0.25">
      <c r="A69" s="73">
        <v>43528</v>
      </c>
      <c r="B69" s="72" t="s">
        <v>45</v>
      </c>
      <c r="C69" s="74">
        <v>43528</v>
      </c>
      <c r="D69" s="72" t="s">
        <v>109</v>
      </c>
      <c r="E69" s="72" t="s">
        <v>46</v>
      </c>
      <c r="F69" s="72">
        <v>1021.44</v>
      </c>
      <c r="G69" s="72" t="s">
        <v>47</v>
      </c>
      <c r="H69" s="72" t="s">
        <v>1</v>
      </c>
    </row>
    <row r="70" spans="1:8" x14ac:dyDescent="0.25">
      <c r="A70" s="73">
        <v>43555</v>
      </c>
      <c r="B70" s="72" t="s">
        <v>60</v>
      </c>
      <c r="C70" s="74">
        <v>43497</v>
      </c>
      <c r="D70" s="72" t="s">
        <v>109</v>
      </c>
      <c r="E70" s="72" t="s">
        <v>46</v>
      </c>
      <c r="F70" s="72">
        <v>503.61</v>
      </c>
      <c r="G70" s="72" t="s">
        <v>47</v>
      </c>
      <c r="H70" s="72"/>
    </row>
    <row r="71" spans="1:8" x14ac:dyDescent="0.25">
      <c r="A71" s="73">
        <v>43495</v>
      </c>
      <c r="B71" s="72" t="s">
        <v>76</v>
      </c>
      <c r="C71" s="74">
        <v>43525</v>
      </c>
      <c r="D71" s="72" t="s">
        <v>109</v>
      </c>
      <c r="E71" s="72" t="s">
        <v>46</v>
      </c>
      <c r="F71" s="72">
        <v>797.32</v>
      </c>
      <c r="G71" s="72" t="s">
        <v>47</v>
      </c>
      <c r="H71" s="72" t="s">
        <v>1</v>
      </c>
    </row>
    <row r="72" spans="1:8" x14ac:dyDescent="0.25">
      <c r="A72" s="73">
        <v>43539</v>
      </c>
      <c r="B72" s="72" t="s">
        <v>60</v>
      </c>
      <c r="C72" s="74">
        <v>43493</v>
      </c>
      <c r="D72" s="72" t="s">
        <v>109</v>
      </c>
      <c r="E72" s="72" t="s">
        <v>46</v>
      </c>
      <c r="F72" s="72">
        <v>2380.2399999999998</v>
      </c>
      <c r="G72" s="72" t="s">
        <v>47</v>
      </c>
      <c r="H72" s="72"/>
    </row>
    <row r="73" spans="1:8" x14ac:dyDescent="0.25">
      <c r="A73" s="73">
        <v>43496</v>
      </c>
      <c r="B73" s="72" t="s">
        <v>45</v>
      </c>
      <c r="C73" s="74">
        <v>43496</v>
      </c>
      <c r="D73" s="72" t="s">
        <v>109</v>
      </c>
      <c r="E73" s="72" t="s">
        <v>71</v>
      </c>
      <c r="F73" s="72">
        <v>-700</v>
      </c>
      <c r="G73" s="72" t="s">
        <v>44</v>
      </c>
      <c r="H73" s="72"/>
    </row>
    <row r="74" spans="1:8" x14ac:dyDescent="0.25">
      <c r="A74" s="73">
        <v>43518</v>
      </c>
      <c r="B74" s="72" t="s">
        <v>45</v>
      </c>
      <c r="C74" s="74">
        <v>43497</v>
      </c>
      <c r="D74" s="72" t="s">
        <v>109</v>
      </c>
      <c r="E74" s="72" t="s">
        <v>71</v>
      </c>
      <c r="F74" s="72">
        <v>-138.55000000000001</v>
      </c>
      <c r="G74" s="72" t="s">
        <v>44</v>
      </c>
      <c r="H74" s="72"/>
    </row>
    <row r="75" spans="1:8" x14ac:dyDescent="0.25">
      <c r="A75" s="73">
        <v>43473</v>
      </c>
      <c r="B75" s="72" t="s">
        <v>45</v>
      </c>
      <c r="C75" s="74">
        <v>43473</v>
      </c>
      <c r="D75" s="72" t="s">
        <v>109</v>
      </c>
      <c r="E75" s="72" t="s">
        <v>50</v>
      </c>
      <c r="F75" s="72">
        <v>-9109.99</v>
      </c>
      <c r="G75" s="72" t="s">
        <v>44</v>
      </c>
      <c r="H75" s="72" t="s">
        <v>1</v>
      </c>
    </row>
    <row r="76" spans="1:8" x14ac:dyDescent="0.25">
      <c r="A76" s="73">
        <v>43539</v>
      </c>
      <c r="B76" s="72" t="s">
        <v>60</v>
      </c>
      <c r="C76" s="74">
        <v>43481</v>
      </c>
      <c r="D76" s="72" t="s">
        <v>109</v>
      </c>
      <c r="E76" s="72" t="s">
        <v>46</v>
      </c>
      <c r="F76" s="72">
        <v>348.97</v>
      </c>
      <c r="G76" s="72" t="s">
        <v>47</v>
      </c>
      <c r="H76" s="72"/>
    </row>
    <row r="77" spans="1:8" x14ac:dyDescent="0.25">
      <c r="A77" s="73">
        <v>43474</v>
      </c>
      <c r="B77" s="72" t="s">
        <v>42</v>
      </c>
      <c r="C77" s="74">
        <v>43474</v>
      </c>
      <c r="D77" s="72" t="s">
        <v>109</v>
      </c>
      <c r="E77" s="72" t="s">
        <v>49</v>
      </c>
      <c r="F77" s="72">
        <v>-71</v>
      </c>
      <c r="G77" s="72" t="s">
        <v>44</v>
      </c>
      <c r="H77" s="72" t="s">
        <v>1</v>
      </c>
    </row>
    <row r="78" spans="1:8" x14ac:dyDescent="0.25">
      <c r="A78" s="73">
        <v>43505</v>
      </c>
      <c r="B78" s="72" t="s">
        <v>42</v>
      </c>
      <c r="C78" s="74">
        <v>43505</v>
      </c>
      <c r="D78" s="72" t="s">
        <v>109</v>
      </c>
      <c r="E78" s="72" t="s">
        <v>49</v>
      </c>
      <c r="F78" s="72">
        <v>-35</v>
      </c>
      <c r="G78" s="72" t="s">
        <v>44</v>
      </c>
      <c r="H78" s="72" t="s">
        <v>1</v>
      </c>
    </row>
    <row r="79" spans="1:8" x14ac:dyDescent="0.25">
      <c r="A79" s="73">
        <v>43531</v>
      </c>
      <c r="B79" s="72" t="s">
        <v>42</v>
      </c>
      <c r="C79" s="74">
        <v>43531</v>
      </c>
      <c r="D79" s="72" t="s">
        <v>109</v>
      </c>
      <c r="E79" s="72" t="s">
        <v>49</v>
      </c>
      <c r="F79" s="72">
        <v>-35</v>
      </c>
      <c r="G79" s="72" t="s">
        <v>44</v>
      </c>
      <c r="H79" s="72" t="s">
        <v>1</v>
      </c>
    </row>
    <row r="80" spans="1:8" x14ac:dyDescent="0.25">
      <c r="A80" s="73">
        <v>43501</v>
      </c>
      <c r="B80" s="72" t="s">
        <v>42</v>
      </c>
      <c r="C80" s="74">
        <v>43501</v>
      </c>
      <c r="D80" s="72" t="s">
        <v>109</v>
      </c>
      <c r="E80" s="72" t="s">
        <v>48</v>
      </c>
      <c r="F80" s="72">
        <v>-27</v>
      </c>
      <c r="G80" s="72" t="s">
        <v>44</v>
      </c>
      <c r="H80" s="72" t="s">
        <v>1</v>
      </c>
    </row>
    <row r="81" spans="1:8" x14ac:dyDescent="0.25">
      <c r="A81" s="73">
        <v>43528</v>
      </c>
      <c r="B81" s="72" t="s">
        <v>42</v>
      </c>
      <c r="C81" s="74">
        <v>43528</v>
      </c>
      <c r="D81" s="72" t="s">
        <v>109</v>
      </c>
      <c r="E81" s="72" t="s">
        <v>48</v>
      </c>
      <c r="F81" s="72">
        <v>-9</v>
      </c>
      <c r="G81" s="72" t="s">
        <v>44</v>
      </c>
      <c r="H81" s="72" t="s">
        <v>1</v>
      </c>
    </row>
    <row r="82" spans="1:8" x14ac:dyDescent="0.25">
      <c r="A82" s="73">
        <v>43480</v>
      </c>
      <c r="B82" s="72" t="s">
        <v>42</v>
      </c>
      <c r="C82" s="74">
        <v>43480</v>
      </c>
      <c r="D82" s="72" t="s">
        <v>109</v>
      </c>
      <c r="E82" s="72" t="s">
        <v>51</v>
      </c>
      <c r="F82" s="72">
        <v>-863.02</v>
      </c>
      <c r="G82" s="72" t="s">
        <v>44</v>
      </c>
      <c r="H82" s="72" t="s">
        <v>1</v>
      </c>
    </row>
    <row r="83" spans="1:8" x14ac:dyDescent="0.25">
      <c r="A83" s="73">
        <v>43511</v>
      </c>
      <c r="B83" s="72" t="s">
        <v>42</v>
      </c>
      <c r="C83" s="74">
        <v>43511</v>
      </c>
      <c r="D83" s="72" t="s">
        <v>109</v>
      </c>
      <c r="E83" s="72" t="s">
        <v>51</v>
      </c>
      <c r="F83" s="72">
        <v>-863.02</v>
      </c>
      <c r="G83" s="72" t="s">
        <v>44</v>
      </c>
      <c r="H83" s="72" t="s">
        <v>1</v>
      </c>
    </row>
    <row r="84" spans="1:8" x14ac:dyDescent="0.25">
      <c r="A84" s="73">
        <v>43539</v>
      </c>
      <c r="B84" s="72" t="s">
        <v>42</v>
      </c>
      <c r="C84" s="74">
        <v>43539</v>
      </c>
      <c r="D84" s="72" t="s">
        <v>109</v>
      </c>
      <c r="E84" s="72" t="s">
        <v>51</v>
      </c>
      <c r="F84" s="72">
        <v>-863.02</v>
      </c>
      <c r="G84" s="72" t="s">
        <v>44</v>
      </c>
      <c r="H84" s="72" t="s">
        <v>1</v>
      </c>
    </row>
    <row r="85" spans="1:8" x14ac:dyDescent="0.25">
      <c r="A85" s="73">
        <v>43480</v>
      </c>
      <c r="B85" s="72" t="s">
        <v>42</v>
      </c>
      <c r="C85" s="74">
        <v>43480</v>
      </c>
      <c r="D85" s="72" t="s">
        <v>109</v>
      </c>
      <c r="E85" s="72" t="s">
        <v>51</v>
      </c>
      <c r="F85" s="72">
        <v>-276.82</v>
      </c>
      <c r="G85" s="72" t="s">
        <v>44</v>
      </c>
      <c r="H85" s="72" t="s">
        <v>1</v>
      </c>
    </row>
    <row r="86" spans="1:8" x14ac:dyDescent="0.25">
      <c r="A86" s="73">
        <v>43511</v>
      </c>
      <c r="B86" s="72" t="s">
        <v>42</v>
      </c>
      <c r="C86" s="74">
        <v>43511</v>
      </c>
      <c r="D86" s="72" t="s">
        <v>109</v>
      </c>
      <c r="E86" s="72" t="s">
        <v>51</v>
      </c>
      <c r="F86" s="72">
        <v>-276.82</v>
      </c>
      <c r="G86" s="72" t="s">
        <v>44</v>
      </c>
      <c r="H86" s="72" t="s">
        <v>1</v>
      </c>
    </row>
    <row r="87" spans="1:8" x14ac:dyDescent="0.25">
      <c r="A87" s="73">
        <v>43539</v>
      </c>
      <c r="B87" s="72" t="s">
        <v>42</v>
      </c>
      <c r="C87" s="74">
        <v>43539</v>
      </c>
      <c r="D87" s="72" t="s">
        <v>109</v>
      </c>
      <c r="E87" s="72" t="s">
        <v>51</v>
      </c>
      <c r="F87" s="72">
        <v>-276.82</v>
      </c>
      <c r="G87" s="72" t="s">
        <v>44</v>
      </c>
      <c r="H87" s="72" t="s">
        <v>1</v>
      </c>
    </row>
    <row r="88" spans="1:8" x14ac:dyDescent="0.25">
      <c r="A88" s="73">
        <v>43480</v>
      </c>
      <c r="B88" s="72" t="s">
        <v>42</v>
      </c>
      <c r="C88" s="74">
        <v>43480</v>
      </c>
      <c r="D88" s="72" t="s">
        <v>109</v>
      </c>
      <c r="E88" s="72" t="s">
        <v>52</v>
      </c>
      <c r="F88" s="72">
        <v>-2677.36</v>
      </c>
      <c r="G88" s="72" t="s">
        <v>44</v>
      </c>
      <c r="H88" s="72" t="s">
        <v>1</v>
      </c>
    </row>
    <row r="89" spans="1:8" x14ac:dyDescent="0.25">
      <c r="A89" s="73">
        <v>43511</v>
      </c>
      <c r="B89" s="72" t="s">
        <v>42</v>
      </c>
      <c r="C89" s="74">
        <v>43511</v>
      </c>
      <c r="D89" s="72" t="s">
        <v>109</v>
      </c>
      <c r="E89" s="72" t="s">
        <v>52</v>
      </c>
      <c r="F89" s="72">
        <v>-2677.36</v>
      </c>
      <c r="G89" s="72" t="s">
        <v>44</v>
      </c>
      <c r="H89" s="72" t="s">
        <v>1</v>
      </c>
    </row>
    <row r="90" spans="1:8" x14ac:dyDescent="0.25">
      <c r="A90" s="73">
        <v>43539</v>
      </c>
      <c r="B90" s="72" t="s">
        <v>42</v>
      </c>
      <c r="C90" s="74">
        <v>43539</v>
      </c>
      <c r="D90" s="72" t="s">
        <v>109</v>
      </c>
      <c r="E90" s="72" t="s">
        <v>52</v>
      </c>
      <c r="F90" s="72">
        <v>-2677.36</v>
      </c>
      <c r="G90" s="72" t="s">
        <v>44</v>
      </c>
      <c r="H90" s="72" t="s">
        <v>1</v>
      </c>
    </row>
    <row r="91" spans="1:8" x14ac:dyDescent="0.25">
      <c r="A91" s="73">
        <v>43497</v>
      </c>
      <c r="B91" s="72" t="s">
        <v>42</v>
      </c>
      <c r="C91" s="74">
        <v>43497</v>
      </c>
      <c r="D91" s="72" t="s">
        <v>109</v>
      </c>
      <c r="E91" s="72" t="s">
        <v>49</v>
      </c>
      <c r="F91" s="72">
        <v>-9.67</v>
      </c>
      <c r="G91" s="72" t="s">
        <v>44</v>
      </c>
      <c r="H91" s="72" t="s">
        <v>1</v>
      </c>
    </row>
    <row r="92" spans="1:8" x14ac:dyDescent="0.25">
      <c r="A92" s="73">
        <v>43528</v>
      </c>
      <c r="B92" s="72" t="s">
        <v>42</v>
      </c>
      <c r="C92" s="74">
        <v>43528</v>
      </c>
      <c r="D92" s="72" t="s">
        <v>109</v>
      </c>
      <c r="E92" s="72" t="s">
        <v>49</v>
      </c>
      <c r="F92" s="72">
        <v>-9.67</v>
      </c>
      <c r="G92" s="72" t="s">
        <v>44</v>
      </c>
      <c r="H92" s="72" t="s">
        <v>1</v>
      </c>
    </row>
    <row r="93" spans="1:8" x14ac:dyDescent="0.25">
      <c r="A93" s="73">
        <v>43510</v>
      </c>
      <c r="B93" s="72" t="s">
        <v>45</v>
      </c>
      <c r="C93" s="74">
        <v>43510</v>
      </c>
      <c r="D93" s="72" t="s">
        <v>109</v>
      </c>
      <c r="E93" s="72" t="s">
        <v>56</v>
      </c>
      <c r="F93" s="72">
        <v>-15000</v>
      </c>
      <c r="G93" s="72" t="s">
        <v>44</v>
      </c>
      <c r="H93" s="72" t="s">
        <v>1</v>
      </c>
    </row>
    <row r="94" spans="1:8" x14ac:dyDescent="0.25">
      <c r="A94" s="73">
        <v>43530</v>
      </c>
      <c r="B94" s="72" t="s">
        <v>45</v>
      </c>
      <c r="C94" s="74">
        <v>43497</v>
      </c>
      <c r="D94" s="72" t="s">
        <v>109</v>
      </c>
      <c r="E94" s="72" t="s">
        <v>70</v>
      </c>
      <c r="F94" s="72">
        <v>-299.05</v>
      </c>
      <c r="G94" s="72" t="s">
        <v>44</v>
      </c>
      <c r="H94" s="72"/>
    </row>
    <row r="95" spans="1:8" x14ac:dyDescent="0.25">
      <c r="A95" s="73">
        <v>43530</v>
      </c>
      <c r="B95" s="72" t="s">
        <v>45</v>
      </c>
      <c r="C95" s="74">
        <v>43497</v>
      </c>
      <c r="D95" s="72" t="s">
        <v>109</v>
      </c>
      <c r="E95" s="72" t="s">
        <v>70</v>
      </c>
      <c r="F95" s="72">
        <v>-586.4</v>
      </c>
      <c r="G95" s="72" t="s">
        <v>44</v>
      </c>
      <c r="H95" s="72"/>
    </row>
    <row r="96" spans="1:8" x14ac:dyDescent="0.25">
      <c r="A96" s="73">
        <v>43546</v>
      </c>
      <c r="B96" s="72" t="s">
        <v>45</v>
      </c>
      <c r="C96" s="74">
        <v>43544</v>
      </c>
      <c r="D96" s="72" t="s">
        <v>109</v>
      </c>
      <c r="E96" s="72" t="s">
        <v>70</v>
      </c>
      <c r="F96" s="72">
        <v>-802.6</v>
      </c>
      <c r="G96" s="72"/>
      <c r="H96" s="72"/>
    </row>
    <row r="97" spans="1:8" x14ac:dyDescent="0.25">
      <c r="A97" s="73">
        <v>43522</v>
      </c>
      <c r="B97" s="72" t="s">
        <v>76</v>
      </c>
      <c r="C97" s="74">
        <v>43497</v>
      </c>
      <c r="D97" s="72" t="s">
        <v>109</v>
      </c>
      <c r="E97" s="72" t="s">
        <v>46</v>
      </c>
      <c r="F97" s="72">
        <v>32.72</v>
      </c>
      <c r="G97" s="72" t="s">
        <v>47</v>
      </c>
      <c r="H97" s="72" t="s">
        <v>1</v>
      </c>
    </row>
    <row r="98" spans="1:8" x14ac:dyDescent="0.25">
      <c r="A98" s="73">
        <v>43524</v>
      </c>
      <c r="B98" s="72" t="s">
        <v>42</v>
      </c>
      <c r="C98" s="74">
        <v>43497</v>
      </c>
      <c r="D98" s="72" t="s">
        <v>109</v>
      </c>
      <c r="E98" s="72" t="s">
        <v>57</v>
      </c>
      <c r="F98" s="72">
        <v>-4235.1099999999997</v>
      </c>
      <c r="G98" s="72" t="s">
        <v>44</v>
      </c>
      <c r="H98" s="72"/>
    </row>
    <row r="99" spans="1:8" x14ac:dyDescent="0.25">
      <c r="A99" s="73">
        <v>43544</v>
      </c>
      <c r="B99" s="72" t="s">
        <v>42</v>
      </c>
      <c r="C99" s="74">
        <v>43544</v>
      </c>
      <c r="D99" s="72" t="s">
        <v>109</v>
      </c>
      <c r="E99" s="72" t="s">
        <v>57</v>
      </c>
      <c r="F99" s="72">
        <v>-4235.1099999999997</v>
      </c>
      <c r="G99" s="72"/>
      <c r="H99" s="72"/>
    </row>
    <row r="100" spans="1:8" x14ac:dyDescent="0.25">
      <c r="A100" s="73">
        <v>43500</v>
      </c>
      <c r="B100" s="72" t="s">
        <v>45</v>
      </c>
      <c r="C100" s="74">
        <v>43476</v>
      </c>
      <c r="D100" s="72" t="s">
        <v>109</v>
      </c>
      <c r="E100" s="72" t="s">
        <v>55</v>
      </c>
      <c r="F100" s="72">
        <v>-1945.14</v>
      </c>
      <c r="G100" s="72" t="s">
        <v>44</v>
      </c>
      <c r="H100" s="72" t="s">
        <v>1</v>
      </c>
    </row>
    <row r="101" spans="1:8" x14ac:dyDescent="0.25">
      <c r="A101" s="73">
        <v>43524</v>
      </c>
      <c r="B101" s="72" t="s">
        <v>45</v>
      </c>
      <c r="C101" s="74">
        <v>43507</v>
      </c>
      <c r="D101" s="72" t="s">
        <v>109</v>
      </c>
      <c r="E101" s="72" t="s">
        <v>55</v>
      </c>
      <c r="F101" s="72">
        <v>-1773.69</v>
      </c>
      <c r="G101" s="72" t="s">
        <v>44</v>
      </c>
      <c r="H101" s="72" t="s">
        <v>1</v>
      </c>
    </row>
    <row r="102" spans="1:8" x14ac:dyDescent="0.25">
      <c r="A102" s="73">
        <v>43551</v>
      </c>
      <c r="B102" s="72" t="s">
        <v>45</v>
      </c>
      <c r="C102" s="74">
        <v>43536</v>
      </c>
      <c r="D102" s="72" t="s">
        <v>109</v>
      </c>
      <c r="E102" s="72" t="s">
        <v>55</v>
      </c>
      <c r="F102" s="72">
        <v>-2242.7600000000002</v>
      </c>
      <c r="G102" s="72"/>
      <c r="H102" s="72"/>
    </row>
    <row r="103" spans="1:8" x14ac:dyDescent="0.25">
      <c r="A103" s="73">
        <v>43475</v>
      </c>
      <c r="B103" s="72" t="s">
        <v>76</v>
      </c>
      <c r="C103" s="74">
        <v>43475</v>
      </c>
      <c r="D103" s="72" t="s">
        <v>109</v>
      </c>
      <c r="E103" s="72" t="s">
        <v>79</v>
      </c>
      <c r="F103" s="72">
        <v>-278.10000000000002</v>
      </c>
      <c r="G103" s="72" t="s">
        <v>44</v>
      </c>
      <c r="H103" s="72"/>
    </row>
    <row r="104" spans="1:8" x14ac:dyDescent="0.25">
      <c r="A104" s="73">
        <v>43481</v>
      </c>
      <c r="B104" s="72" t="s">
        <v>76</v>
      </c>
      <c r="C104" s="74">
        <v>43481</v>
      </c>
      <c r="D104" s="72" t="s">
        <v>109</v>
      </c>
      <c r="E104" s="72" t="s">
        <v>79</v>
      </c>
      <c r="F104" s="72">
        <v>-308.44</v>
      </c>
      <c r="G104" s="72" t="s">
        <v>44</v>
      </c>
      <c r="H104" s="72"/>
    </row>
    <row r="105" spans="1:8" x14ac:dyDescent="0.25">
      <c r="A105" s="73">
        <v>43487</v>
      </c>
      <c r="B105" s="72" t="s">
        <v>76</v>
      </c>
      <c r="C105" s="74">
        <v>43487</v>
      </c>
      <c r="D105" s="72" t="s">
        <v>109</v>
      </c>
      <c r="E105" s="72" t="s">
        <v>79</v>
      </c>
      <c r="F105" s="72">
        <v>-363.4</v>
      </c>
      <c r="G105" s="72" t="s">
        <v>44</v>
      </c>
      <c r="H105" s="72"/>
    </row>
    <row r="106" spans="1:8" x14ac:dyDescent="0.25">
      <c r="A106" s="73">
        <v>43490</v>
      </c>
      <c r="B106" s="72" t="s">
        <v>76</v>
      </c>
      <c r="C106" s="74">
        <v>43490</v>
      </c>
      <c r="D106" s="72" t="s">
        <v>109</v>
      </c>
      <c r="E106" s="72" t="s">
        <v>79</v>
      </c>
      <c r="F106" s="72">
        <v>-373.39</v>
      </c>
      <c r="G106" s="72" t="s">
        <v>44</v>
      </c>
      <c r="H106" s="72"/>
    </row>
    <row r="107" spans="1:8" x14ac:dyDescent="0.25">
      <c r="A107" s="73">
        <v>43496</v>
      </c>
      <c r="B107" s="72" t="s">
        <v>76</v>
      </c>
      <c r="C107" s="74">
        <v>43496</v>
      </c>
      <c r="D107" s="72" t="s">
        <v>109</v>
      </c>
      <c r="E107" s="72" t="s">
        <v>79</v>
      </c>
      <c r="F107" s="72">
        <v>-324.43</v>
      </c>
      <c r="G107" s="72" t="s">
        <v>44</v>
      </c>
      <c r="H107" s="72"/>
    </row>
    <row r="108" spans="1:8" x14ac:dyDescent="0.25">
      <c r="A108" s="73">
        <v>43501</v>
      </c>
      <c r="B108" s="72" t="s">
        <v>76</v>
      </c>
      <c r="C108" s="74">
        <v>43501</v>
      </c>
      <c r="D108" s="72" t="s">
        <v>109</v>
      </c>
      <c r="E108" s="72" t="s">
        <v>79</v>
      </c>
      <c r="F108" s="72">
        <v>-302.35000000000002</v>
      </c>
      <c r="G108" s="72" t="s">
        <v>44</v>
      </c>
      <c r="H108" s="72"/>
    </row>
    <row r="109" spans="1:8" x14ac:dyDescent="0.25">
      <c r="A109" s="73">
        <v>43503</v>
      </c>
      <c r="B109" s="72" t="s">
        <v>76</v>
      </c>
      <c r="C109" s="74">
        <v>43503</v>
      </c>
      <c r="D109" s="72" t="s">
        <v>109</v>
      </c>
      <c r="E109" s="72" t="s">
        <v>79</v>
      </c>
      <c r="F109" s="72">
        <v>-22.8</v>
      </c>
      <c r="G109" s="72" t="s">
        <v>44</v>
      </c>
      <c r="H109" s="72"/>
    </row>
    <row r="110" spans="1:8" x14ac:dyDescent="0.25">
      <c r="A110" s="73">
        <v>43504</v>
      </c>
      <c r="B110" s="72" t="s">
        <v>76</v>
      </c>
      <c r="C110" s="74">
        <v>43504</v>
      </c>
      <c r="D110" s="72" t="s">
        <v>109</v>
      </c>
      <c r="E110" s="72" t="s">
        <v>79</v>
      </c>
      <c r="F110" s="72">
        <v>-374.63</v>
      </c>
      <c r="G110" s="72" t="s">
        <v>44</v>
      </c>
      <c r="H110" s="72"/>
    </row>
    <row r="111" spans="1:8" x14ac:dyDescent="0.25">
      <c r="A111" s="73">
        <v>43508</v>
      </c>
      <c r="B111" s="72" t="s">
        <v>76</v>
      </c>
      <c r="C111" s="74">
        <v>43508</v>
      </c>
      <c r="D111" s="72" t="s">
        <v>109</v>
      </c>
      <c r="E111" s="72" t="s">
        <v>79</v>
      </c>
      <c r="F111" s="72">
        <v>-123.32</v>
      </c>
      <c r="G111" s="72" t="s">
        <v>44</v>
      </c>
      <c r="H111" s="72"/>
    </row>
    <row r="112" spans="1:8" x14ac:dyDescent="0.25">
      <c r="A112" s="73">
        <v>43509</v>
      </c>
      <c r="B112" s="72" t="s">
        <v>76</v>
      </c>
      <c r="C112" s="74">
        <v>43509</v>
      </c>
      <c r="D112" s="72" t="s">
        <v>109</v>
      </c>
      <c r="E112" s="72" t="s">
        <v>79</v>
      </c>
      <c r="F112" s="72">
        <v>-377.65</v>
      </c>
      <c r="G112" s="72" t="s">
        <v>44</v>
      </c>
      <c r="H112" s="72"/>
    </row>
    <row r="113" spans="1:8" x14ac:dyDescent="0.25">
      <c r="A113" s="73">
        <v>43509</v>
      </c>
      <c r="B113" s="72" t="s">
        <v>76</v>
      </c>
      <c r="C113" s="74">
        <v>43509</v>
      </c>
      <c r="D113" s="72" t="s">
        <v>109</v>
      </c>
      <c r="E113" s="72" t="s">
        <v>79</v>
      </c>
      <c r="F113" s="72">
        <v>-11.72</v>
      </c>
      <c r="G113" s="72" t="s">
        <v>44</v>
      </c>
      <c r="H113" s="72"/>
    </row>
    <row r="114" spans="1:8" x14ac:dyDescent="0.25">
      <c r="A114" s="73">
        <v>43514</v>
      </c>
      <c r="B114" s="72" t="s">
        <v>76</v>
      </c>
      <c r="C114" s="74">
        <v>43514</v>
      </c>
      <c r="D114" s="72" t="s">
        <v>109</v>
      </c>
      <c r="E114" s="72" t="s">
        <v>79</v>
      </c>
      <c r="F114" s="72">
        <v>-285.83</v>
      </c>
      <c r="G114" s="72" t="s">
        <v>44</v>
      </c>
      <c r="H114" s="72"/>
    </row>
    <row r="115" spans="1:8" x14ac:dyDescent="0.25">
      <c r="A115" s="73">
        <v>43518</v>
      </c>
      <c r="B115" s="72" t="s">
        <v>76</v>
      </c>
      <c r="C115" s="74">
        <v>43521</v>
      </c>
      <c r="D115" s="72" t="s">
        <v>109</v>
      </c>
      <c r="E115" s="72" t="s">
        <v>79</v>
      </c>
      <c r="F115" s="72">
        <v>-289.8</v>
      </c>
      <c r="G115" s="72" t="s">
        <v>44</v>
      </c>
      <c r="H115" s="72"/>
    </row>
    <row r="116" spans="1:8" x14ac:dyDescent="0.25">
      <c r="A116" s="73">
        <v>43523</v>
      </c>
      <c r="B116" s="72" t="s">
        <v>76</v>
      </c>
      <c r="C116" s="74">
        <v>43521</v>
      </c>
      <c r="D116" s="72" t="s">
        <v>109</v>
      </c>
      <c r="E116" s="72" t="s">
        <v>79</v>
      </c>
      <c r="F116" s="72">
        <v>-312.51</v>
      </c>
      <c r="G116" s="72" t="s">
        <v>44</v>
      </c>
      <c r="H116" s="72"/>
    </row>
    <row r="117" spans="1:8" x14ac:dyDescent="0.25">
      <c r="A117" s="73">
        <v>43525</v>
      </c>
      <c r="B117" s="72" t="s">
        <v>76</v>
      </c>
      <c r="C117" s="74">
        <v>43525</v>
      </c>
      <c r="D117" s="72" t="s">
        <v>109</v>
      </c>
      <c r="E117" s="72" t="s">
        <v>79</v>
      </c>
      <c r="F117" s="72">
        <v>-320.57</v>
      </c>
      <c r="G117" s="72" t="s">
        <v>44</v>
      </c>
      <c r="H117" s="72"/>
    </row>
    <row r="118" spans="1:8" x14ac:dyDescent="0.25">
      <c r="A118" s="73">
        <v>43530</v>
      </c>
      <c r="B118" s="72" t="s">
        <v>76</v>
      </c>
      <c r="C118" s="74">
        <v>43526</v>
      </c>
      <c r="D118" s="72" t="s">
        <v>109</v>
      </c>
      <c r="E118" s="72" t="s">
        <v>79</v>
      </c>
      <c r="F118" s="72">
        <v>-320.73</v>
      </c>
      <c r="G118" s="72" t="s">
        <v>44</v>
      </c>
      <c r="H118" s="72"/>
    </row>
    <row r="119" spans="1:8" x14ac:dyDescent="0.25">
      <c r="A119" s="73">
        <v>43523</v>
      </c>
      <c r="B119" s="72" t="s">
        <v>76</v>
      </c>
      <c r="C119" s="74">
        <v>43521</v>
      </c>
      <c r="D119" s="72" t="s">
        <v>109</v>
      </c>
      <c r="E119" s="72" t="s">
        <v>79</v>
      </c>
      <c r="F119" s="72">
        <v>-48</v>
      </c>
      <c r="G119" s="72" t="s">
        <v>44</v>
      </c>
      <c r="H119" s="72"/>
    </row>
    <row r="120" spans="1:8" x14ac:dyDescent="0.25">
      <c r="A120" s="73">
        <v>43486</v>
      </c>
      <c r="B120" s="72" t="s">
        <v>76</v>
      </c>
      <c r="C120" s="74">
        <v>43486</v>
      </c>
      <c r="D120" s="72" t="s">
        <v>109</v>
      </c>
      <c r="E120" s="72" t="s">
        <v>79</v>
      </c>
      <c r="F120" s="72">
        <v>-27.2</v>
      </c>
      <c r="G120" s="72" t="s">
        <v>44</v>
      </c>
      <c r="H120" s="72"/>
    </row>
    <row r="121" spans="1:8" x14ac:dyDescent="0.25">
      <c r="A121" s="73">
        <v>43489</v>
      </c>
      <c r="B121" s="72" t="s">
        <v>76</v>
      </c>
      <c r="C121" s="74">
        <v>43489</v>
      </c>
      <c r="D121" s="72" t="s">
        <v>109</v>
      </c>
      <c r="E121" s="72" t="s">
        <v>79</v>
      </c>
      <c r="F121" s="72">
        <v>-8.6</v>
      </c>
      <c r="G121" s="72" t="s">
        <v>44</v>
      </c>
      <c r="H121" s="72"/>
    </row>
    <row r="122" spans="1:8" x14ac:dyDescent="0.25">
      <c r="A122" s="73">
        <v>43494</v>
      </c>
      <c r="B122" s="72" t="s">
        <v>76</v>
      </c>
      <c r="C122" s="74">
        <v>43494</v>
      </c>
      <c r="D122" s="72" t="s">
        <v>109</v>
      </c>
      <c r="E122" s="72" t="s">
        <v>79</v>
      </c>
      <c r="F122" s="72">
        <v>-5.7</v>
      </c>
      <c r="G122" s="72" t="s">
        <v>44</v>
      </c>
      <c r="H122" s="72"/>
    </row>
    <row r="123" spans="1:8" x14ac:dyDescent="0.25">
      <c r="A123" s="73">
        <v>43494</v>
      </c>
      <c r="B123" s="72" t="s">
        <v>76</v>
      </c>
      <c r="C123" s="74">
        <v>43494</v>
      </c>
      <c r="D123" s="72" t="s">
        <v>109</v>
      </c>
      <c r="E123" s="72" t="s">
        <v>79</v>
      </c>
      <c r="F123" s="72">
        <v>-13.2</v>
      </c>
      <c r="G123" s="72" t="s">
        <v>44</v>
      </c>
      <c r="H123" s="72"/>
    </row>
    <row r="124" spans="1:8" x14ac:dyDescent="0.25">
      <c r="A124" s="73">
        <v>43497</v>
      </c>
      <c r="B124" s="72" t="s">
        <v>76</v>
      </c>
      <c r="C124" s="74">
        <v>43497</v>
      </c>
      <c r="D124" s="72" t="s">
        <v>109</v>
      </c>
      <c r="E124" s="72" t="s">
        <v>79</v>
      </c>
      <c r="F124" s="72">
        <v>-7.2</v>
      </c>
      <c r="G124" s="72" t="s">
        <v>44</v>
      </c>
      <c r="H124" s="72"/>
    </row>
    <row r="125" spans="1:8" x14ac:dyDescent="0.25">
      <c r="A125" s="73">
        <v>43500</v>
      </c>
      <c r="B125" s="72" t="s">
        <v>76</v>
      </c>
      <c r="C125" s="74">
        <v>43500</v>
      </c>
      <c r="D125" s="72" t="s">
        <v>109</v>
      </c>
      <c r="E125" s="72" t="s">
        <v>79</v>
      </c>
      <c r="F125" s="72">
        <v>-11.1</v>
      </c>
      <c r="G125" s="72" t="s">
        <v>44</v>
      </c>
      <c r="H125" s="72"/>
    </row>
    <row r="126" spans="1:8" x14ac:dyDescent="0.25">
      <c r="A126" s="73">
        <v>43507</v>
      </c>
      <c r="B126" s="72" t="s">
        <v>76</v>
      </c>
      <c r="C126" s="74">
        <v>43507</v>
      </c>
      <c r="D126" s="72" t="s">
        <v>109</v>
      </c>
      <c r="E126" s="72" t="s">
        <v>79</v>
      </c>
      <c r="F126" s="72">
        <v>-22.8</v>
      </c>
      <c r="G126" s="72" t="s">
        <v>44</v>
      </c>
      <c r="H126" s="72"/>
    </row>
    <row r="127" spans="1:8" x14ac:dyDescent="0.25">
      <c r="A127" s="73">
        <v>43510</v>
      </c>
      <c r="B127" s="72" t="s">
        <v>76</v>
      </c>
      <c r="C127" s="74">
        <v>43510</v>
      </c>
      <c r="D127" s="72" t="s">
        <v>109</v>
      </c>
      <c r="E127" s="72" t="s">
        <v>79</v>
      </c>
      <c r="F127" s="72">
        <v>-22.5</v>
      </c>
      <c r="G127" s="72" t="s">
        <v>44</v>
      </c>
      <c r="H127" s="72"/>
    </row>
    <row r="128" spans="1:8" x14ac:dyDescent="0.25">
      <c r="A128" s="73">
        <v>43511</v>
      </c>
      <c r="B128" s="72" t="s">
        <v>76</v>
      </c>
      <c r="C128" s="74">
        <v>43511</v>
      </c>
      <c r="D128" s="72" t="s">
        <v>109</v>
      </c>
      <c r="E128" s="72" t="s">
        <v>79</v>
      </c>
      <c r="F128" s="72">
        <v>-6.8</v>
      </c>
      <c r="G128" s="72" t="s">
        <v>44</v>
      </c>
      <c r="H128" s="72"/>
    </row>
    <row r="129" spans="1:8" x14ac:dyDescent="0.25">
      <c r="A129" s="73">
        <v>43511</v>
      </c>
      <c r="B129" s="72" t="s">
        <v>76</v>
      </c>
      <c r="C129" s="74">
        <v>43511</v>
      </c>
      <c r="D129" s="72" t="s">
        <v>109</v>
      </c>
      <c r="E129" s="72" t="s">
        <v>79</v>
      </c>
      <c r="F129" s="72">
        <v>-27.8</v>
      </c>
      <c r="G129" s="72" t="s">
        <v>44</v>
      </c>
      <c r="H129" s="72"/>
    </row>
    <row r="130" spans="1:8" x14ac:dyDescent="0.25">
      <c r="A130" s="73">
        <v>43518</v>
      </c>
      <c r="B130" s="72" t="s">
        <v>76</v>
      </c>
      <c r="C130" s="74">
        <v>43521</v>
      </c>
      <c r="D130" s="72" t="s">
        <v>109</v>
      </c>
      <c r="E130" s="72" t="s">
        <v>79</v>
      </c>
      <c r="F130" s="72">
        <v>-13.9</v>
      </c>
      <c r="G130" s="72" t="s">
        <v>44</v>
      </c>
      <c r="H130" s="72"/>
    </row>
    <row r="131" spans="1:8" x14ac:dyDescent="0.25">
      <c r="A131" s="73">
        <v>43521</v>
      </c>
      <c r="B131" s="72" t="s">
        <v>76</v>
      </c>
      <c r="C131" s="74">
        <v>43521</v>
      </c>
      <c r="D131" s="72" t="s">
        <v>109</v>
      </c>
      <c r="E131" s="72" t="s">
        <v>79</v>
      </c>
      <c r="F131" s="72">
        <v>-20.7</v>
      </c>
      <c r="G131" s="72" t="s">
        <v>44</v>
      </c>
      <c r="H131" s="72"/>
    </row>
    <row r="132" spans="1:8" x14ac:dyDescent="0.25">
      <c r="A132" s="73">
        <v>43500</v>
      </c>
      <c r="B132" s="72" t="s">
        <v>45</v>
      </c>
      <c r="C132" s="74">
        <v>43476</v>
      </c>
      <c r="D132" s="72" t="s">
        <v>109</v>
      </c>
      <c r="E132" s="72" t="s">
        <v>55</v>
      </c>
      <c r="F132" s="72">
        <v>-1224.53</v>
      </c>
      <c r="G132" s="72" t="s">
        <v>44</v>
      </c>
      <c r="H132" s="72" t="s">
        <v>1</v>
      </c>
    </row>
    <row r="133" spans="1:8" x14ac:dyDescent="0.25">
      <c r="A133" s="73">
        <v>43524</v>
      </c>
      <c r="B133" s="72" t="s">
        <v>45</v>
      </c>
      <c r="C133" s="74">
        <v>43507</v>
      </c>
      <c r="D133" s="72" t="s">
        <v>109</v>
      </c>
      <c r="E133" s="72" t="s">
        <v>55</v>
      </c>
      <c r="F133" s="72">
        <v>-1355.27</v>
      </c>
      <c r="G133" s="72" t="s">
        <v>44</v>
      </c>
      <c r="H133" s="72" t="s">
        <v>1</v>
      </c>
    </row>
    <row r="134" spans="1:8" x14ac:dyDescent="0.25">
      <c r="A134" s="73">
        <v>43551</v>
      </c>
      <c r="B134" s="72" t="s">
        <v>45</v>
      </c>
      <c r="C134" s="74">
        <v>43536</v>
      </c>
      <c r="D134" s="72" t="s">
        <v>109</v>
      </c>
      <c r="E134" s="72" t="s">
        <v>55</v>
      </c>
      <c r="F134" s="72">
        <v>-2000</v>
      </c>
      <c r="G134" s="72"/>
      <c r="H134" s="72"/>
    </row>
    <row r="135" spans="1:8" x14ac:dyDescent="0.25">
      <c r="A135" s="73">
        <v>43531</v>
      </c>
      <c r="B135" s="72" t="s">
        <v>45</v>
      </c>
      <c r="C135" s="74">
        <v>43497</v>
      </c>
      <c r="D135" s="72" t="s">
        <v>109</v>
      </c>
      <c r="E135" s="72" t="s">
        <v>77</v>
      </c>
      <c r="F135" s="72">
        <v>-257.88</v>
      </c>
      <c r="G135" s="72" t="s">
        <v>44</v>
      </c>
      <c r="H135" s="72"/>
    </row>
    <row r="136" spans="1:8" x14ac:dyDescent="0.25">
      <c r="A136" s="73">
        <v>43497</v>
      </c>
      <c r="B136" s="72" t="s">
        <v>42</v>
      </c>
      <c r="C136" s="74">
        <v>43497</v>
      </c>
      <c r="D136" s="72" t="s">
        <v>109</v>
      </c>
      <c r="E136" s="72" t="s">
        <v>49</v>
      </c>
      <c r="F136" s="72">
        <v>-5.0999999999999996</v>
      </c>
      <c r="G136" s="72" t="s">
        <v>44</v>
      </c>
      <c r="H136" s="72" t="s">
        <v>1</v>
      </c>
    </row>
    <row r="137" spans="1:8" x14ac:dyDescent="0.25">
      <c r="A137" s="73">
        <v>43525</v>
      </c>
      <c r="B137" s="72" t="s">
        <v>42</v>
      </c>
      <c r="C137" s="74">
        <v>43497</v>
      </c>
      <c r="D137" s="72" t="s">
        <v>109</v>
      </c>
      <c r="E137" s="72" t="s">
        <v>49</v>
      </c>
      <c r="F137" s="72">
        <v>-5.0999999999999996</v>
      </c>
      <c r="G137" s="72" t="s">
        <v>44</v>
      </c>
      <c r="H137" s="72" t="s">
        <v>1</v>
      </c>
    </row>
    <row r="138" spans="1:8" x14ac:dyDescent="0.25">
      <c r="A138" s="73">
        <v>43480</v>
      </c>
      <c r="B138" s="72" t="s">
        <v>42</v>
      </c>
      <c r="C138" s="74">
        <v>43480</v>
      </c>
      <c r="D138" s="72" t="s">
        <v>109</v>
      </c>
      <c r="E138" s="72" t="s">
        <v>48</v>
      </c>
      <c r="F138" s="72">
        <v>-63.46</v>
      </c>
      <c r="G138" s="72" t="s">
        <v>44</v>
      </c>
      <c r="H138" s="72" t="s">
        <v>1</v>
      </c>
    </row>
    <row r="139" spans="1:8" x14ac:dyDescent="0.25">
      <c r="A139" s="73">
        <v>43480</v>
      </c>
      <c r="B139" s="72" t="s">
        <v>42</v>
      </c>
      <c r="C139" s="74">
        <v>43480</v>
      </c>
      <c r="D139" s="72" t="s">
        <v>109</v>
      </c>
      <c r="E139" s="72" t="s">
        <v>48</v>
      </c>
      <c r="F139" s="72">
        <v>-252.77</v>
      </c>
      <c r="G139" s="72" t="s">
        <v>44</v>
      </c>
      <c r="H139" s="72" t="s">
        <v>1</v>
      </c>
    </row>
    <row r="140" spans="1:8" x14ac:dyDescent="0.25">
      <c r="A140" s="73">
        <v>43480</v>
      </c>
      <c r="B140" s="72" t="s">
        <v>42</v>
      </c>
      <c r="C140" s="74">
        <v>43480</v>
      </c>
      <c r="D140" s="72" t="s">
        <v>109</v>
      </c>
      <c r="E140" s="72" t="s">
        <v>48</v>
      </c>
      <c r="F140" s="72">
        <v>-964.48</v>
      </c>
      <c r="G140" s="72" t="s">
        <v>44</v>
      </c>
      <c r="H140" s="72" t="s">
        <v>1</v>
      </c>
    </row>
    <row r="141" spans="1:8" x14ac:dyDescent="0.25">
      <c r="A141" s="73">
        <v>43480</v>
      </c>
      <c r="B141" s="72" t="s">
        <v>42</v>
      </c>
      <c r="C141" s="74">
        <v>43480</v>
      </c>
      <c r="D141" s="72" t="s">
        <v>109</v>
      </c>
      <c r="E141" s="72" t="s">
        <v>48</v>
      </c>
      <c r="F141" s="72">
        <v>-59.34</v>
      </c>
      <c r="G141" s="72" t="s">
        <v>44</v>
      </c>
      <c r="H141" s="72" t="s">
        <v>1</v>
      </c>
    </row>
    <row r="142" spans="1:8" x14ac:dyDescent="0.25">
      <c r="A142" s="73">
        <v>43481</v>
      </c>
      <c r="B142" s="72" t="s">
        <v>42</v>
      </c>
      <c r="C142" s="74">
        <v>43481</v>
      </c>
      <c r="D142" s="72" t="s">
        <v>109</v>
      </c>
      <c r="E142" s="72" t="s">
        <v>48</v>
      </c>
      <c r="F142" s="72">
        <v>-26</v>
      </c>
      <c r="G142" s="72" t="s">
        <v>44</v>
      </c>
      <c r="H142" s="72" t="s">
        <v>1</v>
      </c>
    </row>
    <row r="143" spans="1:8" x14ac:dyDescent="0.25">
      <c r="A143" s="73">
        <v>43481</v>
      </c>
      <c r="B143" s="72" t="s">
        <v>42</v>
      </c>
      <c r="C143" s="74">
        <v>43481</v>
      </c>
      <c r="D143" s="72" t="s">
        <v>109</v>
      </c>
      <c r="E143" s="72" t="s">
        <v>48</v>
      </c>
      <c r="F143" s="72">
        <v>-57.2</v>
      </c>
      <c r="G143" s="72" t="s">
        <v>44</v>
      </c>
      <c r="H143" s="72" t="s">
        <v>1</v>
      </c>
    </row>
    <row r="144" spans="1:8" x14ac:dyDescent="0.25">
      <c r="A144" s="73">
        <v>43482</v>
      </c>
      <c r="B144" s="72" t="s">
        <v>42</v>
      </c>
      <c r="C144" s="74">
        <v>43482</v>
      </c>
      <c r="D144" s="72" t="s">
        <v>109</v>
      </c>
      <c r="E144" s="72" t="s">
        <v>48</v>
      </c>
      <c r="F144" s="72">
        <v>-3.52</v>
      </c>
      <c r="G144" s="72" t="s">
        <v>44</v>
      </c>
      <c r="H144" s="72" t="s">
        <v>1</v>
      </c>
    </row>
    <row r="145" spans="1:8" x14ac:dyDescent="0.25">
      <c r="A145" s="73">
        <v>43486</v>
      </c>
      <c r="B145" s="72" t="s">
        <v>42</v>
      </c>
      <c r="C145" s="74">
        <v>43486</v>
      </c>
      <c r="D145" s="72" t="s">
        <v>109</v>
      </c>
      <c r="E145" s="72" t="s">
        <v>48</v>
      </c>
      <c r="F145" s="72">
        <v>-67.7</v>
      </c>
      <c r="G145" s="72" t="s">
        <v>44</v>
      </c>
      <c r="H145" s="72" t="s">
        <v>1</v>
      </c>
    </row>
    <row r="146" spans="1:8" x14ac:dyDescent="0.25">
      <c r="A146" s="73">
        <v>43489</v>
      </c>
      <c r="B146" s="72" t="s">
        <v>42</v>
      </c>
      <c r="C146" s="74">
        <v>43489</v>
      </c>
      <c r="D146" s="72" t="s">
        <v>109</v>
      </c>
      <c r="E146" s="72" t="s">
        <v>48</v>
      </c>
      <c r="F146" s="72">
        <v>-33.31</v>
      </c>
      <c r="G146" s="72" t="s">
        <v>44</v>
      </c>
      <c r="H146" s="72" t="s">
        <v>1</v>
      </c>
    </row>
    <row r="147" spans="1:8" x14ac:dyDescent="0.25">
      <c r="A147" s="73">
        <v>43518</v>
      </c>
      <c r="B147" s="72" t="s">
        <v>42</v>
      </c>
      <c r="C147" s="74">
        <v>43497</v>
      </c>
      <c r="D147" s="72" t="s">
        <v>109</v>
      </c>
      <c r="E147" s="72" t="s">
        <v>48</v>
      </c>
      <c r="F147" s="72">
        <v>-18.11</v>
      </c>
      <c r="G147" s="72" t="s">
        <v>44</v>
      </c>
      <c r="H147" s="72" t="s">
        <v>1</v>
      </c>
    </row>
    <row r="148" spans="1:8" x14ac:dyDescent="0.25">
      <c r="A148" s="73">
        <v>43521</v>
      </c>
      <c r="B148" s="72" t="s">
        <v>42</v>
      </c>
      <c r="C148" s="74">
        <v>43497</v>
      </c>
      <c r="D148" s="72" t="s">
        <v>109</v>
      </c>
      <c r="E148" s="72" t="s">
        <v>48</v>
      </c>
      <c r="F148" s="72">
        <v>-54</v>
      </c>
      <c r="G148" s="72" t="s">
        <v>44</v>
      </c>
      <c r="H148" s="72" t="s">
        <v>1</v>
      </c>
    </row>
    <row r="149" spans="1:8" x14ac:dyDescent="0.25">
      <c r="A149" s="73">
        <v>43521</v>
      </c>
      <c r="B149" s="72" t="s">
        <v>42</v>
      </c>
      <c r="C149" s="74">
        <v>43497</v>
      </c>
      <c r="D149" s="72" t="s">
        <v>109</v>
      </c>
      <c r="E149" s="72" t="s">
        <v>48</v>
      </c>
      <c r="F149" s="72">
        <v>-16.47</v>
      </c>
      <c r="G149" s="72" t="s">
        <v>44</v>
      </c>
      <c r="H149" s="72" t="s">
        <v>1</v>
      </c>
    </row>
    <row r="150" spans="1:8" x14ac:dyDescent="0.25">
      <c r="A150" s="73">
        <v>43510</v>
      </c>
      <c r="B150" s="72" t="s">
        <v>42</v>
      </c>
      <c r="C150" s="74">
        <v>43510</v>
      </c>
      <c r="D150" s="72" t="s">
        <v>109</v>
      </c>
      <c r="E150" s="72" t="s">
        <v>48</v>
      </c>
      <c r="F150" s="72">
        <v>-568.03</v>
      </c>
      <c r="G150" s="72" t="s">
        <v>44</v>
      </c>
      <c r="H150" s="72" t="s">
        <v>1</v>
      </c>
    </row>
    <row r="151" spans="1:8" x14ac:dyDescent="0.25">
      <c r="A151" s="73">
        <v>43514</v>
      </c>
      <c r="B151" s="72" t="s">
        <v>42</v>
      </c>
      <c r="C151" s="74">
        <v>43514</v>
      </c>
      <c r="D151" s="72" t="s">
        <v>109</v>
      </c>
      <c r="E151" s="72" t="s">
        <v>48</v>
      </c>
      <c r="F151" s="72">
        <v>-70.12</v>
      </c>
      <c r="G151" s="72" t="s">
        <v>44</v>
      </c>
      <c r="H151" s="72" t="s">
        <v>1</v>
      </c>
    </row>
    <row r="152" spans="1:8" x14ac:dyDescent="0.25">
      <c r="A152" s="73">
        <v>43515</v>
      </c>
      <c r="B152" s="72" t="s">
        <v>42</v>
      </c>
      <c r="C152" s="74">
        <v>43515</v>
      </c>
      <c r="D152" s="72" t="s">
        <v>109</v>
      </c>
      <c r="E152" s="72" t="s">
        <v>48</v>
      </c>
      <c r="F152" s="72">
        <v>-39.31</v>
      </c>
      <c r="G152" s="72" t="s">
        <v>44</v>
      </c>
      <c r="H152" s="72" t="s">
        <v>1</v>
      </c>
    </row>
    <row r="153" spans="1:8" x14ac:dyDescent="0.25">
      <c r="A153" s="73">
        <v>43528</v>
      </c>
      <c r="B153" s="72" t="s">
        <v>42</v>
      </c>
      <c r="C153" s="74">
        <v>43525</v>
      </c>
      <c r="D153" s="72" t="s">
        <v>109</v>
      </c>
      <c r="E153" s="72" t="s">
        <v>48</v>
      </c>
      <c r="F153" s="72">
        <v>-36.520000000000003</v>
      </c>
      <c r="G153" s="72" t="s">
        <v>44</v>
      </c>
      <c r="H153" s="72" t="s">
        <v>1</v>
      </c>
    </row>
    <row r="154" spans="1:8" x14ac:dyDescent="0.25">
      <c r="A154" s="73">
        <v>43530</v>
      </c>
      <c r="B154" s="72"/>
      <c r="C154" s="74">
        <v>43525</v>
      </c>
      <c r="D154" s="72" t="s">
        <v>109</v>
      </c>
      <c r="E154" s="72" t="s">
        <v>48</v>
      </c>
      <c r="F154" s="72">
        <v>54</v>
      </c>
      <c r="G154" s="72" t="s">
        <v>47</v>
      </c>
      <c r="H154" s="72" t="s">
        <v>1</v>
      </c>
    </row>
    <row r="155" spans="1:8" x14ac:dyDescent="0.25">
      <c r="A155" s="73">
        <v>43531</v>
      </c>
      <c r="B155" s="72" t="s">
        <v>42</v>
      </c>
      <c r="C155" s="74">
        <v>43525</v>
      </c>
      <c r="D155" s="72" t="s">
        <v>109</v>
      </c>
      <c r="E155" s="72" t="s">
        <v>48</v>
      </c>
      <c r="F155" s="72">
        <v>-32.58</v>
      </c>
      <c r="G155" s="72" t="s">
        <v>44</v>
      </c>
      <c r="H155" s="72" t="s">
        <v>1</v>
      </c>
    </row>
    <row r="156" spans="1:8" x14ac:dyDescent="0.25">
      <c r="A156" s="73">
        <v>43538</v>
      </c>
      <c r="B156" s="72" t="s">
        <v>59</v>
      </c>
      <c r="C156" s="74">
        <v>43525</v>
      </c>
      <c r="D156" s="72" t="s">
        <v>109</v>
      </c>
      <c r="E156" s="72" t="s">
        <v>48</v>
      </c>
      <c r="F156" s="72">
        <v>-500.86</v>
      </c>
      <c r="G156" s="72" t="s">
        <v>44</v>
      </c>
      <c r="H156" s="72" t="s">
        <v>1</v>
      </c>
    </row>
    <row r="157" spans="1:8" x14ac:dyDescent="0.25">
      <c r="A157" s="73">
        <v>43473</v>
      </c>
      <c r="B157" s="72" t="s">
        <v>42</v>
      </c>
      <c r="C157" s="74">
        <v>43473</v>
      </c>
      <c r="D157" s="72" t="s">
        <v>109</v>
      </c>
      <c r="E157" s="72" t="s">
        <v>49</v>
      </c>
      <c r="F157" s="72">
        <v>-183</v>
      </c>
      <c r="G157" s="72" t="s">
        <v>44</v>
      </c>
      <c r="H157" s="72" t="s">
        <v>1</v>
      </c>
    </row>
    <row r="158" spans="1:8" x14ac:dyDescent="0.25">
      <c r="A158" s="73">
        <v>43473</v>
      </c>
      <c r="B158" s="72" t="s">
        <v>42</v>
      </c>
      <c r="C158" s="74">
        <v>43473</v>
      </c>
      <c r="D158" s="72" t="s">
        <v>109</v>
      </c>
      <c r="E158" s="72" t="s">
        <v>49</v>
      </c>
      <c r="F158" s="72">
        <v>-183</v>
      </c>
      <c r="G158" s="72" t="s">
        <v>44</v>
      </c>
      <c r="H158" s="72" t="s">
        <v>1</v>
      </c>
    </row>
    <row r="159" spans="1:8" x14ac:dyDescent="0.25">
      <c r="A159" s="73">
        <v>43473</v>
      </c>
      <c r="B159" s="72" t="s">
        <v>42</v>
      </c>
      <c r="C159" s="74">
        <v>43473</v>
      </c>
      <c r="D159" s="72" t="s">
        <v>109</v>
      </c>
      <c r="E159" s="72" t="s">
        <v>49</v>
      </c>
      <c r="F159" s="72">
        <v>-183</v>
      </c>
      <c r="G159" s="72" t="s">
        <v>44</v>
      </c>
      <c r="H159" s="72" t="s">
        <v>1</v>
      </c>
    </row>
    <row r="160" spans="1:8" x14ac:dyDescent="0.25">
      <c r="A160" s="73">
        <v>43500</v>
      </c>
      <c r="B160" s="72" t="s">
        <v>42</v>
      </c>
      <c r="C160" s="74">
        <v>43500</v>
      </c>
      <c r="D160" s="72" t="s">
        <v>109</v>
      </c>
      <c r="E160" s="72" t="s">
        <v>49</v>
      </c>
      <c r="F160" s="72">
        <v>-15</v>
      </c>
      <c r="G160" s="72" t="s">
        <v>44</v>
      </c>
      <c r="H160" s="72" t="s">
        <v>1</v>
      </c>
    </row>
    <row r="161" spans="1:8" x14ac:dyDescent="0.25">
      <c r="A161" s="73">
        <v>43525</v>
      </c>
      <c r="B161" s="72" t="s">
        <v>42</v>
      </c>
      <c r="C161" s="74">
        <v>43525</v>
      </c>
      <c r="D161" s="72" t="s">
        <v>109</v>
      </c>
      <c r="E161" s="72" t="s">
        <v>49</v>
      </c>
      <c r="F161" s="72">
        <v>-15</v>
      </c>
      <c r="G161" s="72" t="s">
        <v>44</v>
      </c>
      <c r="H161" s="72" t="s">
        <v>1</v>
      </c>
    </row>
    <row r="162" spans="1:8" x14ac:dyDescent="0.25">
      <c r="A162" s="73">
        <v>43490</v>
      </c>
      <c r="B162" s="72" t="s">
        <v>42</v>
      </c>
      <c r="C162" s="74">
        <v>43490</v>
      </c>
      <c r="D162" s="72" t="s">
        <v>109</v>
      </c>
      <c r="E162" s="72" t="s">
        <v>48</v>
      </c>
      <c r="F162" s="72">
        <v>-386.4</v>
      </c>
      <c r="G162" s="72" t="s">
        <v>44</v>
      </c>
      <c r="H162" s="72" t="s">
        <v>1</v>
      </c>
    </row>
    <row r="163" spans="1:8" x14ac:dyDescent="0.25">
      <c r="A163" s="73">
        <v>43496</v>
      </c>
      <c r="B163" s="72" t="s">
        <v>42</v>
      </c>
      <c r="C163" s="74">
        <v>43496</v>
      </c>
      <c r="D163" s="72" t="s">
        <v>109</v>
      </c>
      <c r="E163" s="72" t="s">
        <v>48</v>
      </c>
      <c r="F163" s="72">
        <v>-19.829999999999998</v>
      </c>
      <c r="G163" s="72" t="s">
        <v>44</v>
      </c>
      <c r="H163" s="72"/>
    </row>
    <row r="164" spans="1:8" x14ac:dyDescent="0.25">
      <c r="A164" s="73">
        <v>43496</v>
      </c>
      <c r="B164" s="72" t="s">
        <v>42</v>
      </c>
      <c r="C164" s="74">
        <v>43496</v>
      </c>
      <c r="D164" s="72" t="s">
        <v>109</v>
      </c>
      <c r="E164" s="72" t="s">
        <v>48</v>
      </c>
      <c r="F164" s="72">
        <v>-14.61</v>
      </c>
      <c r="G164" s="72" t="s">
        <v>44</v>
      </c>
      <c r="H164" s="72"/>
    </row>
    <row r="165" spans="1:8" x14ac:dyDescent="0.25">
      <c r="A165" s="73">
        <v>43496</v>
      </c>
      <c r="B165" s="72" t="s">
        <v>42</v>
      </c>
      <c r="C165" s="74">
        <v>43496</v>
      </c>
      <c r="D165" s="72" t="s">
        <v>109</v>
      </c>
      <c r="E165" s="72" t="s">
        <v>48</v>
      </c>
      <c r="F165" s="72">
        <v>-10.69</v>
      </c>
      <c r="G165" s="72" t="s">
        <v>44</v>
      </c>
      <c r="H165" s="72"/>
    </row>
    <row r="166" spans="1:8" x14ac:dyDescent="0.25">
      <c r="A166" s="73">
        <v>43496</v>
      </c>
      <c r="B166" s="72" t="s">
        <v>42</v>
      </c>
      <c r="C166" s="74">
        <v>43496</v>
      </c>
      <c r="D166" s="72" t="s">
        <v>109</v>
      </c>
      <c r="E166" s="72" t="s">
        <v>48</v>
      </c>
      <c r="F166" s="72">
        <v>-10.69</v>
      </c>
      <c r="G166" s="72" t="s">
        <v>44</v>
      </c>
      <c r="H166" s="72"/>
    </row>
    <row r="167" spans="1:8" x14ac:dyDescent="0.25">
      <c r="A167" s="73">
        <v>43496</v>
      </c>
      <c r="B167" s="72" t="s">
        <v>42</v>
      </c>
      <c r="C167" s="74">
        <v>43496</v>
      </c>
      <c r="D167" s="72" t="s">
        <v>109</v>
      </c>
      <c r="E167" s="72" t="s">
        <v>48</v>
      </c>
      <c r="F167" s="72">
        <v>-11.43</v>
      </c>
      <c r="G167" s="72" t="s">
        <v>44</v>
      </c>
      <c r="H167" s="72"/>
    </row>
    <row r="168" spans="1:8" x14ac:dyDescent="0.25">
      <c r="A168" s="73">
        <v>43496</v>
      </c>
      <c r="B168" s="72" t="s">
        <v>42</v>
      </c>
      <c r="C168" s="74">
        <v>43496</v>
      </c>
      <c r="D168" s="72" t="s">
        <v>109</v>
      </c>
      <c r="E168" s="72" t="s">
        <v>48</v>
      </c>
      <c r="F168" s="72">
        <v>-17.38</v>
      </c>
      <c r="G168" s="72" t="s">
        <v>44</v>
      </c>
      <c r="H168" s="72"/>
    </row>
    <row r="169" spans="1:8" x14ac:dyDescent="0.25">
      <c r="A169" s="73">
        <v>43523</v>
      </c>
      <c r="B169" s="72" t="s">
        <v>42</v>
      </c>
      <c r="C169" s="74">
        <v>43497</v>
      </c>
      <c r="D169" s="72" t="s">
        <v>109</v>
      </c>
      <c r="E169" s="72" t="s">
        <v>48</v>
      </c>
      <c r="F169" s="72">
        <v>-27.49</v>
      </c>
      <c r="G169" s="72" t="s">
        <v>44</v>
      </c>
      <c r="H169" s="72"/>
    </row>
    <row r="170" spans="1:8" x14ac:dyDescent="0.25">
      <c r="A170" s="73">
        <v>43500</v>
      </c>
      <c r="B170" s="72" t="s">
        <v>42</v>
      </c>
      <c r="C170" s="74">
        <v>43500</v>
      </c>
      <c r="D170" s="72" t="s">
        <v>109</v>
      </c>
      <c r="E170" s="72" t="s">
        <v>48</v>
      </c>
      <c r="F170" s="72">
        <v>-12.01</v>
      </c>
      <c r="G170" s="72" t="s">
        <v>44</v>
      </c>
      <c r="H170" s="72"/>
    </row>
    <row r="171" spans="1:8" x14ac:dyDescent="0.25">
      <c r="A171" s="73">
        <v>43475</v>
      </c>
      <c r="B171" s="72" t="s">
        <v>42</v>
      </c>
      <c r="C171" s="74">
        <v>43475</v>
      </c>
      <c r="D171" s="72" t="s">
        <v>109</v>
      </c>
      <c r="E171" s="72" t="s">
        <v>48</v>
      </c>
      <c r="F171" s="72">
        <v>-1312.42</v>
      </c>
      <c r="G171" s="72" t="s">
        <v>44</v>
      </c>
      <c r="H171" s="72" t="s">
        <v>1</v>
      </c>
    </row>
    <row r="172" spans="1:8" x14ac:dyDescent="0.25">
      <c r="A172" s="73">
        <v>43479</v>
      </c>
      <c r="B172" s="72" t="s">
        <v>42</v>
      </c>
      <c r="C172" s="74">
        <v>43479</v>
      </c>
      <c r="D172" s="72" t="s">
        <v>109</v>
      </c>
      <c r="E172" s="72" t="s">
        <v>48</v>
      </c>
      <c r="F172" s="72">
        <v>-0.45</v>
      </c>
      <c r="G172" s="72" t="s">
        <v>44</v>
      </c>
      <c r="H172" s="72" t="s">
        <v>1</v>
      </c>
    </row>
    <row r="173" spans="1:8" x14ac:dyDescent="0.25">
      <c r="A173" s="73">
        <v>43493</v>
      </c>
      <c r="B173" s="72" t="s">
        <v>42</v>
      </c>
      <c r="C173" s="74">
        <v>43493</v>
      </c>
      <c r="D173" s="72" t="s">
        <v>109</v>
      </c>
      <c r="E173" s="72" t="s">
        <v>48</v>
      </c>
      <c r="F173" s="72">
        <v>-1.8</v>
      </c>
      <c r="G173" s="72" t="s">
        <v>44</v>
      </c>
      <c r="H173" s="72" t="s">
        <v>1</v>
      </c>
    </row>
    <row r="174" spans="1:8" x14ac:dyDescent="0.25">
      <c r="A174" s="73">
        <v>43509</v>
      </c>
      <c r="B174" s="72" t="s">
        <v>42</v>
      </c>
      <c r="C174" s="74">
        <v>43509</v>
      </c>
      <c r="D174" s="72" t="s">
        <v>109</v>
      </c>
      <c r="E174" s="72" t="s">
        <v>48</v>
      </c>
      <c r="F174" s="72">
        <v>-0.45</v>
      </c>
      <c r="G174" s="72" t="s">
        <v>44</v>
      </c>
      <c r="H174" s="72" t="s">
        <v>1</v>
      </c>
    </row>
    <row r="175" spans="1:8" x14ac:dyDescent="0.25">
      <c r="A175" s="73">
        <v>43532</v>
      </c>
      <c r="B175" s="72" t="s">
        <v>42</v>
      </c>
      <c r="C175" s="74">
        <v>43525</v>
      </c>
      <c r="D175" s="72" t="s">
        <v>109</v>
      </c>
      <c r="E175" s="72" t="s">
        <v>48</v>
      </c>
      <c r="F175" s="72">
        <v>-0.45</v>
      </c>
      <c r="G175" s="72" t="s">
        <v>44</v>
      </c>
      <c r="H175" s="72" t="s">
        <v>1</v>
      </c>
    </row>
    <row r="176" spans="1:8" x14ac:dyDescent="0.25">
      <c r="A176" s="73">
        <v>43481</v>
      </c>
      <c r="B176" s="72" t="s">
        <v>42</v>
      </c>
      <c r="C176" s="74">
        <v>43481</v>
      </c>
      <c r="D176" s="72" t="s">
        <v>109</v>
      </c>
      <c r="E176" s="72" t="s">
        <v>48</v>
      </c>
      <c r="F176" s="72">
        <v>-11.1</v>
      </c>
      <c r="G176" s="72" t="s">
        <v>44</v>
      </c>
      <c r="H176" s="72" t="s">
        <v>1</v>
      </c>
    </row>
    <row r="177" spans="1:8" x14ac:dyDescent="0.25">
      <c r="A177" s="73">
        <v>43481</v>
      </c>
      <c r="B177" s="72" t="s">
        <v>42</v>
      </c>
      <c r="C177" s="74">
        <v>43481</v>
      </c>
      <c r="D177" s="72" t="s">
        <v>109</v>
      </c>
      <c r="E177" s="72" t="s">
        <v>48</v>
      </c>
      <c r="F177" s="72">
        <v>-11.1</v>
      </c>
      <c r="G177" s="72" t="s">
        <v>44</v>
      </c>
      <c r="H177" s="72" t="s">
        <v>1</v>
      </c>
    </row>
    <row r="178" spans="1:8" x14ac:dyDescent="0.25">
      <c r="A178" s="73">
        <v>43525</v>
      </c>
      <c r="B178" s="72" t="s">
        <v>42</v>
      </c>
      <c r="C178" s="74">
        <v>43525</v>
      </c>
      <c r="D178" s="72" t="s">
        <v>109</v>
      </c>
      <c r="E178" s="72" t="s">
        <v>48</v>
      </c>
      <c r="F178" s="72">
        <v>-11.1</v>
      </c>
      <c r="G178" s="72" t="s">
        <v>44</v>
      </c>
      <c r="H178" s="72" t="s">
        <v>1</v>
      </c>
    </row>
    <row r="179" spans="1:8" x14ac:dyDescent="0.25">
      <c r="A179" s="73">
        <v>43525</v>
      </c>
      <c r="B179" s="72" t="s">
        <v>42</v>
      </c>
      <c r="C179" s="74">
        <v>43525</v>
      </c>
      <c r="D179" s="72" t="s">
        <v>109</v>
      </c>
      <c r="E179" s="72" t="s">
        <v>48</v>
      </c>
      <c r="F179" s="72">
        <v>-11.1</v>
      </c>
      <c r="G179" s="72" t="s">
        <v>44</v>
      </c>
      <c r="H179" s="72" t="s">
        <v>1</v>
      </c>
    </row>
    <row r="180" spans="1:8" x14ac:dyDescent="0.25">
      <c r="A180" s="73">
        <v>43497</v>
      </c>
      <c r="B180" s="72" t="s">
        <v>42</v>
      </c>
      <c r="C180" s="74">
        <v>43497</v>
      </c>
      <c r="D180" s="72" t="s">
        <v>109</v>
      </c>
      <c r="E180" s="72" t="s">
        <v>48</v>
      </c>
      <c r="F180" s="72">
        <v>-0.17</v>
      </c>
      <c r="G180" s="72" t="s">
        <v>44</v>
      </c>
      <c r="H180" s="72" t="s">
        <v>1</v>
      </c>
    </row>
    <row r="181" spans="1:8" x14ac:dyDescent="0.25">
      <c r="A181" s="73">
        <v>43522</v>
      </c>
      <c r="B181" s="72" t="s">
        <v>42</v>
      </c>
      <c r="C181" s="74">
        <v>43497</v>
      </c>
      <c r="D181" s="72" t="s">
        <v>109</v>
      </c>
      <c r="E181" s="72" t="s">
        <v>48</v>
      </c>
      <c r="F181" s="72">
        <v>-0.17</v>
      </c>
      <c r="G181" s="72" t="s">
        <v>44</v>
      </c>
      <c r="H181" s="72" t="s">
        <v>1</v>
      </c>
    </row>
    <row r="182" spans="1:8" x14ac:dyDescent="0.25">
      <c r="A182" s="73">
        <v>43524</v>
      </c>
      <c r="B182" s="72" t="s">
        <v>42</v>
      </c>
      <c r="C182" s="74">
        <v>43497</v>
      </c>
      <c r="D182" s="72" t="s">
        <v>109</v>
      </c>
      <c r="E182" s="72" t="s">
        <v>48</v>
      </c>
      <c r="F182" s="72">
        <v>-3.23</v>
      </c>
      <c r="G182" s="72" t="s">
        <v>44</v>
      </c>
      <c r="H182" s="72" t="s">
        <v>1</v>
      </c>
    </row>
    <row r="183" spans="1:8" x14ac:dyDescent="0.25">
      <c r="A183" s="73">
        <v>43524</v>
      </c>
      <c r="B183" s="72" t="s">
        <v>42</v>
      </c>
      <c r="C183" s="74">
        <v>43497</v>
      </c>
      <c r="D183" s="72" t="s">
        <v>109</v>
      </c>
      <c r="E183" s="72" t="s">
        <v>48</v>
      </c>
      <c r="F183" s="72">
        <v>-0.17</v>
      </c>
      <c r="G183" s="72" t="s">
        <v>44</v>
      </c>
      <c r="H183" s="72" t="s">
        <v>1</v>
      </c>
    </row>
    <row r="184" spans="1:8" x14ac:dyDescent="0.25">
      <c r="A184" s="73">
        <v>43524</v>
      </c>
      <c r="B184" s="72" t="s">
        <v>42</v>
      </c>
      <c r="C184" s="74">
        <v>43497</v>
      </c>
      <c r="D184" s="72" t="s">
        <v>109</v>
      </c>
      <c r="E184" s="72" t="s">
        <v>48</v>
      </c>
      <c r="F184" s="72">
        <v>-0.85</v>
      </c>
      <c r="G184" s="72" t="s">
        <v>44</v>
      </c>
      <c r="H184" s="72" t="s">
        <v>1</v>
      </c>
    </row>
    <row r="185" spans="1:8" x14ac:dyDescent="0.25">
      <c r="A185" s="73">
        <v>43524</v>
      </c>
      <c r="B185" s="72" t="s">
        <v>42</v>
      </c>
      <c r="C185" s="74">
        <v>43498</v>
      </c>
      <c r="D185" s="72" t="s">
        <v>109</v>
      </c>
      <c r="E185" s="72" t="s">
        <v>48</v>
      </c>
      <c r="F185" s="72">
        <v>-0.34</v>
      </c>
      <c r="G185" s="72" t="s">
        <v>44</v>
      </c>
      <c r="H185" s="72" t="s">
        <v>1</v>
      </c>
    </row>
    <row r="186" spans="1:8" x14ac:dyDescent="0.25">
      <c r="A186" s="73">
        <v>43500</v>
      </c>
      <c r="B186" s="72" t="s">
        <v>42</v>
      </c>
      <c r="C186" s="74">
        <v>43500</v>
      </c>
      <c r="D186" s="72" t="s">
        <v>109</v>
      </c>
      <c r="E186" s="72" t="s">
        <v>48</v>
      </c>
      <c r="F186" s="72">
        <v>-0.17</v>
      </c>
      <c r="G186" s="72" t="s">
        <v>44</v>
      </c>
      <c r="H186" s="72" t="s">
        <v>1</v>
      </c>
    </row>
    <row r="187" spans="1:8" x14ac:dyDescent="0.25">
      <c r="A187" s="73">
        <v>43500</v>
      </c>
      <c r="B187" s="72" t="s">
        <v>42</v>
      </c>
      <c r="C187" s="74">
        <v>43500</v>
      </c>
      <c r="D187" s="72" t="s">
        <v>109</v>
      </c>
      <c r="E187" s="72" t="s">
        <v>48</v>
      </c>
      <c r="F187" s="72">
        <v>-1.7</v>
      </c>
      <c r="G187" s="72" t="s">
        <v>44</v>
      </c>
      <c r="H187" s="72" t="s">
        <v>1</v>
      </c>
    </row>
    <row r="188" spans="1:8" x14ac:dyDescent="0.25">
      <c r="A188" s="73">
        <v>43500</v>
      </c>
      <c r="B188" s="72" t="s">
        <v>42</v>
      </c>
      <c r="C188" s="74">
        <v>43500</v>
      </c>
      <c r="D188" s="72" t="s">
        <v>109</v>
      </c>
      <c r="E188" s="72" t="s">
        <v>48</v>
      </c>
      <c r="F188" s="72">
        <v>-0.85</v>
      </c>
      <c r="G188" s="72" t="s">
        <v>44</v>
      </c>
      <c r="H188" s="72" t="s">
        <v>1</v>
      </c>
    </row>
    <row r="189" spans="1:8" x14ac:dyDescent="0.25">
      <c r="A189" s="73">
        <v>43501</v>
      </c>
      <c r="B189" s="72" t="s">
        <v>42</v>
      </c>
      <c r="C189" s="74">
        <v>43501</v>
      </c>
      <c r="D189" s="72" t="s">
        <v>109</v>
      </c>
      <c r="E189" s="72" t="s">
        <v>48</v>
      </c>
      <c r="F189" s="72">
        <v>-1.53</v>
      </c>
      <c r="G189" s="72" t="s">
        <v>44</v>
      </c>
      <c r="H189" s="72" t="s">
        <v>1</v>
      </c>
    </row>
    <row r="190" spans="1:8" x14ac:dyDescent="0.25">
      <c r="A190" s="73">
        <v>43503</v>
      </c>
      <c r="B190" s="72" t="s">
        <v>42</v>
      </c>
      <c r="C190" s="74">
        <v>43503</v>
      </c>
      <c r="D190" s="72" t="s">
        <v>109</v>
      </c>
      <c r="E190" s="72" t="s">
        <v>48</v>
      </c>
      <c r="F190" s="72">
        <v>-0.34</v>
      </c>
      <c r="G190" s="72" t="s">
        <v>44</v>
      </c>
      <c r="H190" s="72" t="s">
        <v>1</v>
      </c>
    </row>
    <row r="191" spans="1:8" x14ac:dyDescent="0.25">
      <c r="A191" s="73">
        <v>43504</v>
      </c>
      <c r="B191" s="72" t="s">
        <v>42</v>
      </c>
      <c r="C191" s="74">
        <v>43504</v>
      </c>
      <c r="D191" s="72" t="s">
        <v>109</v>
      </c>
      <c r="E191" s="72" t="s">
        <v>48</v>
      </c>
      <c r="F191" s="72">
        <v>-0.17</v>
      </c>
      <c r="G191" s="72" t="s">
        <v>44</v>
      </c>
      <c r="H191" s="72" t="s">
        <v>1</v>
      </c>
    </row>
    <row r="192" spans="1:8" x14ac:dyDescent="0.25">
      <c r="A192" s="73">
        <v>43508</v>
      </c>
      <c r="B192" s="72" t="s">
        <v>42</v>
      </c>
      <c r="C192" s="74">
        <v>43508</v>
      </c>
      <c r="D192" s="72" t="s">
        <v>109</v>
      </c>
      <c r="E192" s="72" t="s">
        <v>48</v>
      </c>
      <c r="F192" s="72">
        <v>-11.1</v>
      </c>
      <c r="G192" s="72" t="s">
        <v>44</v>
      </c>
      <c r="H192" s="72" t="s">
        <v>1</v>
      </c>
    </row>
    <row r="193" spans="1:8" x14ac:dyDescent="0.25">
      <c r="A193" s="73">
        <v>43515</v>
      </c>
      <c r="B193" s="72" t="s">
        <v>42</v>
      </c>
      <c r="C193" s="74">
        <v>43515</v>
      </c>
      <c r="D193" s="72" t="s">
        <v>109</v>
      </c>
      <c r="E193" s="72" t="s">
        <v>48</v>
      </c>
      <c r="F193" s="72">
        <v>-0.17</v>
      </c>
      <c r="G193" s="72" t="s">
        <v>44</v>
      </c>
      <c r="H193" s="72" t="s">
        <v>1</v>
      </c>
    </row>
    <row r="194" spans="1:8" x14ac:dyDescent="0.25">
      <c r="A194" s="73">
        <v>43515</v>
      </c>
      <c r="B194" s="72" t="s">
        <v>42</v>
      </c>
      <c r="C194" s="74">
        <v>43515</v>
      </c>
      <c r="D194" s="72" t="s">
        <v>109</v>
      </c>
      <c r="E194" s="72" t="s">
        <v>48</v>
      </c>
      <c r="F194" s="72">
        <v>-0.17</v>
      </c>
      <c r="G194" s="72" t="s">
        <v>44</v>
      </c>
      <c r="H194" s="72" t="s">
        <v>1</v>
      </c>
    </row>
    <row r="195" spans="1:8" x14ac:dyDescent="0.25">
      <c r="A195" s="73">
        <v>43515</v>
      </c>
      <c r="B195" s="72" t="s">
        <v>42</v>
      </c>
      <c r="C195" s="74">
        <v>43515</v>
      </c>
      <c r="D195" s="72" t="s">
        <v>109</v>
      </c>
      <c r="E195" s="72" t="s">
        <v>48</v>
      </c>
      <c r="F195" s="72">
        <v>-0.17</v>
      </c>
      <c r="G195" s="72" t="s">
        <v>44</v>
      </c>
      <c r="H195" s="72" t="s">
        <v>1</v>
      </c>
    </row>
    <row r="196" spans="1:8" x14ac:dyDescent="0.25">
      <c r="A196" s="73">
        <v>43515</v>
      </c>
      <c r="B196" s="72" t="s">
        <v>42</v>
      </c>
      <c r="C196" s="74">
        <v>43515</v>
      </c>
      <c r="D196" s="72" t="s">
        <v>109</v>
      </c>
      <c r="E196" s="72" t="s">
        <v>48</v>
      </c>
      <c r="F196" s="72">
        <v>-0.17</v>
      </c>
      <c r="G196" s="72" t="s">
        <v>44</v>
      </c>
      <c r="H196" s="72" t="s">
        <v>1</v>
      </c>
    </row>
    <row r="197" spans="1:8" x14ac:dyDescent="0.25">
      <c r="A197" s="73">
        <v>43515</v>
      </c>
      <c r="B197" s="72" t="s">
        <v>42</v>
      </c>
      <c r="C197" s="74">
        <v>43515</v>
      </c>
      <c r="D197" s="72" t="s">
        <v>109</v>
      </c>
      <c r="E197" s="72" t="s">
        <v>48</v>
      </c>
      <c r="F197" s="72">
        <v>-0.17</v>
      </c>
      <c r="G197" s="72" t="s">
        <v>44</v>
      </c>
      <c r="H197" s="72" t="s">
        <v>1</v>
      </c>
    </row>
    <row r="198" spans="1:8" x14ac:dyDescent="0.25">
      <c r="A198" s="73">
        <v>43516</v>
      </c>
      <c r="B198" s="72" t="s">
        <v>42</v>
      </c>
      <c r="C198" s="74">
        <v>43516</v>
      </c>
      <c r="D198" s="72" t="s">
        <v>109</v>
      </c>
      <c r="E198" s="72" t="s">
        <v>48</v>
      </c>
      <c r="F198" s="72">
        <v>-0.34</v>
      </c>
      <c r="G198" s="72" t="s">
        <v>44</v>
      </c>
      <c r="H198" s="72" t="s">
        <v>1</v>
      </c>
    </row>
    <row r="199" spans="1:8" x14ac:dyDescent="0.25">
      <c r="A199" s="73">
        <v>43517</v>
      </c>
      <c r="B199" s="72" t="s">
        <v>42</v>
      </c>
      <c r="C199" s="74">
        <v>43517</v>
      </c>
      <c r="D199" s="72" t="s">
        <v>109</v>
      </c>
      <c r="E199" s="72" t="s">
        <v>48</v>
      </c>
      <c r="F199" s="72">
        <v>-0.51</v>
      </c>
      <c r="G199" s="72" t="s">
        <v>44</v>
      </c>
      <c r="H199" s="72" t="s">
        <v>1</v>
      </c>
    </row>
    <row r="200" spans="1:8" x14ac:dyDescent="0.25">
      <c r="A200" s="73">
        <v>43531</v>
      </c>
      <c r="B200" s="72" t="s">
        <v>42</v>
      </c>
      <c r="C200" s="74">
        <v>43525</v>
      </c>
      <c r="D200" s="72" t="s">
        <v>109</v>
      </c>
      <c r="E200" s="72" t="s">
        <v>48</v>
      </c>
      <c r="F200" s="72">
        <v>-0.34</v>
      </c>
      <c r="G200" s="72" t="s">
        <v>44</v>
      </c>
      <c r="H200" s="72" t="s">
        <v>1</v>
      </c>
    </row>
    <row r="201" spans="1:8" x14ac:dyDescent="0.25">
      <c r="A201" s="73">
        <v>43535</v>
      </c>
      <c r="B201" s="72" t="s">
        <v>42</v>
      </c>
      <c r="C201" s="74">
        <v>43525</v>
      </c>
      <c r="D201" s="72" t="s">
        <v>109</v>
      </c>
      <c r="E201" s="72" t="s">
        <v>48</v>
      </c>
      <c r="F201" s="72">
        <v>-0.17</v>
      </c>
      <c r="G201" s="72" t="s">
        <v>44</v>
      </c>
      <c r="H201" s="72" t="s">
        <v>1</v>
      </c>
    </row>
    <row r="202" spans="1:8" x14ac:dyDescent="0.25">
      <c r="A202" s="73">
        <v>43485</v>
      </c>
      <c r="B202" s="72" t="s">
        <v>42</v>
      </c>
      <c r="C202" s="74">
        <v>43485</v>
      </c>
      <c r="D202" s="72" t="s">
        <v>109</v>
      </c>
      <c r="E202" s="72" t="s">
        <v>64</v>
      </c>
      <c r="F202" s="72">
        <v>-704.38</v>
      </c>
      <c r="G202" s="72" t="s">
        <v>44</v>
      </c>
      <c r="H202" s="72" t="s">
        <v>1</v>
      </c>
    </row>
    <row r="203" spans="1:8" x14ac:dyDescent="0.25">
      <c r="A203" s="73">
        <v>43515</v>
      </c>
      <c r="B203" s="72" t="s">
        <v>42</v>
      </c>
      <c r="C203" s="74">
        <v>43515</v>
      </c>
      <c r="D203" s="72" t="s">
        <v>109</v>
      </c>
      <c r="E203" s="72" t="s">
        <v>64</v>
      </c>
      <c r="F203" s="72">
        <v>-704.38</v>
      </c>
      <c r="G203" s="72" t="s">
        <v>44</v>
      </c>
      <c r="H203" s="72" t="s">
        <v>1</v>
      </c>
    </row>
    <row r="204" spans="1:8" x14ac:dyDescent="0.25">
      <c r="A204" s="73">
        <v>43539</v>
      </c>
      <c r="B204" s="72" t="s">
        <v>42</v>
      </c>
      <c r="C204" s="74">
        <v>43539</v>
      </c>
      <c r="D204" s="72" t="s">
        <v>109</v>
      </c>
      <c r="E204" s="72" t="s">
        <v>64</v>
      </c>
      <c r="F204" s="72">
        <v>-704.38</v>
      </c>
      <c r="G204" s="72"/>
      <c r="H204" s="72"/>
    </row>
    <row r="205" spans="1:8" x14ac:dyDescent="0.25">
      <c r="A205" s="73">
        <v>43500</v>
      </c>
      <c r="B205" s="72" t="s">
        <v>42</v>
      </c>
      <c r="C205" s="74">
        <v>43500</v>
      </c>
      <c r="D205" s="72" t="s">
        <v>109</v>
      </c>
      <c r="E205" s="72" t="s">
        <v>69</v>
      </c>
      <c r="F205" s="72">
        <v>-719.55</v>
      </c>
      <c r="G205" s="72" t="s">
        <v>44</v>
      </c>
      <c r="H205" s="72" t="s">
        <v>1</v>
      </c>
    </row>
    <row r="206" spans="1:8" x14ac:dyDescent="0.25">
      <c r="A206" s="73">
        <v>43525</v>
      </c>
      <c r="B206" s="72" t="s">
        <v>42</v>
      </c>
      <c r="C206" s="74">
        <v>43526</v>
      </c>
      <c r="D206" s="72" t="s">
        <v>109</v>
      </c>
      <c r="E206" s="72" t="s">
        <v>69</v>
      </c>
      <c r="F206" s="72">
        <v>-719.55</v>
      </c>
      <c r="G206" s="72" t="s">
        <v>44</v>
      </c>
      <c r="H206" s="72" t="s">
        <v>1</v>
      </c>
    </row>
    <row r="207" spans="1:8" x14ac:dyDescent="0.25">
      <c r="A207" s="73">
        <v>43485</v>
      </c>
      <c r="B207" s="72" t="s">
        <v>42</v>
      </c>
      <c r="C207" s="74">
        <v>43485</v>
      </c>
      <c r="D207" s="72" t="s">
        <v>109</v>
      </c>
      <c r="E207" s="72" t="s">
        <v>51</v>
      </c>
      <c r="F207" s="72">
        <v>-5040.6400000000003</v>
      </c>
      <c r="G207" s="72" t="s">
        <v>44</v>
      </c>
      <c r="H207" s="72" t="s">
        <v>1</v>
      </c>
    </row>
    <row r="208" spans="1:8" x14ac:dyDescent="0.25">
      <c r="A208" s="73">
        <v>43516</v>
      </c>
      <c r="B208" s="72" t="s">
        <v>42</v>
      </c>
      <c r="C208" s="74">
        <v>43516</v>
      </c>
      <c r="D208" s="72" t="s">
        <v>109</v>
      </c>
      <c r="E208" s="72" t="s">
        <v>51</v>
      </c>
      <c r="F208" s="72">
        <v>-5040.6400000000003</v>
      </c>
      <c r="G208" s="72" t="s">
        <v>44</v>
      </c>
      <c r="H208" s="72" t="s">
        <v>1</v>
      </c>
    </row>
    <row r="209" spans="1:8" x14ac:dyDescent="0.25">
      <c r="A209" s="73">
        <v>43539</v>
      </c>
      <c r="B209" s="72" t="s">
        <v>42</v>
      </c>
      <c r="C209" s="74">
        <v>43539</v>
      </c>
      <c r="D209" s="72" t="s">
        <v>109</v>
      </c>
      <c r="E209" s="72" t="s">
        <v>51</v>
      </c>
      <c r="F209" s="72">
        <v>-5040.6400000000003</v>
      </c>
      <c r="G209" s="72"/>
      <c r="H209" s="72"/>
    </row>
    <row r="210" spans="1:8" x14ac:dyDescent="0.25">
      <c r="A210" s="73">
        <v>43491</v>
      </c>
      <c r="B210" s="72" t="s">
        <v>42</v>
      </c>
      <c r="C210" s="74">
        <v>43491</v>
      </c>
      <c r="D210" s="72" t="s">
        <v>109</v>
      </c>
      <c r="E210" s="72" t="s">
        <v>49</v>
      </c>
      <c r="F210" s="72">
        <v>-30.91</v>
      </c>
      <c r="G210" s="72" t="s">
        <v>44</v>
      </c>
      <c r="H210" s="72" t="s">
        <v>1</v>
      </c>
    </row>
    <row r="211" spans="1:8" x14ac:dyDescent="0.25">
      <c r="A211" s="73">
        <v>43521</v>
      </c>
      <c r="B211" s="72" t="s">
        <v>42</v>
      </c>
      <c r="C211" s="74">
        <v>43497</v>
      </c>
      <c r="D211" s="72" t="s">
        <v>109</v>
      </c>
      <c r="E211" s="72" t="s">
        <v>49</v>
      </c>
      <c r="F211" s="72">
        <v>-30.91</v>
      </c>
      <c r="G211" s="72" t="s">
        <v>44</v>
      </c>
      <c r="H211" s="72" t="s">
        <v>1</v>
      </c>
    </row>
    <row r="212" spans="1:8" x14ac:dyDescent="0.25">
      <c r="A212" s="73">
        <v>43549</v>
      </c>
      <c r="B212" s="72" t="s">
        <v>42</v>
      </c>
      <c r="C212" s="74">
        <v>43526</v>
      </c>
      <c r="D212" s="72" t="s">
        <v>109</v>
      </c>
      <c r="E212" s="72" t="s">
        <v>49</v>
      </c>
      <c r="F212" s="72">
        <v>-30.91</v>
      </c>
      <c r="G212" s="72" t="s">
        <v>44</v>
      </c>
      <c r="H212" s="72"/>
    </row>
    <row r="213" spans="1:8" x14ac:dyDescent="0.25">
      <c r="A213" s="73">
        <v>43557</v>
      </c>
      <c r="B213" s="72" t="s">
        <v>42</v>
      </c>
      <c r="C213" s="74">
        <v>43525</v>
      </c>
      <c r="D213" s="72" t="s">
        <v>109</v>
      </c>
      <c r="E213" s="72" t="s">
        <v>49</v>
      </c>
      <c r="F213" s="72">
        <v>-1.94</v>
      </c>
      <c r="G213" s="72"/>
      <c r="H213" s="72"/>
    </row>
    <row r="214" spans="1:8" x14ac:dyDescent="0.25">
      <c r="A214" s="73">
        <v>43475</v>
      </c>
      <c r="B214" s="72" t="s">
        <v>42</v>
      </c>
      <c r="C214" s="74">
        <v>43475</v>
      </c>
      <c r="D214" s="72" t="s">
        <v>109</v>
      </c>
      <c r="E214" s="72" t="s">
        <v>48</v>
      </c>
      <c r="F214" s="72">
        <v>-836.83</v>
      </c>
      <c r="G214" s="72" t="s">
        <v>44</v>
      </c>
      <c r="H214" s="72"/>
    </row>
    <row r="215" spans="1:8" x14ac:dyDescent="0.25">
      <c r="A215" s="73">
        <v>43473</v>
      </c>
      <c r="B215" s="72" t="s">
        <v>42</v>
      </c>
      <c r="C215" s="74">
        <v>43473</v>
      </c>
      <c r="D215" s="72" t="s">
        <v>109</v>
      </c>
      <c r="E215" s="72" t="s">
        <v>48</v>
      </c>
      <c r="F215" s="72">
        <v>-0.36</v>
      </c>
      <c r="G215" s="72" t="s">
        <v>44</v>
      </c>
      <c r="H215" s="72"/>
    </row>
    <row r="216" spans="1:8" x14ac:dyDescent="0.25">
      <c r="A216" s="73">
        <v>43475</v>
      </c>
      <c r="B216" s="72" t="s">
        <v>42</v>
      </c>
      <c r="C216" s="74">
        <v>43475</v>
      </c>
      <c r="D216" s="72" t="s">
        <v>109</v>
      </c>
      <c r="E216" s="72" t="s">
        <v>48</v>
      </c>
      <c r="F216" s="72">
        <v>-0.18</v>
      </c>
      <c r="G216" s="72" t="s">
        <v>44</v>
      </c>
      <c r="H216" s="72"/>
    </row>
    <row r="217" spans="1:8" x14ac:dyDescent="0.25">
      <c r="A217" s="73">
        <v>43475</v>
      </c>
      <c r="B217" s="72" t="s">
        <v>42</v>
      </c>
      <c r="C217" s="74">
        <v>43475</v>
      </c>
      <c r="D217" s="72" t="s">
        <v>109</v>
      </c>
      <c r="E217" s="72" t="s">
        <v>48</v>
      </c>
      <c r="F217" s="72">
        <v>-0.18</v>
      </c>
      <c r="G217" s="72" t="s">
        <v>44</v>
      </c>
      <c r="H217" s="72"/>
    </row>
    <row r="218" spans="1:8" x14ac:dyDescent="0.25">
      <c r="A218" s="73">
        <v>43480</v>
      </c>
      <c r="B218" s="72" t="s">
        <v>42</v>
      </c>
      <c r="C218" s="74">
        <v>43480</v>
      </c>
      <c r="D218" s="72" t="s">
        <v>109</v>
      </c>
      <c r="E218" s="72" t="s">
        <v>48</v>
      </c>
      <c r="F218" s="72">
        <v>-3.98</v>
      </c>
      <c r="G218" s="72" t="s">
        <v>44</v>
      </c>
      <c r="H218" s="72"/>
    </row>
    <row r="219" spans="1:8" x14ac:dyDescent="0.25">
      <c r="A219" s="73">
        <v>43480</v>
      </c>
      <c r="B219" s="72" t="s">
        <v>42</v>
      </c>
      <c r="C219" s="74">
        <v>43480</v>
      </c>
      <c r="D219" s="72" t="s">
        <v>109</v>
      </c>
      <c r="E219" s="72" t="s">
        <v>48</v>
      </c>
      <c r="F219" s="72">
        <v>-3.98</v>
      </c>
      <c r="G219" s="72" t="s">
        <v>44</v>
      </c>
      <c r="H219" s="72"/>
    </row>
    <row r="220" spans="1:8" x14ac:dyDescent="0.25">
      <c r="A220" s="73">
        <v>43480</v>
      </c>
      <c r="B220" s="72" t="s">
        <v>42</v>
      </c>
      <c r="C220" s="74">
        <v>43480</v>
      </c>
      <c r="D220" s="72" t="s">
        <v>109</v>
      </c>
      <c r="E220" s="72" t="s">
        <v>48</v>
      </c>
      <c r="F220" s="72">
        <v>-3.98</v>
      </c>
      <c r="G220" s="72" t="s">
        <v>44</v>
      </c>
      <c r="H220" s="72"/>
    </row>
    <row r="221" spans="1:8" x14ac:dyDescent="0.25">
      <c r="A221" s="73">
        <v>43480</v>
      </c>
      <c r="B221" s="72" t="s">
        <v>42</v>
      </c>
      <c r="C221" s="74">
        <v>43480</v>
      </c>
      <c r="D221" s="72" t="s">
        <v>109</v>
      </c>
      <c r="E221" s="72" t="s">
        <v>48</v>
      </c>
      <c r="F221" s="72">
        <v>-3.98</v>
      </c>
      <c r="G221" s="72" t="s">
        <v>44</v>
      </c>
      <c r="H221" s="72"/>
    </row>
    <row r="222" spans="1:8" x14ac:dyDescent="0.25">
      <c r="A222" s="73">
        <v>43480</v>
      </c>
      <c r="B222" s="72" t="s">
        <v>42</v>
      </c>
      <c r="C222" s="74">
        <v>43480</v>
      </c>
      <c r="D222" s="72" t="s">
        <v>109</v>
      </c>
      <c r="E222" s="72" t="s">
        <v>48</v>
      </c>
      <c r="F222" s="72">
        <v>-3.98</v>
      </c>
      <c r="G222" s="72" t="s">
        <v>44</v>
      </c>
      <c r="H222" s="72"/>
    </row>
    <row r="223" spans="1:8" x14ac:dyDescent="0.25">
      <c r="A223" s="73">
        <v>43480</v>
      </c>
      <c r="B223" s="72" t="s">
        <v>42</v>
      </c>
      <c r="C223" s="74">
        <v>43480</v>
      </c>
      <c r="D223" s="72" t="s">
        <v>109</v>
      </c>
      <c r="E223" s="72" t="s">
        <v>48</v>
      </c>
      <c r="F223" s="72">
        <v>-92.39</v>
      </c>
      <c r="G223" s="72" t="s">
        <v>44</v>
      </c>
      <c r="H223" s="72"/>
    </row>
    <row r="224" spans="1:8" x14ac:dyDescent="0.25">
      <c r="A224" s="73">
        <v>43482</v>
      </c>
      <c r="B224" s="72" t="s">
        <v>42</v>
      </c>
      <c r="C224" s="74">
        <v>43482</v>
      </c>
      <c r="D224" s="72" t="s">
        <v>109</v>
      </c>
      <c r="E224" s="72" t="s">
        <v>48</v>
      </c>
      <c r="F224" s="72">
        <v>-16.8</v>
      </c>
      <c r="G224" s="72" t="s">
        <v>44</v>
      </c>
      <c r="H224" s="72"/>
    </row>
    <row r="225" spans="1:8" x14ac:dyDescent="0.25">
      <c r="A225" s="73">
        <v>43482</v>
      </c>
      <c r="B225" s="72" t="s">
        <v>42</v>
      </c>
      <c r="C225" s="74">
        <v>43482</v>
      </c>
      <c r="D225" s="72" t="s">
        <v>109</v>
      </c>
      <c r="E225" s="72" t="s">
        <v>48</v>
      </c>
      <c r="F225" s="72">
        <v>-16.8</v>
      </c>
      <c r="G225" s="72" t="s">
        <v>44</v>
      </c>
      <c r="H225" s="72"/>
    </row>
    <row r="226" spans="1:8" x14ac:dyDescent="0.25">
      <c r="A226" s="73">
        <v>43487</v>
      </c>
      <c r="B226" s="72" t="s">
        <v>42</v>
      </c>
      <c r="C226" s="74">
        <v>43487</v>
      </c>
      <c r="D226" s="72" t="s">
        <v>109</v>
      </c>
      <c r="E226" s="72" t="s">
        <v>48</v>
      </c>
      <c r="F226" s="72">
        <v>-15.92</v>
      </c>
      <c r="G226" s="72" t="s">
        <v>44</v>
      </c>
      <c r="H226" s="72"/>
    </row>
    <row r="227" spans="1:8" x14ac:dyDescent="0.25">
      <c r="A227" s="73">
        <v>43487</v>
      </c>
      <c r="B227" s="72" t="s">
        <v>42</v>
      </c>
      <c r="C227" s="74">
        <v>43487</v>
      </c>
      <c r="D227" s="72" t="s">
        <v>109</v>
      </c>
      <c r="E227" s="72" t="s">
        <v>48</v>
      </c>
      <c r="F227" s="72">
        <v>-33.6</v>
      </c>
      <c r="G227" s="72" t="s">
        <v>44</v>
      </c>
      <c r="H227" s="72"/>
    </row>
    <row r="228" spans="1:8" x14ac:dyDescent="0.25">
      <c r="A228" s="73">
        <v>43493</v>
      </c>
      <c r="B228" s="72" t="s">
        <v>42</v>
      </c>
      <c r="C228" s="74">
        <v>43493</v>
      </c>
      <c r="D228" s="72" t="s">
        <v>109</v>
      </c>
      <c r="E228" s="72" t="s">
        <v>48</v>
      </c>
      <c r="F228" s="72">
        <v>-7.96</v>
      </c>
      <c r="G228" s="72" t="s">
        <v>44</v>
      </c>
      <c r="H228" s="72"/>
    </row>
    <row r="229" spans="1:8" x14ac:dyDescent="0.25">
      <c r="A229" s="73">
        <v>43496</v>
      </c>
      <c r="B229" s="72" t="s">
        <v>42</v>
      </c>
      <c r="C229" s="74">
        <v>43496</v>
      </c>
      <c r="D229" s="72" t="s">
        <v>109</v>
      </c>
      <c r="E229" s="72" t="s">
        <v>48</v>
      </c>
      <c r="F229" s="72">
        <v>-3.98</v>
      </c>
      <c r="G229" s="72" t="s">
        <v>44</v>
      </c>
      <c r="H229" s="72"/>
    </row>
    <row r="230" spans="1:8" x14ac:dyDescent="0.25">
      <c r="A230" s="73">
        <v>43496</v>
      </c>
      <c r="B230" s="72" t="s">
        <v>42</v>
      </c>
      <c r="C230" s="74">
        <v>43496</v>
      </c>
      <c r="D230" s="72" t="s">
        <v>109</v>
      </c>
      <c r="E230" s="72" t="s">
        <v>48</v>
      </c>
      <c r="F230" s="72">
        <v>-3.98</v>
      </c>
      <c r="G230" s="72" t="s">
        <v>44</v>
      </c>
      <c r="H230" s="72"/>
    </row>
    <row r="231" spans="1:8" x14ac:dyDescent="0.25">
      <c r="A231" s="73">
        <v>43496</v>
      </c>
      <c r="B231" s="72" t="s">
        <v>42</v>
      </c>
      <c r="C231" s="74">
        <v>43496</v>
      </c>
      <c r="D231" s="72" t="s">
        <v>109</v>
      </c>
      <c r="E231" s="72" t="s">
        <v>48</v>
      </c>
      <c r="F231" s="72">
        <v>-3.98</v>
      </c>
      <c r="G231" s="72" t="s">
        <v>44</v>
      </c>
      <c r="H231" s="72"/>
    </row>
    <row r="232" spans="1:8" x14ac:dyDescent="0.25">
      <c r="A232" s="73">
        <v>43497</v>
      </c>
      <c r="B232" s="72" t="s">
        <v>42</v>
      </c>
      <c r="C232" s="74">
        <v>43497</v>
      </c>
      <c r="D232" s="72" t="s">
        <v>109</v>
      </c>
      <c r="E232" s="72" t="s">
        <v>48</v>
      </c>
      <c r="F232" s="72">
        <v>-0.6</v>
      </c>
      <c r="G232" s="72" t="s">
        <v>44</v>
      </c>
      <c r="H232" s="72"/>
    </row>
    <row r="233" spans="1:8" x14ac:dyDescent="0.25">
      <c r="A233" s="73">
        <v>43521</v>
      </c>
      <c r="B233" s="72" t="s">
        <v>42</v>
      </c>
      <c r="C233" s="74">
        <v>43497</v>
      </c>
      <c r="D233" s="72" t="s">
        <v>109</v>
      </c>
      <c r="E233" s="72" t="s">
        <v>48</v>
      </c>
      <c r="F233" s="72">
        <v>-0.36</v>
      </c>
      <c r="G233" s="72" t="s">
        <v>44</v>
      </c>
      <c r="H233" s="72"/>
    </row>
    <row r="234" spans="1:8" x14ac:dyDescent="0.25">
      <c r="A234" s="73">
        <v>43522</v>
      </c>
      <c r="B234" s="72" t="s">
        <v>42</v>
      </c>
      <c r="C234" s="74">
        <v>43497</v>
      </c>
      <c r="D234" s="72" t="s">
        <v>109</v>
      </c>
      <c r="E234" s="72" t="s">
        <v>48</v>
      </c>
      <c r="F234" s="72">
        <v>20.46</v>
      </c>
      <c r="G234" s="72" t="s">
        <v>47</v>
      </c>
      <c r="H234" s="72"/>
    </row>
    <row r="235" spans="1:8" x14ac:dyDescent="0.25">
      <c r="A235" s="73">
        <v>43524</v>
      </c>
      <c r="B235" s="72" t="s">
        <v>42</v>
      </c>
      <c r="C235" s="74">
        <v>43497</v>
      </c>
      <c r="D235" s="72" t="s">
        <v>109</v>
      </c>
      <c r="E235" s="72" t="s">
        <v>48</v>
      </c>
      <c r="F235" s="72">
        <v>-1.08</v>
      </c>
      <c r="G235" s="72" t="s">
        <v>44</v>
      </c>
      <c r="H235" s="72"/>
    </row>
    <row r="236" spans="1:8" x14ac:dyDescent="0.25">
      <c r="A236" s="73">
        <v>43504</v>
      </c>
      <c r="B236" s="72" t="s">
        <v>42</v>
      </c>
      <c r="C236" s="74">
        <v>43504</v>
      </c>
      <c r="D236" s="72" t="s">
        <v>109</v>
      </c>
      <c r="E236" s="72" t="s">
        <v>48</v>
      </c>
      <c r="F236" s="72">
        <v>-0.18</v>
      </c>
      <c r="G236" s="72" t="s">
        <v>44</v>
      </c>
      <c r="H236" s="72"/>
    </row>
    <row r="237" spans="1:8" x14ac:dyDescent="0.25">
      <c r="A237" s="73">
        <v>43504</v>
      </c>
      <c r="B237" s="72" t="s">
        <v>42</v>
      </c>
      <c r="C237" s="74">
        <v>43504</v>
      </c>
      <c r="D237" s="72" t="s">
        <v>109</v>
      </c>
      <c r="E237" s="72" t="s">
        <v>48</v>
      </c>
      <c r="F237" s="72">
        <v>-0.18</v>
      </c>
      <c r="G237" s="72" t="s">
        <v>44</v>
      </c>
      <c r="H237" s="72"/>
    </row>
    <row r="238" spans="1:8" x14ac:dyDescent="0.25">
      <c r="A238" s="73">
        <v>43507</v>
      </c>
      <c r="B238" s="72" t="s">
        <v>42</v>
      </c>
      <c r="C238" s="74">
        <v>43507</v>
      </c>
      <c r="D238" s="72" t="s">
        <v>109</v>
      </c>
      <c r="E238" s="72" t="s">
        <v>48</v>
      </c>
      <c r="F238" s="72">
        <v>-0.18</v>
      </c>
      <c r="G238" s="72" t="s">
        <v>44</v>
      </c>
      <c r="H238" s="72"/>
    </row>
    <row r="239" spans="1:8" x14ac:dyDescent="0.25">
      <c r="A239" s="73">
        <v>43514</v>
      </c>
      <c r="B239" s="72" t="s">
        <v>42</v>
      </c>
      <c r="C239" s="74">
        <v>43514</v>
      </c>
      <c r="D239" s="72" t="s">
        <v>109</v>
      </c>
      <c r="E239" s="72" t="s">
        <v>48</v>
      </c>
      <c r="F239" s="72">
        <v>-0.18</v>
      </c>
      <c r="G239" s="72" t="s">
        <v>44</v>
      </c>
      <c r="H239" s="72"/>
    </row>
    <row r="240" spans="1:8" x14ac:dyDescent="0.25">
      <c r="A240" s="73">
        <v>43514</v>
      </c>
      <c r="B240" s="72" t="s">
        <v>42</v>
      </c>
      <c r="C240" s="74">
        <v>43514</v>
      </c>
      <c r="D240" s="72" t="s">
        <v>109</v>
      </c>
      <c r="E240" s="72" t="s">
        <v>48</v>
      </c>
      <c r="F240" s="72">
        <v>-0.18</v>
      </c>
      <c r="G240" s="72" t="s">
        <v>44</v>
      </c>
      <c r="H240" s="72"/>
    </row>
    <row r="241" spans="1:8" x14ac:dyDescent="0.25">
      <c r="A241" s="73">
        <v>43514</v>
      </c>
      <c r="B241" s="72" t="s">
        <v>42</v>
      </c>
      <c r="C241" s="74">
        <v>43514</v>
      </c>
      <c r="D241" s="72" t="s">
        <v>109</v>
      </c>
      <c r="E241" s="72" t="s">
        <v>48</v>
      </c>
      <c r="F241" s="72">
        <v>-0.18</v>
      </c>
      <c r="G241" s="72" t="s">
        <v>44</v>
      </c>
      <c r="H241" s="72"/>
    </row>
    <row r="242" spans="1:8" x14ac:dyDescent="0.25">
      <c r="A242" s="73">
        <v>43514</v>
      </c>
      <c r="B242" s="72" t="s">
        <v>42</v>
      </c>
      <c r="C242" s="74">
        <v>43514</v>
      </c>
      <c r="D242" s="72" t="s">
        <v>109</v>
      </c>
      <c r="E242" s="72" t="s">
        <v>48</v>
      </c>
      <c r="F242" s="72">
        <v>-0.18</v>
      </c>
      <c r="G242" s="72" t="s">
        <v>44</v>
      </c>
      <c r="H242" s="72"/>
    </row>
    <row r="243" spans="1:8" x14ac:dyDescent="0.25">
      <c r="A243" s="73">
        <v>43515</v>
      </c>
      <c r="B243" s="72" t="s">
        <v>42</v>
      </c>
      <c r="C243" s="74">
        <v>43515</v>
      </c>
      <c r="D243" s="72" t="s">
        <v>109</v>
      </c>
      <c r="E243" s="72" t="s">
        <v>48</v>
      </c>
      <c r="F243" s="72">
        <v>-4.5</v>
      </c>
      <c r="G243" s="72" t="s">
        <v>44</v>
      </c>
      <c r="H243" s="72"/>
    </row>
    <row r="244" spans="1:8" x14ac:dyDescent="0.25">
      <c r="A244" s="73">
        <v>43518</v>
      </c>
      <c r="B244" s="72" t="s">
        <v>42</v>
      </c>
      <c r="C244" s="74">
        <v>43518</v>
      </c>
      <c r="D244" s="72" t="s">
        <v>109</v>
      </c>
      <c r="E244" s="72" t="s">
        <v>48</v>
      </c>
      <c r="F244" s="72">
        <v>-0.18</v>
      </c>
      <c r="G244" s="72" t="s">
        <v>44</v>
      </c>
      <c r="H244" s="72"/>
    </row>
    <row r="245" spans="1:8" x14ac:dyDescent="0.25">
      <c r="A245" s="73">
        <v>43529</v>
      </c>
      <c r="B245" s="72" t="s">
        <v>42</v>
      </c>
      <c r="C245" s="74">
        <v>43525</v>
      </c>
      <c r="D245" s="72" t="s">
        <v>109</v>
      </c>
      <c r="E245" s="72" t="s">
        <v>48</v>
      </c>
      <c r="F245" s="72">
        <v>-0.36</v>
      </c>
      <c r="G245" s="72" t="s">
        <v>44</v>
      </c>
      <c r="H245" s="72"/>
    </row>
    <row r="246" spans="1:8" x14ac:dyDescent="0.25">
      <c r="A246" s="73">
        <v>43530</v>
      </c>
      <c r="B246" s="72" t="s">
        <v>42</v>
      </c>
      <c r="C246" s="74">
        <v>43525</v>
      </c>
      <c r="D246" s="72" t="s">
        <v>109</v>
      </c>
      <c r="E246" s="72" t="s">
        <v>48</v>
      </c>
      <c r="F246" s="72">
        <v>-0.36</v>
      </c>
      <c r="G246" s="72" t="s">
        <v>44</v>
      </c>
      <c r="H246" s="72"/>
    </row>
    <row r="247" spans="1:8" x14ac:dyDescent="0.25">
      <c r="A247" s="73">
        <v>43531</v>
      </c>
      <c r="B247" s="72" t="s">
        <v>42</v>
      </c>
      <c r="C247" s="74">
        <v>43525</v>
      </c>
      <c r="D247" s="72" t="s">
        <v>109</v>
      </c>
      <c r="E247" s="72" t="s">
        <v>48</v>
      </c>
      <c r="F247" s="72">
        <v>-0.18</v>
      </c>
      <c r="G247" s="72" t="s">
        <v>44</v>
      </c>
      <c r="H247" s="72"/>
    </row>
    <row r="248" spans="1:8" x14ac:dyDescent="0.25">
      <c r="A248" s="73">
        <v>43531</v>
      </c>
      <c r="B248" s="72" t="s">
        <v>45</v>
      </c>
      <c r="C248" s="74">
        <v>43525</v>
      </c>
      <c r="D248" s="72" t="s">
        <v>109</v>
      </c>
      <c r="E248" s="72" t="s">
        <v>48</v>
      </c>
      <c r="F248" s="72">
        <v>-0.9</v>
      </c>
      <c r="G248" s="72" t="s">
        <v>44</v>
      </c>
      <c r="H248" s="72"/>
    </row>
    <row r="249" spans="1:8" x14ac:dyDescent="0.25">
      <c r="A249" s="73">
        <v>43535</v>
      </c>
      <c r="B249" s="72" t="s">
        <v>42</v>
      </c>
      <c r="C249" s="74">
        <v>43525</v>
      </c>
      <c r="D249" s="72" t="s">
        <v>109</v>
      </c>
      <c r="E249" s="72" t="s">
        <v>48</v>
      </c>
      <c r="F249" s="72">
        <v>-0.54</v>
      </c>
      <c r="G249" s="72" t="s">
        <v>44</v>
      </c>
      <c r="H249" s="72"/>
    </row>
    <row r="250" spans="1:8" x14ac:dyDescent="0.25">
      <c r="A250" s="73">
        <v>43501</v>
      </c>
      <c r="B250" s="72" t="s">
        <v>42</v>
      </c>
      <c r="C250" s="74">
        <v>43501</v>
      </c>
      <c r="D250" s="72" t="s">
        <v>109</v>
      </c>
      <c r="E250" s="72" t="s">
        <v>69</v>
      </c>
      <c r="F250" s="72">
        <v>-715.89</v>
      </c>
      <c r="G250" s="72" t="s">
        <v>44</v>
      </c>
      <c r="H250" s="72"/>
    </row>
    <row r="251" spans="1:8" x14ac:dyDescent="0.25">
      <c r="A251" s="73">
        <v>43529</v>
      </c>
      <c r="B251" s="72" t="s">
        <v>42</v>
      </c>
      <c r="C251" s="74">
        <v>43529</v>
      </c>
      <c r="D251" s="72" t="s">
        <v>109</v>
      </c>
      <c r="E251" s="72" t="s">
        <v>69</v>
      </c>
      <c r="F251" s="72">
        <v>-715.89</v>
      </c>
      <c r="G251" s="72" t="s">
        <v>44</v>
      </c>
      <c r="H251" s="72"/>
    </row>
    <row r="252" spans="1:8" x14ac:dyDescent="0.25">
      <c r="A252" s="73">
        <v>43531</v>
      </c>
      <c r="B252" s="72" t="s">
        <v>106</v>
      </c>
      <c r="C252" s="74">
        <v>43525</v>
      </c>
      <c r="D252" s="72" t="s">
        <v>109</v>
      </c>
      <c r="E252" s="72" t="s">
        <v>46</v>
      </c>
      <c r="F252" s="72">
        <v>11000</v>
      </c>
      <c r="G252" s="72" t="s">
        <v>47</v>
      </c>
      <c r="H252" s="72"/>
    </row>
    <row r="253" spans="1:8" x14ac:dyDescent="0.25">
      <c r="A253" s="73">
        <v>43479</v>
      </c>
      <c r="B253" s="72" t="s">
        <v>42</v>
      </c>
      <c r="C253" s="74">
        <v>43479</v>
      </c>
      <c r="D253" s="72" t="s">
        <v>109</v>
      </c>
      <c r="E253" s="72" t="s">
        <v>49</v>
      </c>
      <c r="F253" s="72">
        <v>-15.95</v>
      </c>
      <c r="G253" s="72" t="s">
        <v>44</v>
      </c>
      <c r="H253" s="72"/>
    </row>
    <row r="254" spans="1:8" x14ac:dyDescent="0.25">
      <c r="A254" s="73">
        <v>43530</v>
      </c>
      <c r="B254" s="72" t="s">
        <v>42</v>
      </c>
      <c r="C254" s="74">
        <v>43501</v>
      </c>
      <c r="D254" s="72" t="s">
        <v>109</v>
      </c>
      <c r="E254" s="72" t="s">
        <v>49</v>
      </c>
      <c r="F254" s="72">
        <v>-24</v>
      </c>
      <c r="G254" s="72" t="s">
        <v>44</v>
      </c>
      <c r="H254" s="72"/>
    </row>
    <row r="255" spans="1:8" x14ac:dyDescent="0.25">
      <c r="A255" s="73">
        <v>43508</v>
      </c>
      <c r="B255" s="72" t="s">
        <v>42</v>
      </c>
      <c r="C255" s="74">
        <v>43508</v>
      </c>
      <c r="D255" s="72" t="s">
        <v>109</v>
      </c>
      <c r="E255" s="72" t="s">
        <v>49</v>
      </c>
      <c r="F255" s="72">
        <v>-15.95</v>
      </c>
      <c r="G255" s="72" t="s">
        <v>44</v>
      </c>
      <c r="H255" s="72"/>
    </row>
    <row r="256" spans="1:8" x14ac:dyDescent="0.25">
      <c r="A256" s="73">
        <v>43559</v>
      </c>
      <c r="B256" s="72" t="s">
        <v>42</v>
      </c>
      <c r="C256" s="74">
        <v>43528</v>
      </c>
      <c r="D256" s="72" t="s">
        <v>109</v>
      </c>
      <c r="E256" s="72" t="s">
        <v>49</v>
      </c>
      <c r="F256" s="72">
        <v>-12</v>
      </c>
      <c r="G256" s="72"/>
      <c r="H256" s="72"/>
    </row>
    <row r="257" spans="1:8" x14ac:dyDescent="0.25">
      <c r="A257" s="73">
        <v>43589</v>
      </c>
      <c r="B257" s="72" t="s">
        <v>42</v>
      </c>
      <c r="C257" s="74">
        <v>43530</v>
      </c>
      <c r="D257" s="72" t="s">
        <v>109</v>
      </c>
      <c r="E257" s="72" t="s">
        <v>49</v>
      </c>
      <c r="F257" s="72">
        <v>-12</v>
      </c>
      <c r="G257" s="72"/>
      <c r="H257" s="72"/>
    </row>
    <row r="258" spans="1:8" x14ac:dyDescent="0.25">
      <c r="A258" s="73">
        <v>43532</v>
      </c>
      <c r="B258" s="72" t="s">
        <v>42</v>
      </c>
      <c r="C258" s="74">
        <v>43536</v>
      </c>
      <c r="D258" s="72" t="s">
        <v>109</v>
      </c>
      <c r="E258" s="72" t="s">
        <v>49</v>
      </c>
      <c r="F258" s="72">
        <v>-15.95</v>
      </c>
      <c r="G258" s="72" t="s">
        <v>44</v>
      </c>
      <c r="H258" s="72"/>
    </row>
    <row r="259" spans="1:8" x14ac:dyDescent="0.25">
      <c r="A259" s="73">
        <v>43542</v>
      </c>
      <c r="B259" s="72" t="s">
        <v>45</v>
      </c>
      <c r="C259" s="74">
        <v>43497</v>
      </c>
      <c r="D259" s="72" t="s">
        <v>109</v>
      </c>
      <c r="E259" s="72" t="s">
        <v>107</v>
      </c>
      <c r="F259" s="72">
        <v>-504</v>
      </c>
      <c r="G259" s="72"/>
      <c r="H259" s="72"/>
    </row>
    <row r="260" spans="1:8" x14ac:dyDescent="0.25">
      <c r="A260" s="73">
        <v>43544</v>
      </c>
      <c r="B260" s="72" t="s">
        <v>45</v>
      </c>
      <c r="C260" s="74">
        <v>43524</v>
      </c>
      <c r="D260" s="72" t="s">
        <v>109</v>
      </c>
      <c r="E260" s="72" t="s">
        <v>71</v>
      </c>
      <c r="F260" s="72">
        <v>-2400</v>
      </c>
      <c r="G260" s="72"/>
      <c r="H260" s="72"/>
    </row>
    <row r="261" spans="1:8" x14ac:dyDescent="0.25">
      <c r="A261" s="73">
        <v>43575</v>
      </c>
      <c r="B261" s="72" t="s">
        <v>45</v>
      </c>
      <c r="C261" s="74">
        <v>43544</v>
      </c>
      <c r="D261" s="72" t="s">
        <v>109</v>
      </c>
      <c r="E261" s="72" t="s">
        <v>71</v>
      </c>
      <c r="F261" s="72">
        <v>-2400</v>
      </c>
      <c r="G261" s="72"/>
      <c r="H261" s="72"/>
    </row>
    <row r="262" spans="1:8" x14ac:dyDescent="0.25">
      <c r="A262" s="73">
        <v>43500</v>
      </c>
      <c r="B262" s="72" t="s">
        <v>45</v>
      </c>
      <c r="C262" s="74">
        <v>43476</v>
      </c>
      <c r="D262" s="72" t="s">
        <v>109</v>
      </c>
      <c r="E262" s="72" t="s">
        <v>55</v>
      </c>
      <c r="F262" s="72">
        <v>-1342.32</v>
      </c>
      <c r="G262" s="72" t="s">
        <v>44</v>
      </c>
      <c r="H262" s="72" t="s">
        <v>1</v>
      </c>
    </row>
    <row r="263" spans="1:8" x14ac:dyDescent="0.25">
      <c r="A263" s="73">
        <v>43524</v>
      </c>
      <c r="B263" s="72" t="s">
        <v>45</v>
      </c>
      <c r="C263" s="74">
        <v>43507</v>
      </c>
      <c r="D263" s="72" t="s">
        <v>109</v>
      </c>
      <c r="E263" s="72" t="s">
        <v>55</v>
      </c>
      <c r="F263" s="72">
        <v>-1349.6</v>
      </c>
      <c r="G263" s="72" t="s">
        <v>44</v>
      </c>
      <c r="H263" s="72" t="s">
        <v>1</v>
      </c>
    </row>
    <row r="264" spans="1:8" x14ac:dyDescent="0.25">
      <c r="A264" s="73">
        <v>43551</v>
      </c>
      <c r="B264" s="72" t="s">
        <v>45</v>
      </c>
      <c r="C264" s="74">
        <v>43536</v>
      </c>
      <c r="D264" s="72" t="s">
        <v>109</v>
      </c>
      <c r="E264" s="72" t="s">
        <v>55</v>
      </c>
      <c r="F264" s="72">
        <v>-1305.73</v>
      </c>
      <c r="G264" s="72"/>
      <c r="H264" s="72"/>
    </row>
    <row r="265" spans="1:8" x14ac:dyDescent="0.25">
      <c r="A265" s="73">
        <v>43555</v>
      </c>
      <c r="B265" s="72" t="s">
        <v>60</v>
      </c>
      <c r="C265" s="74">
        <v>43497</v>
      </c>
      <c r="D265" s="72" t="s">
        <v>109</v>
      </c>
      <c r="E265" s="72" t="s">
        <v>46</v>
      </c>
      <c r="F265" s="72">
        <v>1648.96</v>
      </c>
      <c r="G265" s="72" t="s">
        <v>47</v>
      </c>
      <c r="H265" s="72"/>
    </row>
    <row r="266" spans="1:8" x14ac:dyDescent="0.25">
      <c r="A266" s="73">
        <v>43531</v>
      </c>
      <c r="B266" s="72" t="s">
        <v>45</v>
      </c>
      <c r="C266" s="74">
        <v>43477</v>
      </c>
      <c r="D266" s="72" t="s">
        <v>109</v>
      </c>
      <c r="E266" s="72" t="s">
        <v>57</v>
      </c>
      <c r="F266" s="72">
        <v>-230.46</v>
      </c>
      <c r="G266" s="72" t="s">
        <v>44</v>
      </c>
      <c r="H266" s="72" t="s">
        <v>1</v>
      </c>
    </row>
    <row r="267" spans="1:8" x14ac:dyDescent="0.25">
      <c r="A267" s="73">
        <v>43562</v>
      </c>
      <c r="B267" s="72" t="s">
        <v>45</v>
      </c>
      <c r="C267" s="74">
        <v>43505</v>
      </c>
      <c r="D267" s="72" t="s">
        <v>109</v>
      </c>
      <c r="E267" s="72" t="s">
        <v>57</v>
      </c>
      <c r="F267" s="72">
        <v>-230.46</v>
      </c>
      <c r="G267" s="72"/>
      <c r="H267" s="72"/>
    </row>
    <row r="268" spans="1:8" x14ac:dyDescent="0.25">
      <c r="A268" s="73">
        <v>43592</v>
      </c>
      <c r="B268" s="72" t="s">
        <v>45</v>
      </c>
      <c r="C268" s="74">
        <v>43533</v>
      </c>
      <c r="D268" s="72" t="s">
        <v>109</v>
      </c>
      <c r="E268" s="72" t="s">
        <v>57</v>
      </c>
      <c r="F268" s="72">
        <v>-230.46</v>
      </c>
      <c r="G268" s="72"/>
      <c r="H268" s="72"/>
    </row>
    <row r="269" spans="1:8" x14ac:dyDescent="0.25">
      <c r="A269" s="73">
        <v>43562</v>
      </c>
      <c r="B269" s="72" t="s">
        <v>45</v>
      </c>
      <c r="C269" s="74">
        <v>43505</v>
      </c>
      <c r="D269" s="72" t="s">
        <v>109</v>
      </c>
      <c r="E269" s="72" t="s">
        <v>57</v>
      </c>
      <c r="F269" s="72">
        <v>-5273.58</v>
      </c>
      <c r="G269" s="72"/>
      <c r="H269" s="72"/>
    </row>
    <row r="270" spans="1:8" x14ac:dyDescent="0.25">
      <c r="A270" s="73">
        <v>43592</v>
      </c>
      <c r="B270" s="72" t="s">
        <v>45</v>
      </c>
      <c r="C270" s="74">
        <v>43533</v>
      </c>
      <c r="D270" s="72" t="s">
        <v>109</v>
      </c>
      <c r="E270" s="72" t="s">
        <v>57</v>
      </c>
      <c r="F270" s="72">
        <v>-5198.2</v>
      </c>
      <c r="G270" s="72"/>
      <c r="H270" s="72"/>
    </row>
    <row r="271" spans="1:8" x14ac:dyDescent="0.25">
      <c r="A271" s="73">
        <v>43562</v>
      </c>
      <c r="B271" s="72" t="s">
        <v>45</v>
      </c>
      <c r="C271" s="74">
        <v>43505</v>
      </c>
      <c r="D271" s="72" t="s">
        <v>109</v>
      </c>
      <c r="E271" s="72" t="s">
        <v>57</v>
      </c>
      <c r="F271" s="72">
        <v>-5262.01</v>
      </c>
      <c r="G271" s="72"/>
      <c r="H271" s="72"/>
    </row>
    <row r="272" spans="1:8" x14ac:dyDescent="0.25">
      <c r="A272" s="73">
        <v>43592</v>
      </c>
      <c r="B272" s="72" t="s">
        <v>45</v>
      </c>
      <c r="C272" s="74">
        <v>43533</v>
      </c>
      <c r="D272" s="72" t="s">
        <v>109</v>
      </c>
      <c r="E272" s="72" t="s">
        <v>57</v>
      </c>
      <c r="F272" s="72">
        <v>-5186.8100000000004</v>
      </c>
      <c r="G272" s="72"/>
      <c r="H272" s="72"/>
    </row>
    <row r="273" spans="1:8" x14ac:dyDescent="0.25">
      <c r="A273" s="73">
        <v>43524</v>
      </c>
      <c r="B273" s="72" t="s">
        <v>76</v>
      </c>
      <c r="C273" s="74">
        <v>43497</v>
      </c>
      <c r="D273" s="72" t="s">
        <v>109</v>
      </c>
      <c r="E273" s="72" t="s">
        <v>46</v>
      </c>
      <c r="F273" s="72">
        <v>130.72</v>
      </c>
      <c r="G273" s="72" t="s">
        <v>47</v>
      </c>
      <c r="H273" s="72" t="s">
        <v>1</v>
      </c>
    </row>
    <row r="274" spans="1:8" x14ac:dyDescent="0.25">
      <c r="A274" s="73">
        <v>43481</v>
      </c>
      <c r="B274" s="72" t="s">
        <v>42</v>
      </c>
      <c r="C274" s="74">
        <v>43481</v>
      </c>
      <c r="D274" s="72" t="s">
        <v>109</v>
      </c>
      <c r="E274" s="72" t="s">
        <v>46</v>
      </c>
      <c r="F274" s="72">
        <v>-7361.89</v>
      </c>
      <c r="G274" s="72" t="s">
        <v>44</v>
      </c>
      <c r="H274" s="72" t="s">
        <v>1</v>
      </c>
    </row>
    <row r="275" spans="1:8" x14ac:dyDescent="0.25">
      <c r="A275" s="73">
        <v>43539</v>
      </c>
      <c r="B275" s="72" t="s">
        <v>60</v>
      </c>
      <c r="C275" s="74">
        <v>43496</v>
      </c>
      <c r="D275" s="72" t="s">
        <v>109</v>
      </c>
      <c r="E275" s="72" t="s">
        <v>46</v>
      </c>
      <c r="F275" s="72">
        <v>2870.53</v>
      </c>
      <c r="G275" s="72" t="s">
        <v>47</v>
      </c>
      <c r="H275" s="72"/>
    </row>
    <row r="276" spans="1:8" x14ac:dyDescent="0.25">
      <c r="A276" s="73">
        <v>43508</v>
      </c>
      <c r="B276" s="72" t="s">
        <v>42</v>
      </c>
      <c r="C276" s="74">
        <v>43508</v>
      </c>
      <c r="D276" s="72" t="s">
        <v>109</v>
      </c>
      <c r="E276" s="72" t="s">
        <v>46</v>
      </c>
      <c r="F276" s="72">
        <v>-12422.38</v>
      </c>
      <c r="G276" s="72" t="s">
        <v>44</v>
      </c>
      <c r="H276" s="72" t="s">
        <v>1</v>
      </c>
    </row>
    <row r="277" spans="1:8" x14ac:dyDescent="0.25">
      <c r="A277" s="73">
        <v>43539</v>
      </c>
      <c r="B277" s="72" t="s">
        <v>60</v>
      </c>
      <c r="C277" s="74">
        <v>43488</v>
      </c>
      <c r="D277" s="72" t="s">
        <v>109</v>
      </c>
      <c r="E277" s="72" t="s">
        <v>46</v>
      </c>
      <c r="F277" s="72">
        <v>276.19</v>
      </c>
      <c r="G277" s="72" t="s">
        <v>47</v>
      </c>
      <c r="H277" s="72"/>
    </row>
    <row r="278" spans="1:8" x14ac:dyDescent="0.25">
      <c r="A278" s="73">
        <v>43500</v>
      </c>
      <c r="B278" s="72" t="s">
        <v>42</v>
      </c>
      <c r="C278" s="74">
        <v>43500</v>
      </c>
      <c r="D278" s="72" t="s">
        <v>109</v>
      </c>
      <c r="E278" s="72" t="s">
        <v>50</v>
      </c>
      <c r="F278" s="72">
        <v>-5.17</v>
      </c>
      <c r="G278" s="72" t="s">
        <v>44</v>
      </c>
      <c r="H278" s="72" t="s">
        <v>1</v>
      </c>
    </row>
    <row r="279" spans="1:8" x14ac:dyDescent="0.25">
      <c r="A279" s="73">
        <v>43528</v>
      </c>
      <c r="B279" s="72" t="s">
        <v>42</v>
      </c>
      <c r="C279" s="74">
        <v>43525</v>
      </c>
      <c r="D279" s="72" t="s">
        <v>109</v>
      </c>
      <c r="E279" s="72" t="s">
        <v>50</v>
      </c>
      <c r="F279" s="72">
        <v>-5.17</v>
      </c>
      <c r="G279" s="72" t="s">
        <v>44</v>
      </c>
      <c r="H279" s="72" t="s">
        <v>1</v>
      </c>
    </row>
    <row r="280" spans="1:8" x14ac:dyDescent="0.25">
      <c r="A280" s="73">
        <v>43501</v>
      </c>
      <c r="B280" s="72" t="s">
        <v>42</v>
      </c>
      <c r="C280" s="74">
        <v>43501</v>
      </c>
      <c r="D280" s="72" t="s">
        <v>109</v>
      </c>
      <c r="E280" s="72" t="s">
        <v>49</v>
      </c>
      <c r="F280" s="72">
        <v>-4.4000000000000004</v>
      </c>
      <c r="G280" s="72" t="s">
        <v>44</v>
      </c>
      <c r="H280" s="72" t="s">
        <v>1</v>
      </c>
    </row>
    <row r="281" spans="1:8" x14ac:dyDescent="0.25">
      <c r="A281" s="73">
        <v>43525</v>
      </c>
      <c r="B281" s="72" t="s">
        <v>42</v>
      </c>
      <c r="C281" s="74">
        <v>43525</v>
      </c>
      <c r="D281" s="72" t="s">
        <v>109</v>
      </c>
      <c r="E281" s="72" t="s">
        <v>49</v>
      </c>
      <c r="F281" s="72">
        <v>-4.4000000000000004</v>
      </c>
      <c r="G281" s="72" t="s">
        <v>44</v>
      </c>
      <c r="H281" s="72" t="s">
        <v>1</v>
      </c>
    </row>
    <row r="282" spans="1:8" x14ac:dyDescent="0.25">
      <c r="A282" s="73">
        <v>43480</v>
      </c>
      <c r="B282" s="72" t="s">
        <v>42</v>
      </c>
      <c r="C282" s="74">
        <v>43480</v>
      </c>
      <c r="D282" s="72" t="s">
        <v>109</v>
      </c>
      <c r="E282" s="72" t="s">
        <v>48</v>
      </c>
      <c r="F282" s="72">
        <v>-173.79</v>
      </c>
      <c r="G282" s="72" t="s">
        <v>44</v>
      </c>
      <c r="H282" s="72" t="s">
        <v>1</v>
      </c>
    </row>
    <row r="283" spans="1:8" x14ac:dyDescent="0.25">
      <c r="A283" s="73">
        <v>43508</v>
      </c>
      <c r="B283" s="72" t="s">
        <v>42</v>
      </c>
      <c r="C283" s="74">
        <v>43508</v>
      </c>
      <c r="D283" s="72" t="s">
        <v>109</v>
      </c>
      <c r="E283" s="72" t="s">
        <v>48</v>
      </c>
      <c r="F283" s="72">
        <v>-25.77</v>
      </c>
      <c r="G283" s="72" t="s">
        <v>44</v>
      </c>
      <c r="H283" s="72" t="s">
        <v>1</v>
      </c>
    </row>
    <row r="284" spans="1:8" x14ac:dyDescent="0.25">
      <c r="A284" s="73">
        <v>43511</v>
      </c>
      <c r="B284" s="72" t="s">
        <v>42</v>
      </c>
      <c r="C284" s="74">
        <v>43511</v>
      </c>
      <c r="D284" s="72" t="s">
        <v>109</v>
      </c>
      <c r="E284" s="72" t="s">
        <v>48</v>
      </c>
      <c r="F284" s="72">
        <v>-235.1</v>
      </c>
      <c r="G284" s="72" t="s">
        <v>44</v>
      </c>
      <c r="H284" s="72" t="s">
        <v>1</v>
      </c>
    </row>
    <row r="285" spans="1:8" x14ac:dyDescent="0.25">
      <c r="A285" s="73">
        <v>43514</v>
      </c>
      <c r="B285" s="72" t="s">
        <v>42</v>
      </c>
      <c r="C285" s="74">
        <v>43514</v>
      </c>
      <c r="D285" s="72" t="s">
        <v>109</v>
      </c>
      <c r="E285" s="72" t="s">
        <v>48</v>
      </c>
      <c r="F285" s="72">
        <v>-81.05</v>
      </c>
      <c r="G285" s="72" t="s">
        <v>44</v>
      </c>
      <c r="H285" s="72" t="s">
        <v>1</v>
      </c>
    </row>
    <row r="286" spans="1:8" x14ac:dyDescent="0.25">
      <c r="A286" s="73">
        <v>43501</v>
      </c>
      <c r="B286" s="72" t="s">
        <v>42</v>
      </c>
      <c r="C286" s="74">
        <v>43501</v>
      </c>
      <c r="D286" s="72" t="s">
        <v>109</v>
      </c>
      <c r="E286" s="72" t="s">
        <v>70</v>
      </c>
      <c r="F286" s="72">
        <v>-2497.44</v>
      </c>
      <c r="G286" s="72" t="s">
        <v>44</v>
      </c>
      <c r="H286" s="72" t="s">
        <v>1</v>
      </c>
    </row>
    <row r="287" spans="1:8" x14ac:dyDescent="0.25">
      <c r="A287" s="73">
        <v>43529</v>
      </c>
      <c r="B287" s="72" t="s">
        <v>42</v>
      </c>
      <c r="C287" s="74">
        <v>43525</v>
      </c>
      <c r="D287" s="72" t="s">
        <v>109</v>
      </c>
      <c r="E287" s="72" t="s">
        <v>70</v>
      </c>
      <c r="F287" s="72">
        <v>-2497.44</v>
      </c>
      <c r="G287" s="72" t="s">
        <v>44</v>
      </c>
      <c r="H287" s="72" t="s">
        <v>1</v>
      </c>
    </row>
    <row r="288" spans="1:8" x14ac:dyDescent="0.25">
      <c r="A288" s="73">
        <v>43502</v>
      </c>
      <c r="B288" s="72" t="s">
        <v>42</v>
      </c>
      <c r="C288" s="74">
        <v>43502</v>
      </c>
      <c r="D288" s="72" t="s">
        <v>109</v>
      </c>
      <c r="E288" s="72" t="s">
        <v>49</v>
      </c>
      <c r="F288" s="72">
        <v>-25.2</v>
      </c>
      <c r="G288" s="72" t="s">
        <v>44</v>
      </c>
      <c r="H288" s="72" t="s">
        <v>1</v>
      </c>
    </row>
    <row r="289" spans="1:8" x14ac:dyDescent="0.25">
      <c r="A289" s="73">
        <v>43526</v>
      </c>
      <c r="B289" s="72" t="s">
        <v>42</v>
      </c>
      <c r="C289" s="74">
        <v>43525</v>
      </c>
      <c r="D289" s="72" t="s">
        <v>109</v>
      </c>
      <c r="E289" s="72" t="s">
        <v>49</v>
      </c>
      <c r="F289" s="72">
        <v>-25.2</v>
      </c>
      <c r="G289" s="72" t="s">
        <v>44</v>
      </c>
      <c r="H289" s="72" t="s">
        <v>1</v>
      </c>
    </row>
    <row r="290" spans="1:8" x14ac:dyDescent="0.25">
      <c r="A290" s="73">
        <v>43473</v>
      </c>
      <c r="B290" s="72" t="s">
        <v>76</v>
      </c>
      <c r="C290" s="74">
        <v>43473</v>
      </c>
      <c r="D290" s="72" t="s">
        <v>109</v>
      </c>
      <c r="E290" s="72" t="s">
        <v>48</v>
      </c>
      <c r="F290" s="72">
        <v>-1.49</v>
      </c>
      <c r="G290" s="72" t="s">
        <v>44</v>
      </c>
      <c r="H290" s="72" t="s">
        <v>1</v>
      </c>
    </row>
    <row r="291" spans="1:8" x14ac:dyDescent="0.25">
      <c r="A291" s="73">
        <v>43524</v>
      </c>
      <c r="B291" s="72" t="s">
        <v>76</v>
      </c>
      <c r="C291" s="74">
        <v>43497</v>
      </c>
      <c r="D291" s="72" t="s">
        <v>109</v>
      </c>
      <c r="E291" s="72" t="s">
        <v>48</v>
      </c>
      <c r="F291" s="72">
        <v>-0.39</v>
      </c>
      <c r="G291" s="72" t="s">
        <v>44</v>
      </c>
      <c r="H291" s="72" t="s">
        <v>1</v>
      </c>
    </row>
    <row r="292" spans="1:8" x14ac:dyDescent="0.25">
      <c r="A292" s="73">
        <v>43521</v>
      </c>
      <c r="B292" s="72" t="s">
        <v>76</v>
      </c>
      <c r="C292" s="74">
        <v>43516</v>
      </c>
      <c r="D292" s="72" t="s">
        <v>109</v>
      </c>
      <c r="E292" s="72" t="s">
        <v>48</v>
      </c>
      <c r="F292" s="72">
        <v>-0.09</v>
      </c>
      <c r="G292" s="72" t="s">
        <v>44</v>
      </c>
      <c r="H292" s="72" t="s">
        <v>1</v>
      </c>
    </row>
    <row r="293" spans="1:8" x14ac:dyDescent="0.25">
      <c r="A293" s="73">
        <v>43522</v>
      </c>
      <c r="B293" s="72" t="s">
        <v>76</v>
      </c>
      <c r="C293" s="74">
        <v>43516</v>
      </c>
      <c r="D293" s="72" t="s">
        <v>109</v>
      </c>
      <c r="E293" s="72" t="s">
        <v>48</v>
      </c>
      <c r="F293" s="72">
        <v>-0.47</v>
      </c>
      <c r="G293" s="72" t="s">
        <v>44</v>
      </c>
      <c r="H293" s="72" t="s">
        <v>1</v>
      </c>
    </row>
    <row r="294" spans="1:8" x14ac:dyDescent="0.25">
      <c r="A294" s="73">
        <v>43525</v>
      </c>
      <c r="B294" s="72" t="s">
        <v>76</v>
      </c>
      <c r="C294" s="74">
        <v>43525</v>
      </c>
      <c r="D294" s="72" t="s">
        <v>109</v>
      </c>
      <c r="E294" s="72" t="s">
        <v>48</v>
      </c>
      <c r="F294" s="72">
        <v>-1.97</v>
      </c>
      <c r="G294" s="72" t="s">
        <v>44</v>
      </c>
      <c r="H294" s="72" t="s">
        <v>1</v>
      </c>
    </row>
    <row r="295" spans="1:8" x14ac:dyDescent="0.25">
      <c r="A295" s="73">
        <v>43528</v>
      </c>
      <c r="B295" s="72" t="s">
        <v>76</v>
      </c>
      <c r="C295" s="74">
        <v>43525</v>
      </c>
      <c r="D295" s="72" t="s">
        <v>109</v>
      </c>
      <c r="E295" s="72" t="s">
        <v>48</v>
      </c>
      <c r="F295" s="72">
        <v>-1.91</v>
      </c>
      <c r="G295" s="72" t="s">
        <v>44</v>
      </c>
      <c r="H295" s="72" t="s">
        <v>1</v>
      </c>
    </row>
    <row r="296" spans="1:8" x14ac:dyDescent="0.25">
      <c r="A296" s="73">
        <v>43530</v>
      </c>
      <c r="B296" s="72" t="s">
        <v>76</v>
      </c>
      <c r="C296" s="74">
        <v>43525</v>
      </c>
      <c r="D296" s="72" t="s">
        <v>109</v>
      </c>
      <c r="E296" s="72" t="s">
        <v>48</v>
      </c>
      <c r="F296" s="72">
        <v>-0.51</v>
      </c>
      <c r="G296" s="72" t="s">
        <v>44</v>
      </c>
      <c r="H296" s="72" t="s">
        <v>1</v>
      </c>
    </row>
    <row r="297" spans="1:8" x14ac:dyDescent="0.25">
      <c r="A297" s="73">
        <v>43531</v>
      </c>
      <c r="B297" s="72" t="s">
        <v>76</v>
      </c>
      <c r="C297" s="74">
        <v>43525</v>
      </c>
      <c r="D297" s="72" t="s">
        <v>109</v>
      </c>
      <c r="E297" s="72" t="s">
        <v>48</v>
      </c>
      <c r="F297" s="72">
        <v>-1.9</v>
      </c>
      <c r="G297" s="72" t="s">
        <v>44</v>
      </c>
      <c r="H297" s="72" t="s">
        <v>1</v>
      </c>
    </row>
    <row r="298" spans="1:8" x14ac:dyDescent="0.25">
      <c r="A298" s="73">
        <v>43535</v>
      </c>
      <c r="B298" s="72" t="s">
        <v>42</v>
      </c>
      <c r="C298" s="74">
        <v>43525</v>
      </c>
      <c r="D298" s="72" t="s">
        <v>109</v>
      </c>
      <c r="E298" s="72" t="s">
        <v>48</v>
      </c>
      <c r="F298" s="72">
        <v>-0.59</v>
      </c>
      <c r="G298" s="72" t="s">
        <v>44</v>
      </c>
      <c r="H298" s="72" t="s">
        <v>1</v>
      </c>
    </row>
    <row r="299" spans="1:8" x14ac:dyDescent="0.25">
      <c r="A299" s="73">
        <v>43486</v>
      </c>
      <c r="B299" s="72" t="s">
        <v>42</v>
      </c>
      <c r="C299" s="74">
        <v>43486</v>
      </c>
      <c r="D299" s="72" t="s">
        <v>109</v>
      </c>
      <c r="E299" s="72" t="s">
        <v>48</v>
      </c>
      <c r="F299" s="72">
        <v>-10.25</v>
      </c>
      <c r="G299" s="72" t="s">
        <v>44</v>
      </c>
      <c r="H299" s="72" t="s">
        <v>1</v>
      </c>
    </row>
    <row r="300" spans="1:8" x14ac:dyDescent="0.25">
      <c r="A300" s="73">
        <v>43528</v>
      </c>
      <c r="B300" s="72" t="s">
        <v>42</v>
      </c>
      <c r="C300" s="74">
        <v>43528</v>
      </c>
      <c r="D300" s="72" t="s">
        <v>109</v>
      </c>
      <c r="E300" s="72" t="s">
        <v>48</v>
      </c>
      <c r="F300" s="72">
        <v>-14.4</v>
      </c>
      <c r="G300" s="72" t="s">
        <v>44</v>
      </c>
      <c r="H300" s="72" t="s">
        <v>1</v>
      </c>
    </row>
    <row r="301" spans="1:8" x14ac:dyDescent="0.25">
      <c r="A301" s="73">
        <v>43528</v>
      </c>
      <c r="B301" s="72" t="s">
        <v>42</v>
      </c>
      <c r="C301" s="74">
        <v>43528</v>
      </c>
      <c r="D301" s="72" t="s">
        <v>109</v>
      </c>
      <c r="E301" s="72" t="s">
        <v>48</v>
      </c>
      <c r="F301" s="72">
        <v>-14.4</v>
      </c>
      <c r="G301" s="72" t="s">
        <v>44</v>
      </c>
      <c r="H301" s="72" t="s">
        <v>1</v>
      </c>
    </row>
    <row r="302" spans="1:8" x14ac:dyDescent="0.25">
      <c r="A302" s="73">
        <v>43475</v>
      </c>
      <c r="B302" s="72" t="s">
        <v>42</v>
      </c>
      <c r="C302" s="74">
        <v>43475</v>
      </c>
      <c r="D302" s="72" t="s">
        <v>109</v>
      </c>
      <c r="E302" s="72" t="s">
        <v>48</v>
      </c>
      <c r="F302" s="72">
        <v>-0.2</v>
      </c>
      <c r="G302" s="72" t="s">
        <v>44</v>
      </c>
      <c r="H302" s="72" t="s">
        <v>1</v>
      </c>
    </row>
    <row r="303" spans="1:8" x14ac:dyDescent="0.25">
      <c r="A303" s="73">
        <v>43481</v>
      </c>
      <c r="B303" s="72" t="s">
        <v>42</v>
      </c>
      <c r="C303" s="74">
        <v>43481</v>
      </c>
      <c r="D303" s="72" t="s">
        <v>109</v>
      </c>
      <c r="E303" s="72" t="s">
        <v>48</v>
      </c>
      <c r="F303" s="72">
        <v>-0.1</v>
      </c>
      <c r="G303" s="72" t="s">
        <v>44</v>
      </c>
      <c r="H303" s="72" t="s">
        <v>1</v>
      </c>
    </row>
    <row r="304" spans="1:8" x14ac:dyDescent="0.25">
      <c r="A304" s="73">
        <v>43482</v>
      </c>
      <c r="B304" s="72" t="s">
        <v>42</v>
      </c>
      <c r="C304" s="74">
        <v>43482</v>
      </c>
      <c r="D304" s="72" t="s">
        <v>109</v>
      </c>
      <c r="E304" s="72" t="s">
        <v>48</v>
      </c>
      <c r="F304" s="72">
        <v>-0.1</v>
      </c>
      <c r="G304" s="72" t="s">
        <v>44</v>
      </c>
      <c r="H304" s="72" t="s">
        <v>1</v>
      </c>
    </row>
    <row r="305" spans="1:8" x14ac:dyDescent="0.25">
      <c r="A305" s="73">
        <v>43483</v>
      </c>
      <c r="B305" s="72" t="s">
        <v>42</v>
      </c>
      <c r="C305" s="74">
        <v>43483</v>
      </c>
      <c r="D305" s="72" t="s">
        <v>109</v>
      </c>
      <c r="E305" s="72" t="s">
        <v>48</v>
      </c>
      <c r="F305" s="72">
        <v>-0.1</v>
      </c>
      <c r="G305" s="72" t="s">
        <v>44</v>
      </c>
      <c r="H305" s="72" t="s">
        <v>1</v>
      </c>
    </row>
    <row r="306" spans="1:8" x14ac:dyDescent="0.25">
      <c r="A306" s="73">
        <v>43487</v>
      </c>
      <c r="B306" s="72" t="s">
        <v>42</v>
      </c>
      <c r="C306" s="74">
        <v>43487</v>
      </c>
      <c r="D306" s="72" t="s">
        <v>109</v>
      </c>
      <c r="E306" s="72" t="s">
        <v>48</v>
      </c>
      <c r="F306" s="72">
        <v>-0.27</v>
      </c>
      <c r="G306" s="72" t="s">
        <v>44</v>
      </c>
      <c r="H306" s="72" t="s">
        <v>1</v>
      </c>
    </row>
    <row r="307" spans="1:8" x14ac:dyDescent="0.25">
      <c r="A307" s="73">
        <v>43494</v>
      </c>
      <c r="B307" s="72" t="s">
        <v>42</v>
      </c>
      <c r="C307" s="74">
        <v>43494</v>
      </c>
      <c r="D307" s="72" t="s">
        <v>109</v>
      </c>
      <c r="E307" s="72" t="s">
        <v>48</v>
      </c>
      <c r="F307" s="72">
        <v>-0.1</v>
      </c>
      <c r="G307" s="72" t="s">
        <v>44</v>
      </c>
      <c r="H307" s="72" t="s">
        <v>1</v>
      </c>
    </row>
    <row r="308" spans="1:8" x14ac:dyDescent="0.25">
      <c r="A308" s="73">
        <v>43523</v>
      </c>
      <c r="B308" s="72" t="s">
        <v>42</v>
      </c>
      <c r="C308" s="74">
        <v>43497</v>
      </c>
      <c r="D308" s="72" t="s">
        <v>109</v>
      </c>
      <c r="E308" s="72" t="s">
        <v>48</v>
      </c>
      <c r="F308" s="72">
        <v>-15.71</v>
      </c>
      <c r="G308" s="72" t="s">
        <v>44</v>
      </c>
      <c r="H308" s="72" t="s">
        <v>1</v>
      </c>
    </row>
    <row r="309" spans="1:8" x14ac:dyDescent="0.25">
      <c r="A309" s="73">
        <v>43501</v>
      </c>
      <c r="B309" s="72" t="s">
        <v>42</v>
      </c>
      <c r="C309" s="74">
        <v>43501</v>
      </c>
      <c r="D309" s="72" t="s">
        <v>109</v>
      </c>
      <c r="E309" s="72" t="s">
        <v>48</v>
      </c>
      <c r="F309" s="72">
        <v>-3.83</v>
      </c>
      <c r="G309" s="72" t="s">
        <v>44</v>
      </c>
      <c r="H309" s="72" t="s">
        <v>1</v>
      </c>
    </row>
    <row r="310" spans="1:8" x14ac:dyDescent="0.25">
      <c r="A310" s="73">
        <v>43514</v>
      </c>
      <c r="B310" s="72" t="s">
        <v>42</v>
      </c>
      <c r="C310" s="74">
        <v>43514</v>
      </c>
      <c r="D310" s="72" t="s">
        <v>109</v>
      </c>
      <c r="E310" s="72" t="s">
        <v>48</v>
      </c>
      <c r="F310" s="72">
        <v>-3.41</v>
      </c>
      <c r="G310" s="72" t="s">
        <v>44</v>
      </c>
      <c r="H310" s="72" t="s">
        <v>1</v>
      </c>
    </row>
    <row r="311" spans="1:8" x14ac:dyDescent="0.25">
      <c r="A311" s="73">
        <v>43514</v>
      </c>
      <c r="B311" s="72" t="s">
        <v>42</v>
      </c>
      <c r="C311" s="74">
        <v>43514</v>
      </c>
      <c r="D311" s="72" t="s">
        <v>109</v>
      </c>
      <c r="E311" s="72" t="s">
        <v>48</v>
      </c>
      <c r="F311" s="72">
        <v>-3.41</v>
      </c>
      <c r="G311" s="72" t="s">
        <v>44</v>
      </c>
      <c r="H311" s="72" t="s">
        <v>1</v>
      </c>
    </row>
    <row r="312" spans="1:8" x14ac:dyDescent="0.25">
      <c r="A312" s="73">
        <v>43515</v>
      </c>
      <c r="B312" s="72" t="s">
        <v>42</v>
      </c>
      <c r="C312" s="74">
        <v>43515</v>
      </c>
      <c r="D312" s="72" t="s">
        <v>109</v>
      </c>
      <c r="E312" s="72" t="s">
        <v>48</v>
      </c>
      <c r="F312" s="72">
        <v>-20.46</v>
      </c>
      <c r="G312" s="72" t="s">
        <v>44</v>
      </c>
      <c r="H312" s="72" t="s">
        <v>1</v>
      </c>
    </row>
    <row r="313" spans="1:8" x14ac:dyDescent="0.25">
      <c r="A313" s="73">
        <v>43516</v>
      </c>
      <c r="B313" s="72" t="s">
        <v>42</v>
      </c>
      <c r="C313" s="74">
        <v>43516</v>
      </c>
      <c r="D313" s="72" t="s">
        <v>109</v>
      </c>
      <c r="E313" s="72" t="s">
        <v>48</v>
      </c>
      <c r="F313" s="72">
        <v>-3.41</v>
      </c>
      <c r="G313" s="72" t="s">
        <v>44</v>
      </c>
      <c r="H313" s="72" t="s">
        <v>1</v>
      </c>
    </row>
    <row r="314" spans="1:8" x14ac:dyDescent="0.25">
      <c r="A314" s="73">
        <v>43516</v>
      </c>
      <c r="B314" s="72" t="s">
        <v>42</v>
      </c>
      <c r="C314" s="74">
        <v>43516</v>
      </c>
      <c r="D314" s="72" t="s">
        <v>109</v>
      </c>
      <c r="E314" s="72" t="s">
        <v>48</v>
      </c>
      <c r="F314" s="72">
        <v>-3.41</v>
      </c>
      <c r="G314" s="72" t="s">
        <v>44</v>
      </c>
      <c r="H314" s="72" t="s">
        <v>1</v>
      </c>
    </row>
    <row r="315" spans="1:8" x14ac:dyDescent="0.25">
      <c r="A315" s="73">
        <v>43518</v>
      </c>
      <c r="B315" s="72" t="s">
        <v>42</v>
      </c>
      <c r="C315" s="74">
        <v>43518</v>
      </c>
      <c r="D315" s="72" t="s">
        <v>109</v>
      </c>
      <c r="E315" s="72" t="s">
        <v>48</v>
      </c>
      <c r="F315" s="72">
        <v>-6.82</v>
      </c>
      <c r="G315" s="72" t="s">
        <v>44</v>
      </c>
      <c r="H315" s="72" t="s">
        <v>1</v>
      </c>
    </row>
    <row r="316" spans="1:8" x14ac:dyDescent="0.25">
      <c r="A316" s="73">
        <v>43502</v>
      </c>
      <c r="B316" s="72" t="s">
        <v>42</v>
      </c>
      <c r="C316" s="74">
        <v>43502</v>
      </c>
      <c r="D316" s="72" t="s">
        <v>109</v>
      </c>
      <c r="E316" s="72" t="s">
        <v>49</v>
      </c>
      <c r="F316" s="72">
        <v>-7.56</v>
      </c>
      <c r="G316" s="72" t="s">
        <v>44</v>
      </c>
      <c r="H316" s="72" t="s">
        <v>1</v>
      </c>
    </row>
    <row r="317" spans="1:8" x14ac:dyDescent="0.25">
      <c r="A317" s="73">
        <v>43526</v>
      </c>
      <c r="B317" s="72" t="s">
        <v>42</v>
      </c>
      <c r="C317" s="74">
        <v>43525</v>
      </c>
      <c r="D317" s="72" t="s">
        <v>109</v>
      </c>
      <c r="E317" s="72" t="s">
        <v>49</v>
      </c>
      <c r="F317" s="72">
        <v>-7.56</v>
      </c>
      <c r="G317" s="72" t="s">
        <v>44</v>
      </c>
      <c r="H317" s="72" t="s">
        <v>1</v>
      </c>
    </row>
    <row r="318" spans="1:8" x14ac:dyDescent="0.25">
      <c r="A318" s="73">
        <v>43501</v>
      </c>
      <c r="B318" s="72" t="s">
        <v>42</v>
      </c>
      <c r="C318" s="74">
        <v>43501</v>
      </c>
      <c r="D318" s="72" t="s">
        <v>109</v>
      </c>
      <c r="E318" s="72" t="s">
        <v>49</v>
      </c>
      <c r="F318" s="72">
        <v>-23.89</v>
      </c>
      <c r="G318" s="72" t="s">
        <v>44</v>
      </c>
      <c r="H318" s="72" t="s">
        <v>1</v>
      </c>
    </row>
    <row r="319" spans="1:8" x14ac:dyDescent="0.25">
      <c r="A319" s="73">
        <v>43525</v>
      </c>
      <c r="B319" s="72" t="s">
        <v>42</v>
      </c>
      <c r="C319" s="74">
        <v>43525</v>
      </c>
      <c r="D319" s="72" t="s">
        <v>109</v>
      </c>
      <c r="E319" s="72" t="s">
        <v>49</v>
      </c>
      <c r="F319" s="72">
        <v>-23.89</v>
      </c>
      <c r="G319" s="72" t="s">
        <v>44</v>
      </c>
      <c r="H319" s="72" t="s">
        <v>1</v>
      </c>
    </row>
    <row r="320" spans="1:8" x14ac:dyDescent="0.25">
      <c r="A320" s="73">
        <v>43479</v>
      </c>
      <c r="B320" s="72" t="s">
        <v>42</v>
      </c>
      <c r="C320" s="74">
        <v>43479</v>
      </c>
      <c r="D320" s="72" t="s">
        <v>109</v>
      </c>
      <c r="E320" s="72" t="s">
        <v>51</v>
      </c>
      <c r="F320" s="72">
        <v>-1524.92</v>
      </c>
      <c r="G320" s="72" t="s">
        <v>44</v>
      </c>
      <c r="H320" s="72" t="s">
        <v>1</v>
      </c>
    </row>
    <row r="321" spans="1:8" x14ac:dyDescent="0.25">
      <c r="A321" s="73">
        <v>43507</v>
      </c>
      <c r="B321" s="72" t="s">
        <v>42</v>
      </c>
      <c r="C321" s="74">
        <v>43507</v>
      </c>
      <c r="D321" s="72" t="s">
        <v>109</v>
      </c>
      <c r="E321" s="72" t="s">
        <v>51</v>
      </c>
      <c r="F321" s="72">
        <v>-1524.92</v>
      </c>
      <c r="G321" s="72" t="s">
        <v>44</v>
      </c>
      <c r="H321" s="72" t="s">
        <v>1</v>
      </c>
    </row>
    <row r="322" spans="1:8" x14ac:dyDescent="0.25">
      <c r="A322" s="73">
        <v>43536</v>
      </c>
      <c r="B322" s="72" t="s">
        <v>42</v>
      </c>
      <c r="C322" s="74">
        <v>43535</v>
      </c>
      <c r="D322" s="72" t="s">
        <v>109</v>
      </c>
      <c r="E322" s="72" t="s">
        <v>51</v>
      </c>
      <c r="F322" s="72">
        <v>-1524.92</v>
      </c>
      <c r="G322" s="72" t="s">
        <v>44</v>
      </c>
      <c r="H322" s="72" t="s">
        <v>1</v>
      </c>
    </row>
    <row r="323" spans="1:8" x14ac:dyDescent="0.25">
      <c r="A323" s="73">
        <v>43528</v>
      </c>
      <c r="B323" s="72" t="s">
        <v>42</v>
      </c>
      <c r="C323" s="74">
        <v>43528</v>
      </c>
      <c r="D323" s="72" t="s">
        <v>109</v>
      </c>
      <c r="E323" s="72" t="s">
        <v>49</v>
      </c>
      <c r="F323" s="72">
        <v>-30</v>
      </c>
      <c r="G323" s="72" t="s">
        <v>44</v>
      </c>
      <c r="H323" s="72" t="s">
        <v>1</v>
      </c>
    </row>
    <row r="324" spans="1:8" x14ac:dyDescent="0.25">
      <c r="A324" s="73">
        <v>43479</v>
      </c>
      <c r="B324" s="72" t="s">
        <v>76</v>
      </c>
      <c r="C324" s="74">
        <v>43479</v>
      </c>
      <c r="D324" s="72" t="s">
        <v>109</v>
      </c>
      <c r="E324" s="72" t="s">
        <v>48</v>
      </c>
      <c r="F324" s="72">
        <v>-2.31</v>
      </c>
      <c r="G324" s="72" t="s">
        <v>44</v>
      </c>
      <c r="H324" s="72" t="s">
        <v>1</v>
      </c>
    </row>
    <row r="325" spans="1:8" x14ac:dyDescent="0.25">
      <c r="A325" s="73">
        <v>43481</v>
      </c>
      <c r="B325" s="72" t="s">
        <v>76</v>
      </c>
      <c r="C325" s="74">
        <v>43481</v>
      </c>
      <c r="D325" s="72" t="s">
        <v>109</v>
      </c>
      <c r="E325" s="72" t="s">
        <v>48</v>
      </c>
      <c r="F325" s="72">
        <v>-0.09</v>
      </c>
      <c r="G325" s="72" t="s">
        <v>44</v>
      </c>
      <c r="H325" s="72" t="s">
        <v>1</v>
      </c>
    </row>
    <row r="326" spans="1:8" x14ac:dyDescent="0.25">
      <c r="A326" s="73">
        <v>43483</v>
      </c>
      <c r="B326" s="72" t="s">
        <v>76</v>
      </c>
      <c r="C326" s="74">
        <v>43483</v>
      </c>
      <c r="D326" s="72" t="s">
        <v>109</v>
      </c>
      <c r="E326" s="72" t="s">
        <v>48</v>
      </c>
      <c r="F326" s="72">
        <v>-0.44</v>
      </c>
      <c r="G326" s="72" t="s">
        <v>44</v>
      </c>
      <c r="H326" s="72" t="s">
        <v>1</v>
      </c>
    </row>
    <row r="327" spans="1:8" x14ac:dyDescent="0.25">
      <c r="A327" s="73">
        <v>43486</v>
      </c>
      <c r="B327" s="72" t="s">
        <v>76</v>
      </c>
      <c r="C327" s="74">
        <v>43486</v>
      </c>
      <c r="D327" s="72" t="s">
        <v>109</v>
      </c>
      <c r="E327" s="72" t="s">
        <v>48</v>
      </c>
      <c r="F327" s="72">
        <v>-6.61</v>
      </c>
      <c r="G327" s="72" t="s">
        <v>44</v>
      </c>
      <c r="H327" s="72" t="s">
        <v>1</v>
      </c>
    </row>
    <row r="328" spans="1:8" x14ac:dyDescent="0.25">
      <c r="A328" s="73">
        <v>43489</v>
      </c>
      <c r="B328" s="72" t="s">
        <v>76</v>
      </c>
      <c r="C328" s="74">
        <v>43489</v>
      </c>
      <c r="D328" s="72" t="s">
        <v>109</v>
      </c>
      <c r="E328" s="72" t="s">
        <v>48</v>
      </c>
      <c r="F328" s="72">
        <v>-0.67</v>
      </c>
      <c r="G328" s="72" t="s">
        <v>44</v>
      </c>
      <c r="H328" s="72" t="s">
        <v>1</v>
      </c>
    </row>
    <row r="329" spans="1:8" x14ac:dyDescent="0.25">
      <c r="A329" s="73">
        <v>43493</v>
      </c>
      <c r="B329" s="72" t="s">
        <v>76</v>
      </c>
      <c r="C329" s="74">
        <v>43493</v>
      </c>
      <c r="D329" s="72" t="s">
        <v>109</v>
      </c>
      <c r="E329" s="72" t="s">
        <v>48</v>
      </c>
      <c r="F329" s="72">
        <v>-0.82</v>
      </c>
      <c r="G329" s="72" t="s">
        <v>44</v>
      </c>
      <c r="H329" s="72" t="s">
        <v>1</v>
      </c>
    </row>
    <row r="330" spans="1:8" x14ac:dyDescent="0.25">
      <c r="A330" s="73">
        <v>43494</v>
      </c>
      <c r="B330" s="72" t="s">
        <v>76</v>
      </c>
      <c r="C330" s="74">
        <v>43494</v>
      </c>
      <c r="D330" s="72" t="s">
        <v>109</v>
      </c>
      <c r="E330" s="72" t="s">
        <v>48</v>
      </c>
      <c r="F330" s="72">
        <v>-0.1</v>
      </c>
      <c r="G330" s="72" t="s">
        <v>44</v>
      </c>
      <c r="H330" s="72" t="s">
        <v>1</v>
      </c>
    </row>
    <row r="331" spans="1:8" x14ac:dyDescent="0.25">
      <c r="A331" s="73">
        <v>43495</v>
      </c>
      <c r="B331" s="72" t="s">
        <v>76</v>
      </c>
      <c r="C331" s="74">
        <v>43495</v>
      </c>
      <c r="D331" s="72" t="s">
        <v>109</v>
      </c>
      <c r="E331" s="72" t="s">
        <v>48</v>
      </c>
      <c r="F331" s="72">
        <v>-6.9</v>
      </c>
      <c r="G331" s="72" t="s">
        <v>44</v>
      </c>
      <c r="H331" s="72" t="s">
        <v>1</v>
      </c>
    </row>
    <row r="332" spans="1:8" x14ac:dyDescent="0.25">
      <c r="A332" s="73">
        <v>43496</v>
      </c>
      <c r="B332" s="72" t="s">
        <v>76</v>
      </c>
      <c r="C332" s="74">
        <v>43496</v>
      </c>
      <c r="D332" s="72" t="s">
        <v>109</v>
      </c>
      <c r="E332" s="72" t="s">
        <v>48</v>
      </c>
      <c r="F332" s="72">
        <v>-1.2</v>
      </c>
      <c r="G332" s="72" t="s">
        <v>44</v>
      </c>
      <c r="H332" s="72" t="s">
        <v>1</v>
      </c>
    </row>
    <row r="333" spans="1:8" x14ac:dyDescent="0.25">
      <c r="A333" s="73">
        <v>43500</v>
      </c>
      <c r="B333" s="72" t="s">
        <v>76</v>
      </c>
      <c r="C333" s="74">
        <v>43500</v>
      </c>
      <c r="D333" s="72" t="s">
        <v>109</v>
      </c>
      <c r="E333" s="72" t="s">
        <v>48</v>
      </c>
      <c r="F333" s="72">
        <v>-0.49</v>
      </c>
      <c r="G333" s="72" t="s">
        <v>44</v>
      </c>
      <c r="H333" s="72" t="s">
        <v>1</v>
      </c>
    </row>
    <row r="334" spans="1:8" x14ac:dyDescent="0.25">
      <c r="A334" s="73">
        <v>43501</v>
      </c>
      <c r="B334" s="72" t="s">
        <v>76</v>
      </c>
      <c r="C334" s="74">
        <v>43501</v>
      </c>
      <c r="D334" s="72" t="s">
        <v>109</v>
      </c>
      <c r="E334" s="72" t="s">
        <v>48</v>
      </c>
      <c r="F334" s="72">
        <v>-1.86</v>
      </c>
      <c r="G334" s="72" t="s">
        <v>44</v>
      </c>
      <c r="H334" s="72" t="s">
        <v>1</v>
      </c>
    </row>
    <row r="335" spans="1:8" x14ac:dyDescent="0.25">
      <c r="A335" s="73">
        <v>43503</v>
      </c>
      <c r="B335" s="72" t="s">
        <v>76</v>
      </c>
      <c r="C335" s="74">
        <v>43503</v>
      </c>
      <c r="D335" s="72" t="s">
        <v>109</v>
      </c>
      <c r="E335" s="72" t="s">
        <v>48</v>
      </c>
      <c r="F335" s="72">
        <v>-3.47</v>
      </c>
      <c r="G335" s="72" t="s">
        <v>44</v>
      </c>
      <c r="H335" s="72" t="s">
        <v>1</v>
      </c>
    </row>
    <row r="336" spans="1:8" x14ac:dyDescent="0.25">
      <c r="A336" s="73">
        <v>43504</v>
      </c>
      <c r="B336" s="72" t="s">
        <v>76</v>
      </c>
      <c r="C336" s="74">
        <v>43504</v>
      </c>
      <c r="D336" s="72" t="s">
        <v>109</v>
      </c>
      <c r="E336" s="72" t="s">
        <v>48</v>
      </c>
      <c r="F336" s="72">
        <v>-1.21</v>
      </c>
      <c r="G336" s="72" t="s">
        <v>44</v>
      </c>
      <c r="H336" s="72" t="s">
        <v>1</v>
      </c>
    </row>
    <row r="337" spans="1:8" x14ac:dyDescent="0.25">
      <c r="A337" s="73">
        <v>43507</v>
      </c>
      <c r="B337" s="72" t="s">
        <v>76</v>
      </c>
      <c r="C337" s="74">
        <v>43507</v>
      </c>
      <c r="D337" s="72" t="s">
        <v>109</v>
      </c>
      <c r="E337" s="72" t="s">
        <v>48</v>
      </c>
      <c r="F337" s="72">
        <v>-2.33</v>
      </c>
      <c r="G337" s="72" t="s">
        <v>44</v>
      </c>
      <c r="H337" s="72" t="s">
        <v>1</v>
      </c>
    </row>
    <row r="338" spans="1:8" x14ac:dyDescent="0.25">
      <c r="A338" s="73">
        <v>43511</v>
      </c>
      <c r="B338" s="72" t="s">
        <v>76</v>
      </c>
      <c r="C338" s="74">
        <v>43511</v>
      </c>
      <c r="D338" s="72" t="s">
        <v>109</v>
      </c>
      <c r="E338" s="72" t="s">
        <v>48</v>
      </c>
      <c r="F338" s="72">
        <v>-1.78</v>
      </c>
      <c r="G338" s="72" t="s">
        <v>44</v>
      </c>
      <c r="H338" s="72" t="s">
        <v>1</v>
      </c>
    </row>
    <row r="339" spans="1:8" x14ac:dyDescent="0.25">
      <c r="A339" s="73">
        <v>43511</v>
      </c>
      <c r="B339" s="72" t="s">
        <v>76</v>
      </c>
      <c r="C339" s="74">
        <v>43511</v>
      </c>
      <c r="D339" s="72" t="s">
        <v>109</v>
      </c>
      <c r="E339" s="72" t="s">
        <v>48</v>
      </c>
      <c r="F339" s="72">
        <v>-0.22</v>
      </c>
      <c r="G339" s="72" t="s">
        <v>44</v>
      </c>
      <c r="H339" s="72" t="s">
        <v>1</v>
      </c>
    </row>
    <row r="340" spans="1:8" x14ac:dyDescent="0.25">
      <c r="A340" s="73">
        <v>43516</v>
      </c>
      <c r="B340" s="72" t="s">
        <v>76</v>
      </c>
      <c r="C340" s="74">
        <v>43516</v>
      </c>
      <c r="D340" s="72" t="s">
        <v>109</v>
      </c>
      <c r="E340" s="72" t="s">
        <v>48</v>
      </c>
      <c r="F340" s="72">
        <v>-6.84</v>
      </c>
      <c r="G340" s="72" t="s">
        <v>44</v>
      </c>
      <c r="H340" s="72" t="s">
        <v>1</v>
      </c>
    </row>
    <row r="341" spans="1:8" x14ac:dyDescent="0.25">
      <c r="A341" s="73">
        <v>43539</v>
      </c>
      <c r="B341" s="72" t="s">
        <v>58</v>
      </c>
      <c r="C341" s="74">
        <v>43497</v>
      </c>
      <c r="D341" s="72" t="s">
        <v>109</v>
      </c>
      <c r="E341" s="72" t="s">
        <v>46</v>
      </c>
      <c r="F341" s="72">
        <v>25219</v>
      </c>
      <c r="G341" s="72" t="s">
        <v>47</v>
      </c>
      <c r="H341" s="72"/>
    </row>
    <row r="342" spans="1:8" x14ac:dyDescent="0.25">
      <c r="A342" s="73">
        <v>43538</v>
      </c>
      <c r="B342" s="72" t="s">
        <v>58</v>
      </c>
      <c r="C342" s="74">
        <v>43497</v>
      </c>
      <c r="D342" s="72" t="s">
        <v>109</v>
      </c>
      <c r="E342" s="72" t="s">
        <v>46</v>
      </c>
      <c r="F342" s="72">
        <v>67853</v>
      </c>
      <c r="G342" s="72" t="s">
        <v>47</v>
      </c>
      <c r="H342" s="72" t="s">
        <v>1</v>
      </c>
    </row>
    <row r="343" spans="1:8" x14ac:dyDescent="0.25">
      <c r="A343" s="73">
        <v>43521</v>
      </c>
      <c r="B343" s="72" t="s">
        <v>45</v>
      </c>
      <c r="C343" s="74">
        <v>43521</v>
      </c>
      <c r="D343" s="72" t="s">
        <v>109</v>
      </c>
      <c r="E343" s="72" t="s">
        <v>46</v>
      </c>
      <c r="F343" s="72">
        <v>500</v>
      </c>
      <c r="G343" s="72" t="s">
        <v>47</v>
      </c>
      <c r="H343" s="72" t="s">
        <v>1</v>
      </c>
    </row>
    <row r="344" spans="1:8" x14ac:dyDescent="0.25">
      <c r="A344" s="73">
        <v>43538</v>
      </c>
      <c r="B344" s="72" t="s">
        <v>42</v>
      </c>
      <c r="C344" s="74">
        <v>43497</v>
      </c>
      <c r="D344" s="72" t="s">
        <v>109</v>
      </c>
      <c r="E344" s="72" t="s">
        <v>62</v>
      </c>
      <c r="F344" s="72">
        <v>-2962.28</v>
      </c>
      <c r="G344" s="72"/>
      <c r="H344" s="72"/>
    </row>
    <row r="345" spans="1:8" x14ac:dyDescent="0.25">
      <c r="A345" s="73">
        <v>43531</v>
      </c>
      <c r="B345" s="72" t="s">
        <v>42</v>
      </c>
      <c r="C345" s="74">
        <v>43500</v>
      </c>
      <c r="D345" s="72" t="s">
        <v>109</v>
      </c>
      <c r="E345" s="72" t="s">
        <v>62</v>
      </c>
      <c r="F345" s="72">
        <v>-601.20000000000005</v>
      </c>
      <c r="G345" s="72" t="s">
        <v>44</v>
      </c>
      <c r="H345" s="72" t="s">
        <v>1</v>
      </c>
    </row>
    <row r="346" spans="1:8" x14ac:dyDescent="0.25">
      <c r="A346" s="73">
        <v>43558</v>
      </c>
      <c r="B346" s="72" t="s">
        <v>42</v>
      </c>
      <c r="C346" s="74">
        <v>43530</v>
      </c>
      <c r="D346" s="72" t="s">
        <v>109</v>
      </c>
      <c r="E346" s="72" t="s">
        <v>62</v>
      </c>
      <c r="F346" s="72">
        <v>-3406.37</v>
      </c>
      <c r="G346" s="72"/>
      <c r="H346" s="72"/>
    </row>
    <row r="347" spans="1:8" x14ac:dyDescent="0.25">
      <c r="A347" s="73">
        <v>43473</v>
      </c>
      <c r="B347" s="72" t="s">
        <v>42</v>
      </c>
      <c r="C347" s="74">
        <v>43473</v>
      </c>
      <c r="D347" s="72" t="s">
        <v>109</v>
      </c>
      <c r="E347" s="72" t="s">
        <v>70</v>
      </c>
      <c r="F347" s="72">
        <v>-788.84</v>
      </c>
      <c r="G347" s="72" t="s">
        <v>44</v>
      </c>
      <c r="H347" s="72"/>
    </row>
    <row r="348" spans="1:8" x14ac:dyDescent="0.25">
      <c r="A348" s="73">
        <v>43501</v>
      </c>
      <c r="B348" s="72" t="s">
        <v>42</v>
      </c>
      <c r="C348" s="74">
        <v>43501</v>
      </c>
      <c r="D348" s="72" t="s">
        <v>109</v>
      </c>
      <c r="E348" s="72" t="s">
        <v>70</v>
      </c>
      <c r="F348" s="72">
        <v>-788.84</v>
      </c>
      <c r="G348" s="72" t="s">
        <v>44</v>
      </c>
      <c r="H348" s="72"/>
    </row>
    <row r="349" spans="1:8" x14ac:dyDescent="0.25">
      <c r="A349" s="73">
        <v>43529</v>
      </c>
      <c r="B349" s="72" t="s">
        <v>42</v>
      </c>
      <c r="C349" s="74">
        <v>43529</v>
      </c>
      <c r="D349" s="72" t="s">
        <v>109</v>
      </c>
      <c r="E349" s="72" t="s">
        <v>70</v>
      </c>
      <c r="F349" s="72">
        <v>-788.84</v>
      </c>
      <c r="G349" s="72" t="s">
        <v>44</v>
      </c>
      <c r="H349" s="72"/>
    </row>
    <row r="350" spans="1:8" x14ac:dyDescent="0.25">
      <c r="A350" s="73">
        <v>43507</v>
      </c>
      <c r="B350" s="72" t="s">
        <v>45</v>
      </c>
      <c r="C350" s="74">
        <v>43496</v>
      </c>
      <c r="D350" s="72" t="s">
        <v>109</v>
      </c>
      <c r="E350" s="72" t="s">
        <v>62</v>
      </c>
      <c r="F350" s="72">
        <v>-540</v>
      </c>
      <c r="G350" s="72" t="s">
        <v>44</v>
      </c>
      <c r="H350" s="72"/>
    </row>
    <row r="351" spans="1:8" x14ac:dyDescent="0.25">
      <c r="A351" s="73">
        <v>43539</v>
      </c>
      <c r="B351" s="72" t="s">
        <v>60</v>
      </c>
      <c r="C351" s="74">
        <v>43486</v>
      </c>
      <c r="D351" s="72" t="s">
        <v>109</v>
      </c>
      <c r="E351" s="72" t="s">
        <v>46</v>
      </c>
      <c r="F351" s="72">
        <v>4778.24</v>
      </c>
      <c r="G351" s="72" t="s">
        <v>47</v>
      </c>
      <c r="H351" s="72"/>
    </row>
    <row r="352" spans="1:8" x14ac:dyDescent="0.25">
      <c r="A352" s="73">
        <v>43528</v>
      </c>
      <c r="B352" s="72" t="s">
        <v>76</v>
      </c>
      <c r="C352" s="74">
        <v>43525</v>
      </c>
      <c r="D352" s="72" t="s">
        <v>109</v>
      </c>
      <c r="E352" s="72" t="s">
        <v>46</v>
      </c>
      <c r="F352" s="72">
        <v>90.65</v>
      </c>
      <c r="G352" s="72" t="s">
        <v>47</v>
      </c>
      <c r="H352" s="72" t="s">
        <v>1</v>
      </c>
    </row>
    <row r="353" spans="1:8" x14ac:dyDescent="0.25">
      <c r="A353" s="73">
        <v>43551</v>
      </c>
      <c r="B353" s="72" t="s">
        <v>45</v>
      </c>
      <c r="C353" s="74">
        <v>43497</v>
      </c>
      <c r="D353" s="72" t="s">
        <v>109</v>
      </c>
      <c r="E353" s="72" t="s">
        <v>66</v>
      </c>
      <c r="F353" s="72">
        <v>-717.48</v>
      </c>
      <c r="G353" s="72"/>
      <c r="H353" s="72"/>
    </row>
    <row r="354" spans="1:8" x14ac:dyDescent="0.25">
      <c r="A354" s="73">
        <v>43500</v>
      </c>
      <c r="B354" s="72" t="s">
        <v>45</v>
      </c>
      <c r="C354" s="74">
        <v>43476</v>
      </c>
      <c r="D354" s="72" t="s">
        <v>109</v>
      </c>
      <c r="E354" s="72" t="s">
        <v>55</v>
      </c>
      <c r="F354" s="72">
        <v>-2516.85</v>
      </c>
      <c r="G354" s="72" t="s">
        <v>44</v>
      </c>
      <c r="H354" s="72" t="s">
        <v>1</v>
      </c>
    </row>
    <row r="355" spans="1:8" x14ac:dyDescent="0.25">
      <c r="A355" s="73">
        <v>43524</v>
      </c>
      <c r="B355" s="72" t="s">
        <v>45</v>
      </c>
      <c r="C355" s="74">
        <v>43507</v>
      </c>
      <c r="D355" s="72" t="s">
        <v>109</v>
      </c>
      <c r="E355" s="72" t="s">
        <v>55</v>
      </c>
      <c r="F355" s="72">
        <v>-2498.75</v>
      </c>
      <c r="G355" s="72" t="s">
        <v>44</v>
      </c>
      <c r="H355" s="72" t="s">
        <v>1</v>
      </c>
    </row>
    <row r="356" spans="1:8" x14ac:dyDescent="0.25">
      <c r="A356" s="73">
        <v>43551</v>
      </c>
      <c r="B356" s="72" t="s">
        <v>45</v>
      </c>
      <c r="C356" s="74">
        <v>43536</v>
      </c>
      <c r="D356" s="72" t="s">
        <v>109</v>
      </c>
      <c r="E356" s="72" t="s">
        <v>55</v>
      </c>
      <c r="F356" s="72">
        <v>-2518.29</v>
      </c>
      <c r="G356" s="72"/>
      <c r="H356" s="72"/>
    </row>
    <row r="357" spans="1:8" x14ac:dyDescent="0.25">
      <c r="A357" s="73">
        <v>43475</v>
      </c>
      <c r="B357" s="72" t="s">
        <v>76</v>
      </c>
      <c r="C357" s="74">
        <v>43475</v>
      </c>
      <c r="D357" s="72" t="s">
        <v>109</v>
      </c>
      <c r="E357" s="72" t="s">
        <v>79</v>
      </c>
      <c r="F357" s="72">
        <v>-228.84</v>
      </c>
      <c r="G357" s="72" t="s">
        <v>44</v>
      </c>
      <c r="H357" s="72"/>
    </row>
    <row r="358" spans="1:8" x14ac:dyDescent="0.25">
      <c r="A358" s="73">
        <v>43479</v>
      </c>
      <c r="B358" s="72" t="s">
        <v>76</v>
      </c>
      <c r="C358" s="74">
        <v>43479</v>
      </c>
      <c r="D358" s="72" t="s">
        <v>109</v>
      </c>
      <c r="E358" s="72" t="s">
        <v>79</v>
      </c>
      <c r="F358" s="72">
        <v>-214.3</v>
      </c>
      <c r="G358" s="72" t="s">
        <v>44</v>
      </c>
      <c r="H358" s="72"/>
    </row>
    <row r="359" spans="1:8" x14ac:dyDescent="0.25">
      <c r="A359" s="73">
        <v>43480</v>
      </c>
      <c r="B359" s="72" t="s">
        <v>76</v>
      </c>
      <c r="C359" s="74">
        <v>43480</v>
      </c>
      <c r="D359" s="72" t="s">
        <v>109</v>
      </c>
      <c r="E359" s="72" t="s">
        <v>79</v>
      </c>
      <c r="F359" s="72">
        <v>-268.57</v>
      </c>
      <c r="G359" s="72" t="s">
        <v>44</v>
      </c>
      <c r="H359" s="72"/>
    </row>
    <row r="360" spans="1:8" x14ac:dyDescent="0.25">
      <c r="A360" s="73">
        <v>43483</v>
      </c>
      <c r="B360" s="72" t="s">
        <v>76</v>
      </c>
      <c r="C360" s="74">
        <v>43483</v>
      </c>
      <c r="D360" s="72" t="s">
        <v>109</v>
      </c>
      <c r="E360" s="72" t="s">
        <v>79</v>
      </c>
      <c r="F360" s="72">
        <v>-282.35000000000002</v>
      </c>
      <c r="G360" s="72" t="s">
        <v>44</v>
      </c>
      <c r="H360" s="72"/>
    </row>
    <row r="361" spans="1:8" x14ac:dyDescent="0.25">
      <c r="A361" s="73">
        <v>43487</v>
      </c>
      <c r="B361" s="72" t="s">
        <v>76</v>
      </c>
      <c r="C361" s="74">
        <v>43487</v>
      </c>
      <c r="D361" s="72" t="s">
        <v>109</v>
      </c>
      <c r="E361" s="72" t="s">
        <v>79</v>
      </c>
      <c r="F361" s="72">
        <v>-270.94</v>
      </c>
      <c r="G361" s="72" t="s">
        <v>44</v>
      </c>
      <c r="H361" s="72"/>
    </row>
    <row r="362" spans="1:8" x14ac:dyDescent="0.25">
      <c r="A362" s="73">
        <v>43490</v>
      </c>
      <c r="B362" s="72" t="s">
        <v>76</v>
      </c>
      <c r="C362" s="74">
        <v>43490</v>
      </c>
      <c r="D362" s="72" t="s">
        <v>109</v>
      </c>
      <c r="E362" s="72" t="s">
        <v>79</v>
      </c>
      <c r="F362" s="72">
        <v>-268.37</v>
      </c>
      <c r="G362" s="72" t="s">
        <v>44</v>
      </c>
      <c r="H362" s="72"/>
    </row>
    <row r="363" spans="1:8" x14ac:dyDescent="0.25">
      <c r="A363" s="73">
        <v>43495</v>
      </c>
      <c r="B363" s="72" t="s">
        <v>76</v>
      </c>
      <c r="C363" s="74">
        <v>43495</v>
      </c>
      <c r="D363" s="72" t="s">
        <v>109</v>
      </c>
      <c r="E363" s="72" t="s">
        <v>79</v>
      </c>
      <c r="F363" s="72">
        <v>-274.37</v>
      </c>
      <c r="G363" s="72" t="s">
        <v>44</v>
      </c>
      <c r="H363" s="72"/>
    </row>
    <row r="364" spans="1:8" x14ac:dyDescent="0.25">
      <c r="A364" s="73">
        <v>43500</v>
      </c>
      <c r="B364" s="72" t="s">
        <v>76</v>
      </c>
      <c r="C364" s="74">
        <v>43500</v>
      </c>
      <c r="D364" s="72" t="s">
        <v>109</v>
      </c>
      <c r="E364" s="72" t="s">
        <v>79</v>
      </c>
      <c r="F364" s="72">
        <v>-327.04000000000002</v>
      </c>
      <c r="G364" s="72" t="s">
        <v>44</v>
      </c>
      <c r="H364" s="72"/>
    </row>
    <row r="365" spans="1:8" x14ac:dyDescent="0.25">
      <c r="A365" s="73">
        <v>43502</v>
      </c>
      <c r="B365" s="72" t="s">
        <v>76</v>
      </c>
      <c r="C365" s="74">
        <v>43502</v>
      </c>
      <c r="D365" s="72" t="s">
        <v>109</v>
      </c>
      <c r="E365" s="72" t="s">
        <v>79</v>
      </c>
      <c r="F365" s="72">
        <v>-261.81</v>
      </c>
      <c r="G365" s="72" t="s">
        <v>44</v>
      </c>
      <c r="H365" s="72"/>
    </row>
    <row r="366" spans="1:8" x14ac:dyDescent="0.25">
      <c r="A366" s="73">
        <v>43507</v>
      </c>
      <c r="B366" s="72" t="s">
        <v>76</v>
      </c>
      <c r="C366" s="74">
        <v>43507</v>
      </c>
      <c r="D366" s="72" t="s">
        <v>109</v>
      </c>
      <c r="E366" s="72" t="s">
        <v>79</v>
      </c>
      <c r="F366" s="72">
        <v>-318.24</v>
      </c>
      <c r="G366" s="72" t="s">
        <v>44</v>
      </c>
      <c r="H366" s="72"/>
    </row>
    <row r="367" spans="1:8" x14ac:dyDescent="0.25">
      <c r="A367" s="73">
        <v>43509</v>
      </c>
      <c r="B367" s="72" t="s">
        <v>76</v>
      </c>
      <c r="C367" s="74">
        <v>43509</v>
      </c>
      <c r="D367" s="72" t="s">
        <v>109</v>
      </c>
      <c r="E367" s="72" t="s">
        <v>79</v>
      </c>
      <c r="F367" s="72">
        <v>-270.45999999999998</v>
      </c>
      <c r="G367" s="72" t="s">
        <v>44</v>
      </c>
      <c r="H367" s="72"/>
    </row>
    <row r="368" spans="1:8" x14ac:dyDescent="0.25">
      <c r="A368" s="73">
        <v>43514</v>
      </c>
      <c r="B368" s="72" t="s">
        <v>76</v>
      </c>
      <c r="C368" s="74">
        <v>43514</v>
      </c>
      <c r="D368" s="72" t="s">
        <v>109</v>
      </c>
      <c r="E368" s="72" t="s">
        <v>79</v>
      </c>
      <c r="F368" s="72">
        <v>-325.02999999999997</v>
      </c>
      <c r="G368" s="72" t="s">
        <v>44</v>
      </c>
      <c r="H368" s="72"/>
    </row>
    <row r="369" spans="1:8" x14ac:dyDescent="0.25">
      <c r="A369" s="73">
        <v>43516</v>
      </c>
      <c r="B369" s="72" t="s">
        <v>76</v>
      </c>
      <c r="C369" s="74">
        <v>43516</v>
      </c>
      <c r="D369" s="72" t="s">
        <v>109</v>
      </c>
      <c r="E369" s="72" t="s">
        <v>79</v>
      </c>
      <c r="F369" s="72">
        <v>-273.41000000000003</v>
      </c>
      <c r="G369" s="72" t="s">
        <v>44</v>
      </c>
      <c r="H369" s="72"/>
    </row>
    <row r="370" spans="1:8" x14ac:dyDescent="0.25">
      <c r="A370" s="73">
        <v>43518</v>
      </c>
      <c r="B370" s="72" t="s">
        <v>76</v>
      </c>
      <c r="C370" s="74">
        <v>43521</v>
      </c>
      <c r="D370" s="72" t="s">
        <v>109</v>
      </c>
      <c r="E370" s="72" t="s">
        <v>79</v>
      </c>
      <c r="F370" s="72">
        <v>-316.49</v>
      </c>
      <c r="G370" s="72" t="s">
        <v>44</v>
      </c>
      <c r="H370" s="72"/>
    </row>
    <row r="371" spans="1:8" x14ac:dyDescent="0.25">
      <c r="A371" s="73">
        <v>43522</v>
      </c>
      <c r="B371" s="72" t="s">
        <v>76</v>
      </c>
      <c r="C371" s="74">
        <v>43521</v>
      </c>
      <c r="D371" s="72" t="s">
        <v>109</v>
      </c>
      <c r="E371" s="72" t="s">
        <v>79</v>
      </c>
      <c r="F371" s="72">
        <v>-240.13</v>
      </c>
      <c r="G371" s="72" t="s">
        <v>44</v>
      </c>
      <c r="H371" s="72"/>
    </row>
    <row r="372" spans="1:8" x14ac:dyDescent="0.25">
      <c r="A372" s="73">
        <v>43524</v>
      </c>
      <c r="B372" s="72" t="s">
        <v>76</v>
      </c>
      <c r="C372" s="74">
        <v>43521</v>
      </c>
      <c r="D372" s="72" t="s">
        <v>109</v>
      </c>
      <c r="E372" s="72" t="s">
        <v>79</v>
      </c>
      <c r="F372" s="72">
        <v>-258.33999999999997</v>
      </c>
      <c r="G372" s="72" t="s">
        <v>44</v>
      </c>
      <c r="H372" s="72"/>
    </row>
    <row r="373" spans="1:8" x14ac:dyDescent="0.25">
      <c r="A373" s="73">
        <v>43529</v>
      </c>
      <c r="B373" s="72" t="s">
        <v>76</v>
      </c>
      <c r="C373" s="74">
        <v>43525</v>
      </c>
      <c r="D373" s="72" t="s">
        <v>109</v>
      </c>
      <c r="E373" s="72" t="s">
        <v>79</v>
      </c>
      <c r="F373" s="72">
        <v>-269.63</v>
      </c>
      <c r="G373" s="72" t="s">
        <v>44</v>
      </c>
      <c r="H373" s="72"/>
    </row>
    <row r="374" spans="1:8" x14ac:dyDescent="0.25">
      <c r="A374" s="73">
        <v>43531</v>
      </c>
      <c r="B374" s="72" t="s">
        <v>76</v>
      </c>
      <c r="C374" s="74">
        <v>43525</v>
      </c>
      <c r="D374" s="72" t="s">
        <v>109</v>
      </c>
      <c r="E374" s="72" t="s">
        <v>79</v>
      </c>
      <c r="F374" s="72">
        <v>-272.68</v>
      </c>
      <c r="G374" s="72" t="s">
        <v>44</v>
      </c>
      <c r="H374" s="72"/>
    </row>
    <row r="375" spans="1:8" x14ac:dyDescent="0.25">
      <c r="A375" s="73">
        <v>43504</v>
      </c>
      <c r="B375" s="72" t="s">
        <v>76</v>
      </c>
      <c r="C375" s="74">
        <v>43504</v>
      </c>
      <c r="D375" s="72" t="s">
        <v>109</v>
      </c>
      <c r="E375" s="72" t="s">
        <v>79</v>
      </c>
      <c r="F375" s="72">
        <v>-20</v>
      </c>
      <c r="G375" s="72" t="s">
        <v>44</v>
      </c>
      <c r="H375" s="72"/>
    </row>
    <row r="376" spans="1:8" x14ac:dyDescent="0.25">
      <c r="A376" s="73">
        <v>43517</v>
      </c>
      <c r="B376" s="72" t="s">
        <v>76</v>
      </c>
      <c r="C376" s="74">
        <v>43517</v>
      </c>
      <c r="D376" s="72" t="s">
        <v>109</v>
      </c>
      <c r="E376" s="72" t="s">
        <v>79</v>
      </c>
      <c r="F376" s="72">
        <v>-20</v>
      </c>
      <c r="G376" s="72" t="s">
        <v>44</v>
      </c>
      <c r="H376" s="72"/>
    </row>
    <row r="377" spans="1:8" x14ac:dyDescent="0.25">
      <c r="A377" s="73">
        <v>43473</v>
      </c>
      <c r="B377" s="72" t="s">
        <v>76</v>
      </c>
      <c r="C377" s="74">
        <v>43473</v>
      </c>
      <c r="D377" s="72" t="s">
        <v>109</v>
      </c>
      <c r="E377" s="72" t="s">
        <v>79</v>
      </c>
      <c r="F377" s="72">
        <v>-5.8</v>
      </c>
      <c r="G377" s="72" t="s">
        <v>44</v>
      </c>
      <c r="H377" s="72"/>
    </row>
    <row r="378" spans="1:8" x14ac:dyDescent="0.25">
      <c r="A378" s="73">
        <v>43479</v>
      </c>
      <c r="B378" s="72" t="s">
        <v>76</v>
      </c>
      <c r="C378" s="74">
        <v>43479</v>
      </c>
      <c r="D378" s="72" t="s">
        <v>109</v>
      </c>
      <c r="E378" s="72" t="s">
        <v>79</v>
      </c>
      <c r="F378" s="72">
        <v>-11.6</v>
      </c>
      <c r="G378" s="72" t="s">
        <v>44</v>
      </c>
      <c r="H378" s="72"/>
    </row>
    <row r="379" spans="1:8" x14ac:dyDescent="0.25">
      <c r="A379" s="73">
        <v>43480</v>
      </c>
      <c r="B379" s="72" t="s">
        <v>76</v>
      </c>
      <c r="C379" s="74">
        <v>43480</v>
      </c>
      <c r="D379" s="72" t="s">
        <v>109</v>
      </c>
      <c r="E379" s="72" t="s">
        <v>79</v>
      </c>
      <c r="F379" s="72">
        <v>-11.6</v>
      </c>
      <c r="G379" s="72" t="s">
        <v>44</v>
      </c>
      <c r="H379" s="72"/>
    </row>
    <row r="380" spans="1:8" x14ac:dyDescent="0.25">
      <c r="A380" s="73">
        <v>43481</v>
      </c>
      <c r="B380" s="72" t="s">
        <v>76</v>
      </c>
      <c r="C380" s="74">
        <v>43481</v>
      </c>
      <c r="D380" s="72" t="s">
        <v>109</v>
      </c>
      <c r="E380" s="72" t="s">
        <v>79</v>
      </c>
      <c r="F380" s="72">
        <v>-5.8</v>
      </c>
      <c r="G380" s="72" t="s">
        <v>44</v>
      </c>
      <c r="H380" s="72"/>
    </row>
    <row r="381" spans="1:8" x14ac:dyDescent="0.25">
      <c r="A381" s="73">
        <v>43482</v>
      </c>
      <c r="B381" s="72" t="s">
        <v>76</v>
      </c>
      <c r="C381" s="74">
        <v>43482</v>
      </c>
      <c r="D381" s="72" t="s">
        <v>109</v>
      </c>
      <c r="E381" s="72" t="s">
        <v>79</v>
      </c>
      <c r="F381" s="72">
        <v>-5.8</v>
      </c>
      <c r="G381" s="72" t="s">
        <v>44</v>
      </c>
      <c r="H381" s="72"/>
    </row>
    <row r="382" spans="1:8" x14ac:dyDescent="0.25">
      <c r="A382" s="73">
        <v>43483</v>
      </c>
      <c r="B382" s="72" t="s">
        <v>76</v>
      </c>
      <c r="C382" s="74">
        <v>43483</v>
      </c>
      <c r="D382" s="72" t="s">
        <v>109</v>
      </c>
      <c r="E382" s="72" t="s">
        <v>79</v>
      </c>
      <c r="F382" s="72">
        <v>-11.6</v>
      </c>
      <c r="G382" s="72" t="s">
        <v>44</v>
      </c>
      <c r="H382" s="72"/>
    </row>
    <row r="383" spans="1:8" x14ac:dyDescent="0.25">
      <c r="A383" s="73">
        <v>43486</v>
      </c>
      <c r="B383" s="72" t="s">
        <v>76</v>
      </c>
      <c r="C383" s="74">
        <v>43486</v>
      </c>
      <c r="D383" s="72" t="s">
        <v>109</v>
      </c>
      <c r="E383" s="72" t="s">
        <v>79</v>
      </c>
      <c r="F383" s="72">
        <v>-5.8</v>
      </c>
      <c r="G383" s="72" t="s">
        <v>44</v>
      </c>
      <c r="H383" s="72"/>
    </row>
    <row r="384" spans="1:8" x14ac:dyDescent="0.25">
      <c r="A384" s="73">
        <v>43489</v>
      </c>
      <c r="B384" s="72" t="s">
        <v>76</v>
      </c>
      <c r="C384" s="74">
        <v>43489</v>
      </c>
      <c r="D384" s="72" t="s">
        <v>109</v>
      </c>
      <c r="E384" s="72" t="s">
        <v>79</v>
      </c>
      <c r="F384" s="72">
        <v>-9</v>
      </c>
      <c r="G384" s="72" t="s">
        <v>44</v>
      </c>
      <c r="H384" s="72"/>
    </row>
    <row r="385" spans="1:8" x14ac:dyDescent="0.25">
      <c r="A385" s="73">
        <v>43489</v>
      </c>
      <c r="B385" s="72" t="s">
        <v>76</v>
      </c>
      <c r="C385" s="74">
        <v>43489</v>
      </c>
      <c r="D385" s="72" t="s">
        <v>109</v>
      </c>
      <c r="E385" s="72" t="s">
        <v>79</v>
      </c>
      <c r="F385" s="72">
        <v>-9</v>
      </c>
      <c r="G385" s="72" t="s">
        <v>44</v>
      </c>
      <c r="H385" s="72"/>
    </row>
    <row r="386" spans="1:8" x14ac:dyDescent="0.25">
      <c r="A386" s="73">
        <v>43493</v>
      </c>
      <c r="B386" s="72" t="s">
        <v>76</v>
      </c>
      <c r="C386" s="74">
        <v>43493</v>
      </c>
      <c r="D386" s="72" t="s">
        <v>109</v>
      </c>
      <c r="E386" s="72" t="s">
        <v>79</v>
      </c>
      <c r="F386" s="72">
        <v>-11.6</v>
      </c>
      <c r="G386" s="72" t="s">
        <v>44</v>
      </c>
      <c r="H386" s="72"/>
    </row>
    <row r="387" spans="1:8" x14ac:dyDescent="0.25">
      <c r="A387" s="73">
        <v>43496</v>
      </c>
      <c r="B387" s="72" t="s">
        <v>76</v>
      </c>
      <c r="C387" s="74">
        <v>43496</v>
      </c>
      <c r="D387" s="72" t="s">
        <v>109</v>
      </c>
      <c r="E387" s="72" t="s">
        <v>79</v>
      </c>
      <c r="F387" s="72">
        <v>-22.2</v>
      </c>
      <c r="G387" s="72" t="s">
        <v>44</v>
      </c>
      <c r="H387" s="72"/>
    </row>
    <row r="388" spans="1:8" x14ac:dyDescent="0.25">
      <c r="A388" s="73">
        <v>43496</v>
      </c>
      <c r="B388" s="72" t="s">
        <v>76</v>
      </c>
      <c r="C388" s="74">
        <v>43496</v>
      </c>
      <c r="D388" s="72" t="s">
        <v>109</v>
      </c>
      <c r="E388" s="72" t="s">
        <v>79</v>
      </c>
      <c r="F388" s="72">
        <v>-11.6</v>
      </c>
      <c r="G388" s="72" t="s">
        <v>44</v>
      </c>
      <c r="H388" s="72"/>
    </row>
    <row r="389" spans="1:8" x14ac:dyDescent="0.25">
      <c r="A389" s="73">
        <v>43497</v>
      </c>
      <c r="B389" s="72" t="s">
        <v>76</v>
      </c>
      <c r="C389" s="74">
        <v>43497</v>
      </c>
      <c r="D389" s="72" t="s">
        <v>109</v>
      </c>
      <c r="E389" s="72" t="s">
        <v>79</v>
      </c>
      <c r="F389" s="72">
        <v>-17.399999999999999</v>
      </c>
      <c r="G389" s="72" t="s">
        <v>44</v>
      </c>
      <c r="H389" s="72"/>
    </row>
    <row r="390" spans="1:8" x14ac:dyDescent="0.25">
      <c r="A390" s="73">
        <v>43500</v>
      </c>
      <c r="B390" s="72" t="s">
        <v>76</v>
      </c>
      <c r="C390" s="74">
        <v>43500</v>
      </c>
      <c r="D390" s="72" t="s">
        <v>109</v>
      </c>
      <c r="E390" s="72" t="s">
        <v>79</v>
      </c>
      <c r="F390" s="72">
        <v>-6.7</v>
      </c>
      <c r="G390" s="72" t="s">
        <v>44</v>
      </c>
      <c r="H390" s="72"/>
    </row>
    <row r="391" spans="1:8" x14ac:dyDescent="0.25">
      <c r="A391" s="73">
        <v>43507</v>
      </c>
      <c r="B391" s="72" t="s">
        <v>76</v>
      </c>
      <c r="C391" s="74">
        <v>43507</v>
      </c>
      <c r="D391" s="72" t="s">
        <v>109</v>
      </c>
      <c r="E391" s="72" t="s">
        <v>79</v>
      </c>
      <c r="F391" s="72">
        <v>-5.9</v>
      </c>
      <c r="G391" s="72" t="s">
        <v>44</v>
      </c>
      <c r="H391" s="72"/>
    </row>
    <row r="392" spans="1:8" x14ac:dyDescent="0.25">
      <c r="A392" s="73">
        <v>43508</v>
      </c>
      <c r="B392" s="72" t="s">
        <v>76</v>
      </c>
      <c r="C392" s="74">
        <v>43508</v>
      </c>
      <c r="D392" s="72" t="s">
        <v>109</v>
      </c>
      <c r="E392" s="72" t="s">
        <v>79</v>
      </c>
      <c r="F392" s="72">
        <v>-6.8</v>
      </c>
      <c r="G392" s="72" t="s">
        <v>44</v>
      </c>
      <c r="H392" s="72"/>
    </row>
    <row r="393" spans="1:8" x14ac:dyDescent="0.25">
      <c r="A393" s="73">
        <v>43509</v>
      </c>
      <c r="B393" s="72" t="s">
        <v>76</v>
      </c>
      <c r="C393" s="74">
        <v>43509</v>
      </c>
      <c r="D393" s="72" t="s">
        <v>109</v>
      </c>
      <c r="E393" s="72" t="s">
        <v>79</v>
      </c>
      <c r="F393" s="72">
        <v>-17.52</v>
      </c>
      <c r="G393" s="72" t="s">
        <v>44</v>
      </c>
      <c r="H393" s="72"/>
    </row>
    <row r="394" spans="1:8" x14ac:dyDescent="0.25">
      <c r="A394" s="73">
        <v>43509</v>
      </c>
      <c r="B394" s="72" t="s">
        <v>76</v>
      </c>
      <c r="C394" s="74">
        <v>43509</v>
      </c>
      <c r="D394" s="72" t="s">
        <v>109</v>
      </c>
      <c r="E394" s="72" t="s">
        <v>79</v>
      </c>
      <c r="F394" s="72">
        <v>-5.9</v>
      </c>
      <c r="G394" s="72" t="s">
        <v>44</v>
      </c>
      <c r="H394" s="72"/>
    </row>
    <row r="395" spans="1:8" x14ac:dyDescent="0.25">
      <c r="A395" s="73">
        <v>43514</v>
      </c>
      <c r="B395" s="72" t="s">
        <v>76</v>
      </c>
      <c r="C395" s="74">
        <v>43514</v>
      </c>
      <c r="D395" s="72" t="s">
        <v>109</v>
      </c>
      <c r="E395" s="72" t="s">
        <v>79</v>
      </c>
      <c r="F395" s="72">
        <v>-11.8</v>
      </c>
      <c r="G395" s="72" t="s">
        <v>44</v>
      </c>
      <c r="H395" s="72"/>
    </row>
    <row r="396" spans="1:8" x14ac:dyDescent="0.25">
      <c r="A396" s="73">
        <v>43515</v>
      </c>
      <c r="B396" s="72" t="s">
        <v>76</v>
      </c>
      <c r="C396" s="74">
        <v>43515</v>
      </c>
      <c r="D396" s="72" t="s">
        <v>109</v>
      </c>
      <c r="E396" s="72" t="s">
        <v>79</v>
      </c>
      <c r="F396" s="72">
        <v>-5.9</v>
      </c>
      <c r="G396" s="72" t="s">
        <v>44</v>
      </c>
      <c r="H396" s="72"/>
    </row>
    <row r="397" spans="1:8" x14ac:dyDescent="0.25">
      <c r="A397" s="73">
        <v>43516</v>
      </c>
      <c r="B397" s="72" t="s">
        <v>76</v>
      </c>
      <c r="C397" s="74">
        <v>43516</v>
      </c>
      <c r="D397" s="72" t="s">
        <v>109</v>
      </c>
      <c r="E397" s="72" t="s">
        <v>79</v>
      </c>
      <c r="F397" s="72">
        <v>-6.8</v>
      </c>
      <c r="G397" s="72" t="s">
        <v>44</v>
      </c>
      <c r="H397" s="72"/>
    </row>
    <row r="398" spans="1:8" x14ac:dyDescent="0.25">
      <c r="A398" s="73">
        <v>43516</v>
      </c>
      <c r="B398" s="72" t="s">
        <v>76</v>
      </c>
      <c r="C398" s="74">
        <v>43516</v>
      </c>
      <c r="D398" s="72" t="s">
        <v>109</v>
      </c>
      <c r="E398" s="72" t="s">
        <v>79</v>
      </c>
      <c r="F398" s="72">
        <v>-5.9</v>
      </c>
      <c r="G398" s="72" t="s">
        <v>44</v>
      </c>
      <c r="H398" s="72"/>
    </row>
    <row r="399" spans="1:8" x14ac:dyDescent="0.25">
      <c r="A399" s="73">
        <v>43517</v>
      </c>
      <c r="B399" s="72" t="s">
        <v>76</v>
      </c>
      <c r="C399" s="74">
        <v>43517</v>
      </c>
      <c r="D399" s="72" t="s">
        <v>109</v>
      </c>
      <c r="E399" s="72" t="s">
        <v>79</v>
      </c>
      <c r="F399" s="72">
        <v>-11.8</v>
      </c>
      <c r="G399" s="72" t="s">
        <v>44</v>
      </c>
      <c r="H399" s="72"/>
    </row>
    <row r="400" spans="1:8" x14ac:dyDescent="0.25">
      <c r="A400" s="73">
        <v>43518</v>
      </c>
      <c r="B400" s="72" t="s">
        <v>76</v>
      </c>
      <c r="C400" s="74">
        <v>43521</v>
      </c>
      <c r="D400" s="72" t="s">
        <v>109</v>
      </c>
      <c r="E400" s="72" t="s">
        <v>79</v>
      </c>
      <c r="F400" s="72">
        <v>-5.9</v>
      </c>
      <c r="G400" s="72" t="s">
        <v>44</v>
      </c>
      <c r="H400" s="72"/>
    </row>
    <row r="401" spans="1:8" x14ac:dyDescent="0.25">
      <c r="A401" s="73">
        <v>43523</v>
      </c>
      <c r="B401" s="72" t="s">
        <v>76</v>
      </c>
      <c r="C401" s="74">
        <v>43521</v>
      </c>
      <c r="D401" s="72" t="s">
        <v>109</v>
      </c>
      <c r="E401" s="72" t="s">
        <v>79</v>
      </c>
      <c r="F401" s="72">
        <v>-47.6</v>
      </c>
      <c r="G401" s="72" t="s">
        <v>44</v>
      </c>
      <c r="H401" s="72"/>
    </row>
    <row r="402" spans="1:8" x14ac:dyDescent="0.25">
      <c r="A402" s="73">
        <v>43525</v>
      </c>
      <c r="B402" s="72" t="s">
        <v>76</v>
      </c>
      <c r="C402" s="74">
        <v>43525</v>
      </c>
      <c r="D402" s="72" t="s">
        <v>109</v>
      </c>
      <c r="E402" s="72" t="s">
        <v>79</v>
      </c>
      <c r="F402" s="72">
        <v>-26</v>
      </c>
      <c r="G402" s="72" t="s">
        <v>44</v>
      </c>
      <c r="H402" s="72"/>
    </row>
    <row r="403" spans="1:8" x14ac:dyDescent="0.25">
      <c r="A403" s="73">
        <v>43530</v>
      </c>
      <c r="B403" s="72" t="s">
        <v>76</v>
      </c>
      <c r="C403" s="74">
        <v>43525</v>
      </c>
      <c r="D403" s="72" t="s">
        <v>109</v>
      </c>
      <c r="E403" s="72" t="s">
        <v>79</v>
      </c>
      <c r="F403" s="72">
        <v>-11.8</v>
      </c>
      <c r="G403" s="72" t="s">
        <v>44</v>
      </c>
      <c r="H403" s="72"/>
    </row>
    <row r="404" spans="1:8" x14ac:dyDescent="0.25">
      <c r="A404" s="73">
        <v>43538</v>
      </c>
      <c r="B404" s="72" t="s">
        <v>58</v>
      </c>
      <c r="C404" s="74">
        <v>43497</v>
      </c>
      <c r="D404" s="72" t="s">
        <v>109</v>
      </c>
      <c r="E404" s="72" t="s">
        <v>46</v>
      </c>
      <c r="F404" s="72">
        <v>25346.71</v>
      </c>
      <c r="G404" s="72" t="s">
        <v>47</v>
      </c>
      <c r="H404" s="72"/>
    </row>
    <row r="405" spans="1:8" x14ac:dyDescent="0.25">
      <c r="A405" s="73">
        <v>43500</v>
      </c>
      <c r="B405" s="72" t="s">
        <v>45</v>
      </c>
      <c r="C405" s="74">
        <v>43476</v>
      </c>
      <c r="D405" s="72" t="s">
        <v>109</v>
      </c>
      <c r="E405" s="72" t="s">
        <v>55</v>
      </c>
      <c r="F405" s="72">
        <v>-5081.4799999999996</v>
      </c>
      <c r="G405" s="72" t="s">
        <v>44</v>
      </c>
      <c r="H405" s="72" t="s">
        <v>1</v>
      </c>
    </row>
    <row r="406" spans="1:8" x14ac:dyDescent="0.25">
      <c r="A406" s="73">
        <v>43524</v>
      </c>
      <c r="B406" s="72" t="s">
        <v>45</v>
      </c>
      <c r="C406" s="74">
        <v>43507</v>
      </c>
      <c r="D406" s="72" t="s">
        <v>109</v>
      </c>
      <c r="E406" s="72" t="s">
        <v>55</v>
      </c>
      <c r="F406" s="72">
        <v>-5086.41</v>
      </c>
      <c r="G406" s="72" t="s">
        <v>44</v>
      </c>
      <c r="H406" s="72" t="s">
        <v>1</v>
      </c>
    </row>
    <row r="407" spans="1:8" x14ac:dyDescent="0.25">
      <c r="A407" s="73">
        <v>43551</v>
      </c>
      <c r="B407" s="72" t="s">
        <v>45</v>
      </c>
      <c r="C407" s="74">
        <v>43536</v>
      </c>
      <c r="D407" s="72" t="s">
        <v>109</v>
      </c>
      <c r="E407" s="72" t="s">
        <v>55</v>
      </c>
      <c r="F407" s="72">
        <v>-5477.54</v>
      </c>
      <c r="G407" s="72"/>
      <c r="H407" s="72"/>
    </row>
    <row r="408" spans="1:8" x14ac:dyDescent="0.25">
      <c r="A408" s="73">
        <v>43500</v>
      </c>
      <c r="B408" s="72" t="s">
        <v>45</v>
      </c>
      <c r="C408" s="74">
        <v>43476</v>
      </c>
      <c r="D408" s="72" t="s">
        <v>109</v>
      </c>
      <c r="E408" s="72" t="s">
        <v>55</v>
      </c>
      <c r="F408" s="72">
        <v>-3634.33</v>
      </c>
      <c r="G408" s="72" t="s">
        <v>44</v>
      </c>
      <c r="H408" s="72" t="s">
        <v>1</v>
      </c>
    </row>
    <row r="409" spans="1:8" x14ac:dyDescent="0.25">
      <c r="A409" s="73">
        <v>43531</v>
      </c>
      <c r="B409" s="72" t="s">
        <v>45</v>
      </c>
      <c r="C409" s="74">
        <v>43497</v>
      </c>
      <c r="D409" s="72" t="s">
        <v>109</v>
      </c>
      <c r="E409" s="72" t="s">
        <v>77</v>
      </c>
      <c r="F409" s="72">
        <v>-976.49</v>
      </c>
      <c r="G409" s="72" t="s">
        <v>44</v>
      </c>
      <c r="H409" s="72"/>
    </row>
    <row r="410" spans="1:8" x14ac:dyDescent="0.25">
      <c r="A410" s="73">
        <v>43524</v>
      </c>
      <c r="B410" s="72" t="s">
        <v>45</v>
      </c>
      <c r="C410" s="74">
        <v>43507</v>
      </c>
      <c r="D410" s="72" t="s">
        <v>109</v>
      </c>
      <c r="E410" s="72" t="s">
        <v>55</v>
      </c>
      <c r="F410" s="72">
        <v>-3634.33</v>
      </c>
      <c r="G410" s="72" t="s">
        <v>44</v>
      </c>
      <c r="H410" s="72" t="s">
        <v>1</v>
      </c>
    </row>
    <row r="411" spans="1:8" x14ac:dyDescent="0.25">
      <c r="A411" s="73">
        <v>43551</v>
      </c>
      <c r="B411" s="72" t="s">
        <v>45</v>
      </c>
      <c r="C411" s="74">
        <v>43536</v>
      </c>
      <c r="D411" s="72" t="s">
        <v>109</v>
      </c>
      <c r="E411" s="72" t="s">
        <v>55</v>
      </c>
      <c r="F411" s="72">
        <v>-4010.67</v>
      </c>
      <c r="G411" s="72"/>
      <c r="H411" s="72"/>
    </row>
    <row r="412" spans="1:8" x14ac:dyDescent="0.25">
      <c r="A412" s="73">
        <v>43524</v>
      </c>
      <c r="B412" s="72" t="s">
        <v>45</v>
      </c>
      <c r="C412" s="74">
        <v>43508</v>
      </c>
      <c r="D412" s="72" t="s">
        <v>109</v>
      </c>
      <c r="E412" s="72" t="s">
        <v>55</v>
      </c>
      <c r="F412" s="72">
        <v>-1152.3699999999999</v>
      </c>
      <c r="G412" s="72" t="s">
        <v>44</v>
      </c>
      <c r="H412" s="72" t="s">
        <v>1</v>
      </c>
    </row>
    <row r="413" spans="1:8" x14ac:dyDescent="0.25">
      <c r="A413" s="73">
        <v>43551</v>
      </c>
      <c r="B413" s="72" t="s">
        <v>45</v>
      </c>
      <c r="C413" s="74">
        <v>43536</v>
      </c>
      <c r="D413" s="72" t="s">
        <v>109</v>
      </c>
      <c r="E413" s="72" t="s">
        <v>55</v>
      </c>
      <c r="F413" s="72">
        <v>-1200</v>
      </c>
      <c r="G413" s="72"/>
      <c r="H413" s="72"/>
    </row>
    <row r="414" spans="1:8" x14ac:dyDescent="0.25">
      <c r="A414" s="73">
        <v>43555</v>
      </c>
      <c r="B414" s="72" t="s">
        <v>60</v>
      </c>
      <c r="C414" s="74">
        <v>43497</v>
      </c>
      <c r="D414" s="72" t="s">
        <v>109</v>
      </c>
      <c r="E414" s="72" t="s">
        <v>46</v>
      </c>
      <c r="F414" s="72">
        <v>956.66</v>
      </c>
      <c r="G414" s="72" t="s">
        <v>47</v>
      </c>
      <c r="H414" s="72"/>
    </row>
    <row r="415" spans="1:8" x14ac:dyDescent="0.25">
      <c r="A415" s="73">
        <v>43539</v>
      </c>
      <c r="B415" s="72" t="s">
        <v>60</v>
      </c>
      <c r="C415" s="74">
        <v>43478</v>
      </c>
      <c r="D415" s="72" t="s">
        <v>109</v>
      </c>
      <c r="E415" s="72" t="s">
        <v>46</v>
      </c>
      <c r="F415" s="72">
        <v>2787.31</v>
      </c>
      <c r="G415" s="72" t="s">
        <v>47</v>
      </c>
      <c r="H415" s="72"/>
    </row>
    <row r="416" spans="1:8" x14ac:dyDescent="0.25">
      <c r="A416" s="73">
        <v>43528</v>
      </c>
      <c r="B416" s="72" t="s">
        <v>67</v>
      </c>
      <c r="C416" s="74">
        <v>43525</v>
      </c>
      <c r="D416" s="72" t="s">
        <v>109</v>
      </c>
      <c r="E416" s="72" t="s">
        <v>46</v>
      </c>
      <c r="F416" s="72">
        <v>1434.71</v>
      </c>
      <c r="G416" s="72" t="s">
        <v>47</v>
      </c>
      <c r="H416" s="72"/>
    </row>
    <row r="417" spans="1:8" x14ac:dyDescent="0.25">
      <c r="A417" s="73">
        <v>43518</v>
      </c>
      <c r="B417" s="72" t="s">
        <v>45</v>
      </c>
      <c r="C417" s="74">
        <v>43497</v>
      </c>
      <c r="D417" s="72" t="s">
        <v>109</v>
      </c>
      <c r="E417" s="72" t="s">
        <v>46</v>
      </c>
      <c r="F417" s="72">
        <v>7000</v>
      </c>
      <c r="G417" s="72" t="s">
        <v>47</v>
      </c>
      <c r="H417" s="72" t="s">
        <v>1</v>
      </c>
    </row>
    <row r="418" spans="1:8" x14ac:dyDescent="0.25">
      <c r="A418" s="73">
        <v>43522</v>
      </c>
      <c r="B418" s="72" t="s">
        <v>45</v>
      </c>
      <c r="C418" s="74">
        <v>43497</v>
      </c>
      <c r="D418" s="72" t="s">
        <v>109</v>
      </c>
      <c r="E418" s="72" t="s">
        <v>46</v>
      </c>
      <c r="F418" s="72">
        <v>453.22</v>
      </c>
      <c r="G418" s="72" t="s">
        <v>47</v>
      </c>
      <c r="H418" s="72" t="s">
        <v>1</v>
      </c>
    </row>
    <row r="419" spans="1:8" x14ac:dyDescent="0.25">
      <c r="A419" s="73">
        <v>43537</v>
      </c>
      <c r="B419" s="72" t="s">
        <v>67</v>
      </c>
      <c r="C419" s="74">
        <v>43525</v>
      </c>
      <c r="D419" s="72" t="s">
        <v>109</v>
      </c>
      <c r="E419" s="72" t="s">
        <v>46</v>
      </c>
      <c r="F419" s="72">
        <v>6818.58</v>
      </c>
      <c r="G419" s="72" t="s">
        <v>47</v>
      </c>
      <c r="H419" s="72"/>
    </row>
    <row r="420" spans="1:8" x14ac:dyDescent="0.25">
      <c r="A420" s="73">
        <v>43555</v>
      </c>
      <c r="B420" s="72" t="s">
        <v>60</v>
      </c>
      <c r="C420" s="74">
        <v>43497</v>
      </c>
      <c r="D420" s="72" t="s">
        <v>109</v>
      </c>
      <c r="E420" s="72" t="s">
        <v>46</v>
      </c>
      <c r="F420" s="72">
        <v>14350.96</v>
      </c>
      <c r="G420" s="72" t="s">
        <v>47</v>
      </c>
      <c r="H420" s="72"/>
    </row>
    <row r="421" spans="1:8" x14ac:dyDescent="0.25">
      <c r="A421" s="73">
        <v>43496</v>
      </c>
      <c r="B421" s="72" t="s">
        <v>42</v>
      </c>
      <c r="C421" s="74">
        <v>43496</v>
      </c>
      <c r="D421" s="72" t="s">
        <v>109</v>
      </c>
      <c r="E421" s="72" t="s">
        <v>46</v>
      </c>
      <c r="F421" s="72">
        <v>197173.87</v>
      </c>
      <c r="G421" s="72" t="s">
        <v>47</v>
      </c>
      <c r="H421" s="72" t="s">
        <v>1</v>
      </c>
    </row>
    <row r="422" spans="1:8" x14ac:dyDescent="0.25">
      <c r="A422" s="73">
        <v>43538</v>
      </c>
      <c r="B422" s="72" t="s">
        <v>58</v>
      </c>
      <c r="C422" s="74">
        <v>43497</v>
      </c>
      <c r="D422" s="72" t="s">
        <v>109</v>
      </c>
      <c r="E422" s="72" t="s">
        <v>46</v>
      </c>
      <c r="F422" s="72">
        <v>53502</v>
      </c>
      <c r="G422" s="72" t="s">
        <v>47</v>
      </c>
      <c r="H422" s="72" t="s">
        <v>1</v>
      </c>
    </row>
    <row r="423" spans="1:8" x14ac:dyDescent="0.25">
      <c r="A423" s="73">
        <v>43531</v>
      </c>
      <c r="B423" s="72" t="s">
        <v>76</v>
      </c>
      <c r="C423" s="74">
        <v>43525</v>
      </c>
      <c r="D423" s="72" t="s">
        <v>109</v>
      </c>
      <c r="E423" s="72" t="s">
        <v>46</v>
      </c>
      <c r="F423" s="72">
        <v>633.54</v>
      </c>
      <c r="G423" s="72" t="s">
        <v>47</v>
      </c>
      <c r="H423" s="72" t="s">
        <v>1</v>
      </c>
    </row>
    <row r="424" spans="1:8" x14ac:dyDescent="0.25">
      <c r="A424" s="73">
        <v>43500</v>
      </c>
      <c r="B424" s="72" t="s">
        <v>45</v>
      </c>
      <c r="C424" s="74">
        <v>43476</v>
      </c>
      <c r="D424" s="72" t="s">
        <v>109</v>
      </c>
      <c r="E424" s="72" t="s">
        <v>55</v>
      </c>
      <c r="F424" s="72">
        <v>-1572.33</v>
      </c>
      <c r="G424" s="72" t="s">
        <v>44</v>
      </c>
      <c r="H424" s="72" t="s">
        <v>1</v>
      </c>
    </row>
    <row r="425" spans="1:8" x14ac:dyDescent="0.25">
      <c r="A425" s="73">
        <v>43524</v>
      </c>
      <c r="B425" s="72" t="s">
        <v>45</v>
      </c>
      <c r="C425" s="74">
        <v>43507</v>
      </c>
      <c r="D425" s="72" t="s">
        <v>109</v>
      </c>
      <c r="E425" s="72" t="s">
        <v>55</v>
      </c>
      <c r="F425" s="72">
        <v>-2059.86</v>
      </c>
      <c r="G425" s="72" t="s">
        <v>44</v>
      </c>
      <c r="H425" s="72" t="s">
        <v>1</v>
      </c>
    </row>
    <row r="426" spans="1:8" x14ac:dyDescent="0.25">
      <c r="A426" s="73">
        <v>43551</v>
      </c>
      <c r="B426" s="72" t="s">
        <v>45</v>
      </c>
      <c r="C426" s="74">
        <v>43536</v>
      </c>
      <c r="D426" s="72" t="s">
        <v>109</v>
      </c>
      <c r="E426" s="72" t="s">
        <v>55</v>
      </c>
      <c r="F426" s="72">
        <v>-2011.53</v>
      </c>
      <c r="G426" s="72"/>
      <c r="H426" s="72"/>
    </row>
    <row r="427" spans="1:8" x14ac:dyDescent="0.25">
      <c r="A427" s="73">
        <v>43528</v>
      </c>
      <c r="B427" s="72" t="s">
        <v>76</v>
      </c>
      <c r="C427" s="74">
        <v>43525</v>
      </c>
      <c r="D427" s="72" t="s">
        <v>109</v>
      </c>
      <c r="E427" s="72" t="s">
        <v>46</v>
      </c>
      <c r="F427" s="72">
        <v>545.28</v>
      </c>
      <c r="G427" s="72" t="s">
        <v>47</v>
      </c>
      <c r="H427" s="72" t="s">
        <v>1</v>
      </c>
    </row>
    <row r="428" spans="1:8" x14ac:dyDescent="0.25">
      <c r="A428" s="73">
        <v>43510</v>
      </c>
      <c r="B428" s="72" t="s">
        <v>67</v>
      </c>
      <c r="C428" s="74">
        <v>43496</v>
      </c>
      <c r="D428" s="72" t="s">
        <v>109</v>
      </c>
      <c r="E428" s="72" t="s">
        <v>75</v>
      </c>
      <c r="F428" s="72">
        <v>450</v>
      </c>
      <c r="G428" s="72" t="s">
        <v>47</v>
      </c>
      <c r="H428" s="72"/>
    </row>
    <row r="429" spans="1:8" x14ac:dyDescent="0.25">
      <c r="A429" s="73">
        <v>43501</v>
      </c>
      <c r="B429" s="72" t="s">
        <v>42</v>
      </c>
      <c r="C429" s="74">
        <v>43497</v>
      </c>
      <c r="D429" s="72" t="s">
        <v>109</v>
      </c>
      <c r="E429" s="72" t="s">
        <v>75</v>
      </c>
      <c r="F429" s="72">
        <v>-3945.94</v>
      </c>
      <c r="G429" s="72" t="s">
        <v>44</v>
      </c>
      <c r="H429" s="72" t="s">
        <v>1</v>
      </c>
    </row>
    <row r="430" spans="1:8" x14ac:dyDescent="0.25">
      <c r="A430" s="73">
        <v>43529</v>
      </c>
      <c r="B430" s="72" t="s">
        <v>42</v>
      </c>
      <c r="C430" s="74">
        <v>43526</v>
      </c>
      <c r="D430" s="72" t="s">
        <v>109</v>
      </c>
      <c r="E430" s="72" t="s">
        <v>75</v>
      </c>
      <c r="F430" s="72">
        <v>-4053.94</v>
      </c>
      <c r="G430" s="72" t="s">
        <v>44</v>
      </c>
      <c r="H430" s="72" t="s">
        <v>1</v>
      </c>
    </row>
    <row r="431" spans="1:8" x14ac:dyDescent="0.25">
      <c r="A431" s="73">
        <v>43534</v>
      </c>
      <c r="B431" s="72" t="s">
        <v>45</v>
      </c>
      <c r="C431" s="74">
        <v>43534</v>
      </c>
      <c r="D431" s="72" t="s">
        <v>109</v>
      </c>
      <c r="E431" s="72" t="s">
        <v>50</v>
      </c>
      <c r="F431" s="72">
        <v>-298.60000000000002</v>
      </c>
      <c r="G431" s="72"/>
      <c r="H431" s="72"/>
    </row>
    <row r="432" spans="1:8" x14ac:dyDescent="0.25">
      <c r="A432" s="73">
        <v>43501</v>
      </c>
      <c r="B432" s="72" t="s">
        <v>42</v>
      </c>
      <c r="C432" s="74">
        <v>43501</v>
      </c>
      <c r="D432" s="72" t="s">
        <v>109</v>
      </c>
      <c r="E432" s="72" t="s">
        <v>50</v>
      </c>
      <c r="F432" s="72">
        <v>-662.31</v>
      </c>
      <c r="G432" s="72" t="s">
        <v>44</v>
      </c>
      <c r="H432" s="72" t="s">
        <v>1</v>
      </c>
    </row>
    <row r="433" spans="1:8" x14ac:dyDescent="0.25">
      <c r="A433" s="73">
        <v>43528</v>
      </c>
      <c r="B433" s="72" t="s">
        <v>42</v>
      </c>
      <c r="C433" s="74">
        <v>43528</v>
      </c>
      <c r="D433" s="72" t="s">
        <v>109</v>
      </c>
      <c r="E433" s="72" t="s">
        <v>50</v>
      </c>
      <c r="F433" s="72">
        <v>-662.31</v>
      </c>
      <c r="G433" s="72" t="s">
        <v>44</v>
      </c>
      <c r="H433" s="72" t="s">
        <v>1</v>
      </c>
    </row>
    <row r="434" spans="1:8" x14ac:dyDescent="0.25">
      <c r="A434" s="73">
        <v>43539</v>
      </c>
      <c r="B434" s="72" t="s">
        <v>60</v>
      </c>
      <c r="C434" s="74">
        <v>43476</v>
      </c>
      <c r="D434" s="72" t="s">
        <v>109</v>
      </c>
      <c r="E434" s="72" t="s">
        <v>46</v>
      </c>
      <c r="F434" s="72">
        <v>640.91999999999996</v>
      </c>
      <c r="G434" s="72" t="s">
        <v>47</v>
      </c>
      <c r="H434" s="72"/>
    </row>
    <row r="435" spans="1:8" x14ac:dyDescent="0.25">
      <c r="A435" s="73">
        <v>43487</v>
      </c>
      <c r="B435" s="72" t="s">
        <v>45</v>
      </c>
      <c r="C435" s="74">
        <v>43487</v>
      </c>
      <c r="D435" s="72" t="s">
        <v>109</v>
      </c>
      <c r="E435" s="72" t="s">
        <v>54</v>
      </c>
      <c r="F435" s="72">
        <v>-516</v>
      </c>
      <c r="G435" s="72" t="s">
        <v>44</v>
      </c>
      <c r="H435" s="72" t="s">
        <v>1</v>
      </c>
    </row>
    <row r="436" spans="1:8" x14ac:dyDescent="0.25">
      <c r="A436" s="73">
        <v>43500</v>
      </c>
      <c r="B436" s="72" t="s">
        <v>45</v>
      </c>
      <c r="C436" s="74">
        <v>43476</v>
      </c>
      <c r="D436" s="72" t="s">
        <v>109</v>
      </c>
      <c r="E436" s="72" t="s">
        <v>55</v>
      </c>
      <c r="F436" s="72">
        <v>-2070.71</v>
      </c>
      <c r="G436" s="72" t="s">
        <v>44</v>
      </c>
      <c r="H436" s="72" t="s">
        <v>1</v>
      </c>
    </row>
    <row r="437" spans="1:8" x14ac:dyDescent="0.25">
      <c r="A437" s="73">
        <v>43524</v>
      </c>
      <c r="B437" s="72" t="s">
        <v>45</v>
      </c>
      <c r="C437" s="74">
        <v>43507</v>
      </c>
      <c r="D437" s="72" t="s">
        <v>109</v>
      </c>
      <c r="E437" s="72" t="s">
        <v>55</v>
      </c>
      <c r="F437" s="72">
        <v>-2068.4899999999998</v>
      </c>
      <c r="G437" s="72" t="s">
        <v>44</v>
      </c>
      <c r="H437" s="72" t="s">
        <v>1</v>
      </c>
    </row>
    <row r="438" spans="1:8" x14ac:dyDescent="0.25">
      <c r="A438" s="73">
        <v>43551</v>
      </c>
      <c r="B438" s="72" t="s">
        <v>45</v>
      </c>
      <c r="C438" s="74">
        <v>43536</v>
      </c>
      <c r="D438" s="72" t="s">
        <v>109</v>
      </c>
      <c r="E438" s="72" t="s">
        <v>55</v>
      </c>
      <c r="F438" s="72">
        <v>-2005.11</v>
      </c>
      <c r="G438" s="72"/>
      <c r="H438" s="72"/>
    </row>
    <row r="439" spans="1:8" x14ac:dyDescent="0.25">
      <c r="A439" s="73">
        <v>43500</v>
      </c>
      <c r="B439" s="72" t="s">
        <v>45</v>
      </c>
      <c r="C439" s="74">
        <v>43476</v>
      </c>
      <c r="D439" s="72" t="s">
        <v>109</v>
      </c>
      <c r="E439" s="72" t="s">
        <v>55</v>
      </c>
      <c r="F439" s="72">
        <v>-1977.71</v>
      </c>
      <c r="G439" s="72" t="s">
        <v>44</v>
      </c>
      <c r="H439" s="72" t="s">
        <v>1</v>
      </c>
    </row>
    <row r="440" spans="1:8" x14ac:dyDescent="0.25">
      <c r="A440" s="73">
        <v>43524</v>
      </c>
      <c r="B440" s="72" t="s">
        <v>45</v>
      </c>
      <c r="C440" s="74">
        <v>43507</v>
      </c>
      <c r="D440" s="72" t="s">
        <v>109</v>
      </c>
      <c r="E440" s="72" t="s">
        <v>55</v>
      </c>
      <c r="F440" s="72">
        <v>-2240.04</v>
      </c>
      <c r="G440" s="72" t="s">
        <v>44</v>
      </c>
      <c r="H440" s="72" t="s">
        <v>1</v>
      </c>
    </row>
    <row r="441" spans="1:8" x14ac:dyDescent="0.25">
      <c r="A441" s="73">
        <v>43551</v>
      </c>
      <c r="B441" s="72" t="s">
        <v>45</v>
      </c>
      <c r="C441" s="74">
        <v>43536</v>
      </c>
      <c r="D441" s="72" t="s">
        <v>109</v>
      </c>
      <c r="E441" s="72" t="s">
        <v>55</v>
      </c>
      <c r="F441" s="72">
        <v>-2178.13</v>
      </c>
      <c r="G441" s="72"/>
      <c r="H441" s="72"/>
    </row>
    <row r="442" spans="1:8" x14ac:dyDescent="0.25">
      <c r="A442" s="73">
        <v>43474</v>
      </c>
      <c r="B442" s="72" t="s">
        <v>76</v>
      </c>
      <c r="C442" s="74">
        <v>43474</v>
      </c>
      <c r="D442" s="72" t="s">
        <v>109</v>
      </c>
      <c r="E442" s="72" t="s">
        <v>79</v>
      </c>
      <c r="F442" s="72">
        <v>-301.29000000000002</v>
      </c>
      <c r="G442" s="72" t="s">
        <v>44</v>
      </c>
      <c r="H442" s="72"/>
    </row>
    <row r="443" spans="1:8" x14ac:dyDescent="0.25">
      <c r="A443" s="73">
        <v>43479</v>
      </c>
      <c r="B443" s="72" t="s">
        <v>76</v>
      </c>
      <c r="C443" s="74">
        <v>43479</v>
      </c>
      <c r="D443" s="72" t="s">
        <v>109</v>
      </c>
      <c r="E443" s="72" t="s">
        <v>79</v>
      </c>
      <c r="F443" s="72">
        <v>-353.36</v>
      </c>
      <c r="G443" s="72" t="s">
        <v>44</v>
      </c>
      <c r="H443" s="72"/>
    </row>
    <row r="444" spans="1:8" x14ac:dyDescent="0.25">
      <c r="A444" s="73">
        <v>43482</v>
      </c>
      <c r="B444" s="72" t="s">
        <v>76</v>
      </c>
      <c r="C444" s="74">
        <v>43482</v>
      </c>
      <c r="D444" s="72" t="s">
        <v>109</v>
      </c>
      <c r="E444" s="72" t="s">
        <v>79</v>
      </c>
      <c r="F444" s="72">
        <v>-312.44</v>
      </c>
      <c r="G444" s="72" t="s">
        <v>44</v>
      </c>
      <c r="H444" s="72"/>
    </row>
    <row r="445" spans="1:8" x14ac:dyDescent="0.25">
      <c r="A445" s="73">
        <v>43486</v>
      </c>
      <c r="B445" s="72" t="s">
        <v>76</v>
      </c>
      <c r="C445" s="74">
        <v>43486</v>
      </c>
      <c r="D445" s="72" t="s">
        <v>109</v>
      </c>
      <c r="E445" s="72" t="s">
        <v>79</v>
      </c>
      <c r="F445" s="72">
        <v>-342.2</v>
      </c>
      <c r="G445" s="72" t="s">
        <v>44</v>
      </c>
      <c r="H445" s="72"/>
    </row>
    <row r="446" spans="1:8" x14ac:dyDescent="0.25">
      <c r="A446" s="73">
        <v>43488</v>
      </c>
      <c r="B446" s="72" t="s">
        <v>76</v>
      </c>
      <c r="C446" s="74">
        <v>43488</v>
      </c>
      <c r="D446" s="72" t="s">
        <v>109</v>
      </c>
      <c r="E446" s="72" t="s">
        <v>79</v>
      </c>
      <c r="F446" s="72">
        <v>-308.98</v>
      </c>
      <c r="G446" s="72" t="s">
        <v>44</v>
      </c>
      <c r="H446" s="72"/>
    </row>
    <row r="447" spans="1:8" x14ac:dyDescent="0.25">
      <c r="A447" s="73">
        <v>43495</v>
      </c>
      <c r="B447" s="72" t="s">
        <v>76</v>
      </c>
      <c r="C447" s="74">
        <v>43495</v>
      </c>
      <c r="D447" s="72" t="s">
        <v>109</v>
      </c>
      <c r="E447" s="72" t="s">
        <v>79</v>
      </c>
      <c r="F447" s="72">
        <v>-398.12</v>
      </c>
      <c r="G447" s="72" t="s">
        <v>44</v>
      </c>
      <c r="H447" s="72"/>
    </row>
    <row r="448" spans="1:8" x14ac:dyDescent="0.25">
      <c r="A448" s="73">
        <v>43500</v>
      </c>
      <c r="B448" s="72" t="s">
        <v>76</v>
      </c>
      <c r="C448" s="74">
        <v>43500</v>
      </c>
      <c r="D448" s="72" t="s">
        <v>109</v>
      </c>
      <c r="E448" s="72" t="s">
        <v>79</v>
      </c>
      <c r="F448" s="72">
        <v>-278.51</v>
      </c>
      <c r="G448" s="72" t="s">
        <v>44</v>
      </c>
      <c r="H448" s="72"/>
    </row>
    <row r="449" spans="1:8" x14ac:dyDescent="0.25">
      <c r="A449" s="73">
        <v>43503</v>
      </c>
      <c r="B449" s="72" t="s">
        <v>76</v>
      </c>
      <c r="C449" s="74">
        <v>43503</v>
      </c>
      <c r="D449" s="72" t="s">
        <v>109</v>
      </c>
      <c r="E449" s="72" t="s">
        <v>79</v>
      </c>
      <c r="F449" s="72">
        <v>-337.56</v>
      </c>
      <c r="G449" s="72" t="s">
        <v>44</v>
      </c>
      <c r="H449" s="72"/>
    </row>
    <row r="450" spans="1:8" x14ac:dyDescent="0.25">
      <c r="A450" s="73">
        <v>43508</v>
      </c>
      <c r="B450" s="72" t="s">
        <v>76</v>
      </c>
      <c r="C450" s="74">
        <v>43508</v>
      </c>
      <c r="D450" s="72" t="s">
        <v>109</v>
      </c>
      <c r="E450" s="72" t="s">
        <v>79</v>
      </c>
      <c r="F450" s="72">
        <v>-350.51</v>
      </c>
      <c r="G450" s="72" t="s">
        <v>44</v>
      </c>
      <c r="H450" s="72"/>
    </row>
    <row r="451" spans="1:8" x14ac:dyDescent="0.25">
      <c r="A451" s="73">
        <v>43511</v>
      </c>
      <c r="B451" s="72" t="s">
        <v>76</v>
      </c>
      <c r="C451" s="74">
        <v>43511</v>
      </c>
      <c r="D451" s="72" t="s">
        <v>109</v>
      </c>
      <c r="E451" s="72" t="s">
        <v>79</v>
      </c>
      <c r="F451" s="72">
        <v>-369.85</v>
      </c>
      <c r="G451" s="72" t="s">
        <v>44</v>
      </c>
      <c r="H451" s="72"/>
    </row>
    <row r="452" spans="1:8" x14ac:dyDescent="0.25">
      <c r="A452" s="73">
        <v>43516</v>
      </c>
      <c r="B452" s="72" t="s">
        <v>76</v>
      </c>
      <c r="C452" s="74">
        <v>43516</v>
      </c>
      <c r="D452" s="72" t="s">
        <v>109</v>
      </c>
      <c r="E452" s="72" t="s">
        <v>79</v>
      </c>
      <c r="F452" s="72">
        <v>-386.07</v>
      </c>
      <c r="G452" s="72" t="s">
        <v>44</v>
      </c>
      <c r="H452" s="72"/>
    </row>
    <row r="453" spans="1:8" x14ac:dyDescent="0.25">
      <c r="A453" s="73">
        <v>43522</v>
      </c>
      <c r="B453" s="72" t="s">
        <v>76</v>
      </c>
      <c r="C453" s="74">
        <v>43516</v>
      </c>
      <c r="D453" s="72" t="s">
        <v>109</v>
      </c>
      <c r="E453" s="72" t="s">
        <v>79</v>
      </c>
      <c r="F453" s="72">
        <v>-328.37</v>
      </c>
      <c r="G453" s="72" t="s">
        <v>44</v>
      </c>
      <c r="H453" s="72"/>
    </row>
    <row r="454" spans="1:8" x14ac:dyDescent="0.25">
      <c r="A454" s="73">
        <v>43524</v>
      </c>
      <c r="B454" s="72" t="s">
        <v>76</v>
      </c>
      <c r="C454" s="74">
        <v>43516</v>
      </c>
      <c r="D454" s="72" t="s">
        <v>109</v>
      </c>
      <c r="E454" s="72" t="s">
        <v>79</v>
      </c>
      <c r="F454" s="72">
        <v>-414.99</v>
      </c>
      <c r="G454" s="72" t="s">
        <v>44</v>
      </c>
      <c r="H454" s="72"/>
    </row>
    <row r="455" spans="1:8" x14ac:dyDescent="0.25">
      <c r="A455" s="73">
        <v>43476</v>
      </c>
      <c r="B455" s="72" t="s">
        <v>76</v>
      </c>
      <c r="C455" s="74">
        <v>43476</v>
      </c>
      <c r="D455" s="72" t="s">
        <v>109</v>
      </c>
      <c r="E455" s="72" t="s">
        <v>79</v>
      </c>
      <c r="F455" s="72">
        <v>-5.8</v>
      </c>
      <c r="G455" s="72" t="s">
        <v>44</v>
      </c>
      <c r="H455" s="72"/>
    </row>
    <row r="456" spans="1:8" x14ac:dyDescent="0.25">
      <c r="A456" s="73">
        <v>43506</v>
      </c>
      <c r="B456" s="72" t="s">
        <v>42</v>
      </c>
      <c r="C456" s="74">
        <v>43506</v>
      </c>
      <c r="D456" s="72" t="s">
        <v>109</v>
      </c>
      <c r="E456" s="72" t="s">
        <v>43</v>
      </c>
      <c r="F456" s="72">
        <v>-601.20000000000005</v>
      </c>
      <c r="G456" s="72" t="s">
        <v>44</v>
      </c>
      <c r="H456" s="72"/>
    </row>
    <row r="457" spans="1:8" x14ac:dyDescent="0.25">
      <c r="A457" s="73">
        <v>43534</v>
      </c>
      <c r="B457" s="72" t="s">
        <v>42</v>
      </c>
      <c r="C457" s="74">
        <v>43534</v>
      </c>
      <c r="D457" s="72" t="s">
        <v>109</v>
      </c>
      <c r="E457" s="72" t="s">
        <v>43</v>
      </c>
      <c r="F457" s="72">
        <v>-601.20000000000005</v>
      </c>
      <c r="G457" s="72"/>
      <c r="H457" s="72"/>
    </row>
    <row r="458" spans="1:8" x14ac:dyDescent="0.25">
      <c r="A458" s="73">
        <v>43500</v>
      </c>
      <c r="B458" s="72" t="s">
        <v>45</v>
      </c>
      <c r="C458" s="74">
        <v>43476</v>
      </c>
      <c r="D458" s="72" t="s">
        <v>109</v>
      </c>
      <c r="E458" s="72" t="s">
        <v>55</v>
      </c>
      <c r="F458" s="72">
        <v>-3857.11</v>
      </c>
      <c r="G458" s="72" t="s">
        <v>44</v>
      </c>
      <c r="H458" s="72" t="s">
        <v>1</v>
      </c>
    </row>
    <row r="459" spans="1:8" x14ac:dyDescent="0.25">
      <c r="A459" s="73">
        <v>43531</v>
      </c>
      <c r="B459" s="72" t="s">
        <v>45</v>
      </c>
      <c r="C459" s="74">
        <v>43497</v>
      </c>
      <c r="D459" s="72" t="s">
        <v>109</v>
      </c>
      <c r="E459" s="72" t="s">
        <v>77</v>
      </c>
      <c r="F459" s="72">
        <v>-498.03</v>
      </c>
      <c r="G459" s="72" t="s">
        <v>44</v>
      </c>
      <c r="H459" s="72"/>
    </row>
    <row r="460" spans="1:8" x14ac:dyDescent="0.25">
      <c r="A460" s="73">
        <v>43524</v>
      </c>
      <c r="B460" s="72" t="s">
        <v>45</v>
      </c>
      <c r="C460" s="74">
        <v>43507</v>
      </c>
      <c r="D460" s="72" t="s">
        <v>109</v>
      </c>
      <c r="E460" s="72" t="s">
        <v>55</v>
      </c>
      <c r="F460" s="72">
        <v>-3859.9</v>
      </c>
      <c r="G460" s="72" t="s">
        <v>44</v>
      </c>
      <c r="H460" s="72" t="s">
        <v>1</v>
      </c>
    </row>
    <row r="461" spans="1:8" x14ac:dyDescent="0.25">
      <c r="A461" s="73">
        <v>43551</v>
      </c>
      <c r="B461" s="72" t="s">
        <v>45</v>
      </c>
      <c r="C461" s="74">
        <v>43536</v>
      </c>
      <c r="D461" s="72" t="s">
        <v>109</v>
      </c>
      <c r="E461" s="72" t="s">
        <v>55</v>
      </c>
      <c r="F461" s="72">
        <v>-3896.19</v>
      </c>
      <c r="G461" s="72"/>
      <c r="H461" s="72"/>
    </row>
    <row r="462" spans="1:8" x14ac:dyDescent="0.25">
      <c r="A462" s="73">
        <v>43473</v>
      </c>
      <c r="B462" s="72" t="s">
        <v>45</v>
      </c>
      <c r="C462" s="74">
        <v>43473</v>
      </c>
      <c r="D462" s="72" t="s">
        <v>109</v>
      </c>
      <c r="E462" s="72" t="s">
        <v>71</v>
      </c>
      <c r="F462" s="72">
        <v>-173.81</v>
      </c>
      <c r="G462" s="72" t="s">
        <v>44</v>
      </c>
      <c r="H462" s="72"/>
    </row>
    <row r="463" spans="1:8" x14ac:dyDescent="0.25">
      <c r="A463" s="73">
        <v>43475</v>
      </c>
      <c r="B463" s="72" t="s">
        <v>45</v>
      </c>
      <c r="C463" s="74">
        <v>43475</v>
      </c>
      <c r="D463" s="72" t="s">
        <v>109</v>
      </c>
      <c r="E463" s="72" t="s">
        <v>71</v>
      </c>
      <c r="F463" s="72">
        <v>-350</v>
      </c>
      <c r="G463" s="72" t="s">
        <v>44</v>
      </c>
      <c r="H463" s="72"/>
    </row>
    <row r="464" spans="1:8" x14ac:dyDescent="0.25">
      <c r="A464" s="73">
        <v>43500</v>
      </c>
      <c r="B464" s="72" t="s">
        <v>45</v>
      </c>
      <c r="C464" s="74">
        <v>43476</v>
      </c>
      <c r="D464" s="72" t="s">
        <v>109</v>
      </c>
      <c r="E464" s="72" t="s">
        <v>55</v>
      </c>
      <c r="F464" s="72">
        <v>-1238.68</v>
      </c>
      <c r="G464" s="72" t="s">
        <v>44</v>
      </c>
      <c r="H464" s="72" t="s">
        <v>1</v>
      </c>
    </row>
    <row r="465" spans="1:8" x14ac:dyDescent="0.25">
      <c r="A465" s="73">
        <v>43524</v>
      </c>
      <c r="B465" s="72" t="s">
        <v>45</v>
      </c>
      <c r="C465" s="74">
        <v>43507</v>
      </c>
      <c r="D465" s="72" t="s">
        <v>109</v>
      </c>
      <c r="E465" s="72" t="s">
        <v>55</v>
      </c>
      <c r="F465" s="72">
        <v>-1305.6600000000001</v>
      </c>
      <c r="G465" s="72" t="s">
        <v>44</v>
      </c>
      <c r="H465" s="72" t="s">
        <v>1</v>
      </c>
    </row>
    <row r="466" spans="1:8" x14ac:dyDescent="0.25">
      <c r="A466" s="73">
        <v>43551</v>
      </c>
      <c r="B466" s="72" t="s">
        <v>45</v>
      </c>
      <c r="C466" s="74">
        <v>43536</v>
      </c>
      <c r="D466" s="72" t="s">
        <v>109</v>
      </c>
      <c r="E466" s="72" t="s">
        <v>55</v>
      </c>
      <c r="F466" s="72">
        <v>-1328.1</v>
      </c>
      <c r="G466" s="72"/>
      <c r="H466" s="72"/>
    </row>
    <row r="467" spans="1:8" x14ac:dyDescent="0.25">
      <c r="A467" s="73">
        <v>43496</v>
      </c>
      <c r="B467" s="72" t="s">
        <v>42</v>
      </c>
      <c r="C467" s="74">
        <v>43496</v>
      </c>
      <c r="D467" s="72" t="s">
        <v>109</v>
      </c>
      <c r="E467" s="72" t="s">
        <v>63</v>
      </c>
      <c r="F467" s="72">
        <v>-2147.09</v>
      </c>
      <c r="G467" s="72" t="s">
        <v>44</v>
      </c>
      <c r="H467" s="72" t="s">
        <v>1</v>
      </c>
    </row>
    <row r="468" spans="1:8" x14ac:dyDescent="0.25">
      <c r="A468" s="73">
        <v>43521</v>
      </c>
      <c r="B468" s="72" t="s">
        <v>42</v>
      </c>
      <c r="C468" s="74">
        <v>43524</v>
      </c>
      <c r="D468" s="72" t="s">
        <v>109</v>
      </c>
      <c r="E468" s="72" t="s">
        <v>63</v>
      </c>
      <c r="F468" s="72">
        <v>-9904.64</v>
      </c>
      <c r="G468" s="72" t="s">
        <v>44</v>
      </c>
      <c r="H468" s="72" t="s">
        <v>1</v>
      </c>
    </row>
    <row r="469" spans="1:8" x14ac:dyDescent="0.25">
      <c r="A469" s="73">
        <v>43549</v>
      </c>
      <c r="B469" s="72" t="s">
        <v>42</v>
      </c>
      <c r="C469" s="74">
        <v>43549</v>
      </c>
      <c r="D469" s="72" t="s">
        <v>109</v>
      </c>
      <c r="E469" s="72" t="s">
        <v>63</v>
      </c>
      <c r="F469" s="72">
        <v>-9486.1299999999992</v>
      </c>
      <c r="G469" s="72"/>
      <c r="H469" s="72"/>
    </row>
    <row r="470" spans="1:8" x14ac:dyDescent="0.25">
      <c r="A470" s="73">
        <v>43539</v>
      </c>
      <c r="B470" s="72" t="s">
        <v>60</v>
      </c>
      <c r="C470" s="74">
        <v>43483</v>
      </c>
      <c r="D470" s="72" t="s">
        <v>109</v>
      </c>
      <c r="E470" s="72" t="s">
        <v>46</v>
      </c>
      <c r="F470" s="72">
        <v>1632.26</v>
      </c>
      <c r="G470" s="72" t="s">
        <v>47</v>
      </c>
      <c r="H470" s="72"/>
    </row>
    <row r="471" spans="1:8" x14ac:dyDescent="0.25">
      <c r="A471" s="73">
        <v>43500</v>
      </c>
      <c r="B471" s="72" t="s">
        <v>45</v>
      </c>
      <c r="C471" s="74">
        <v>43476</v>
      </c>
      <c r="D471" s="72" t="s">
        <v>109</v>
      </c>
      <c r="E471" s="72" t="s">
        <v>55</v>
      </c>
      <c r="F471" s="72">
        <v>-2213.0300000000002</v>
      </c>
      <c r="G471" s="72" t="s">
        <v>44</v>
      </c>
      <c r="H471" s="72" t="s">
        <v>1</v>
      </c>
    </row>
    <row r="472" spans="1:8" x14ac:dyDescent="0.25">
      <c r="A472" s="73">
        <v>43524</v>
      </c>
      <c r="B472" s="72" t="s">
        <v>45</v>
      </c>
      <c r="C472" s="74">
        <v>43507</v>
      </c>
      <c r="D472" s="72" t="s">
        <v>109</v>
      </c>
      <c r="E472" s="72" t="s">
        <v>55</v>
      </c>
      <c r="F472" s="72">
        <v>-2142.7199999999998</v>
      </c>
      <c r="G472" s="72" t="s">
        <v>44</v>
      </c>
      <c r="H472" s="72" t="s">
        <v>1</v>
      </c>
    </row>
    <row r="473" spans="1:8" x14ac:dyDescent="0.25">
      <c r="A473" s="73">
        <v>43551</v>
      </c>
      <c r="B473" s="72" t="s">
        <v>45</v>
      </c>
      <c r="C473" s="74">
        <v>43536</v>
      </c>
      <c r="D473" s="72" t="s">
        <v>109</v>
      </c>
      <c r="E473" s="72" t="s">
        <v>55</v>
      </c>
      <c r="F473" s="72">
        <v>-2109.11</v>
      </c>
      <c r="G473" s="72"/>
      <c r="H473" s="72"/>
    </row>
    <row r="474" spans="1:8" x14ac:dyDescent="0.25">
      <c r="A474" s="73">
        <v>43521</v>
      </c>
      <c r="B474" s="72" t="s">
        <v>76</v>
      </c>
      <c r="C474" s="74">
        <v>43497</v>
      </c>
      <c r="D474" s="72" t="s">
        <v>109</v>
      </c>
      <c r="E474" s="72" t="s">
        <v>46</v>
      </c>
      <c r="F474" s="72">
        <v>29.57</v>
      </c>
      <c r="G474" s="72" t="s">
        <v>47</v>
      </c>
      <c r="H474" s="72" t="s">
        <v>1</v>
      </c>
    </row>
    <row r="475" spans="1:8" x14ac:dyDescent="0.25">
      <c r="A475" s="73">
        <v>43542</v>
      </c>
      <c r="B475" s="72" t="s">
        <v>58</v>
      </c>
      <c r="C475" s="74">
        <v>43497</v>
      </c>
      <c r="D475" s="72" t="s">
        <v>109</v>
      </c>
      <c r="E475" s="72" t="s">
        <v>46</v>
      </c>
      <c r="F475" s="72">
        <v>19954</v>
      </c>
      <c r="G475" s="72"/>
      <c r="H475" s="72"/>
    </row>
    <row r="476" spans="1:8" x14ac:dyDescent="0.25">
      <c r="A476" s="73">
        <v>43538</v>
      </c>
      <c r="B476" s="72" t="s">
        <v>58</v>
      </c>
      <c r="C476" s="74">
        <v>43497</v>
      </c>
      <c r="D476" s="72" t="s">
        <v>109</v>
      </c>
      <c r="E476" s="72" t="s">
        <v>46</v>
      </c>
      <c r="F476" s="72">
        <v>17270.939999999999</v>
      </c>
      <c r="G476" s="72" t="s">
        <v>47</v>
      </c>
      <c r="H476" s="72"/>
    </row>
    <row r="477" spans="1:8" x14ac:dyDescent="0.25">
      <c r="A477" s="73">
        <v>43500</v>
      </c>
      <c r="B477" s="72" t="s">
        <v>45</v>
      </c>
      <c r="C477" s="74">
        <v>43476</v>
      </c>
      <c r="D477" s="72" t="s">
        <v>109</v>
      </c>
      <c r="E477" s="72" t="s">
        <v>55</v>
      </c>
      <c r="F477" s="72">
        <v>-2303.7399999999998</v>
      </c>
      <c r="G477" s="72" t="s">
        <v>44</v>
      </c>
      <c r="H477" s="72" t="s">
        <v>1</v>
      </c>
    </row>
    <row r="478" spans="1:8" x14ac:dyDescent="0.25">
      <c r="A478" s="73">
        <v>43524</v>
      </c>
      <c r="B478" s="72" t="s">
        <v>45</v>
      </c>
      <c r="C478" s="74">
        <v>43507</v>
      </c>
      <c r="D478" s="72" t="s">
        <v>109</v>
      </c>
      <c r="E478" s="72" t="s">
        <v>55</v>
      </c>
      <c r="F478" s="72">
        <v>-2285.64</v>
      </c>
      <c r="G478" s="72" t="s">
        <v>44</v>
      </c>
      <c r="H478" s="72" t="s">
        <v>1</v>
      </c>
    </row>
    <row r="479" spans="1:8" x14ac:dyDescent="0.25">
      <c r="A479" s="73">
        <v>43551</v>
      </c>
      <c r="B479" s="72" t="s">
        <v>45</v>
      </c>
      <c r="C479" s="74">
        <v>43536</v>
      </c>
      <c r="D479" s="72" t="s">
        <v>109</v>
      </c>
      <c r="E479" s="72" t="s">
        <v>55</v>
      </c>
      <c r="F479" s="72">
        <v>-2263.98</v>
      </c>
      <c r="G479" s="72"/>
      <c r="H479" s="72"/>
    </row>
    <row r="480" spans="1:8" x14ac:dyDescent="0.25">
      <c r="A480" s="73">
        <v>43475</v>
      </c>
      <c r="B480" s="72" t="s">
        <v>76</v>
      </c>
      <c r="C480" s="74">
        <v>43475</v>
      </c>
      <c r="D480" s="72" t="s">
        <v>109</v>
      </c>
      <c r="E480" s="72" t="s">
        <v>79</v>
      </c>
      <c r="F480" s="72">
        <v>-274.64999999999998</v>
      </c>
      <c r="G480" s="72" t="s">
        <v>44</v>
      </c>
      <c r="H480" s="72"/>
    </row>
    <row r="481" spans="1:8" x14ac:dyDescent="0.25">
      <c r="A481" s="73">
        <v>43479</v>
      </c>
      <c r="B481" s="72" t="s">
        <v>76</v>
      </c>
      <c r="C481" s="74">
        <v>43479</v>
      </c>
      <c r="D481" s="72" t="s">
        <v>109</v>
      </c>
      <c r="E481" s="72" t="s">
        <v>79</v>
      </c>
      <c r="F481" s="72">
        <v>-350.58</v>
      </c>
      <c r="G481" s="72" t="s">
        <v>44</v>
      </c>
      <c r="H481" s="72"/>
    </row>
    <row r="482" spans="1:8" x14ac:dyDescent="0.25">
      <c r="A482" s="73">
        <v>43482</v>
      </c>
      <c r="B482" s="72" t="s">
        <v>76</v>
      </c>
      <c r="C482" s="74">
        <v>43482</v>
      </c>
      <c r="D482" s="72" t="s">
        <v>109</v>
      </c>
      <c r="E482" s="72" t="s">
        <v>79</v>
      </c>
      <c r="F482" s="72">
        <v>-315.5</v>
      </c>
      <c r="G482" s="72" t="s">
        <v>44</v>
      </c>
      <c r="H482" s="72"/>
    </row>
    <row r="483" spans="1:8" x14ac:dyDescent="0.25">
      <c r="A483" s="73">
        <v>43488</v>
      </c>
      <c r="B483" s="72" t="s">
        <v>76</v>
      </c>
      <c r="C483" s="74">
        <v>43488</v>
      </c>
      <c r="D483" s="72" t="s">
        <v>109</v>
      </c>
      <c r="E483" s="72" t="s">
        <v>79</v>
      </c>
      <c r="F483" s="72">
        <v>-283.62</v>
      </c>
      <c r="G483" s="72" t="s">
        <v>44</v>
      </c>
      <c r="H483" s="72"/>
    </row>
    <row r="484" spans="1:8" x14ac:dyDescent="0.25">
      <c r="A484" s="73">
        <v>43494</v>
      </c>
      <c r="B484" s="72" t="s">
        <v>76</v>
      </c>
      <c r="C484" s="74">
        <v>43494</v>
      </c>
      <c r="D484" s="72" t="s">
        <v>109</v>
      </c>
      <c r="E484" s="72" t="s">
        <v>79</v>
      </c>
      <c r="F484" s="72">
        <v>-345.3</v>
      </c>
      <c r="G484" s="72" t="s">
        <v>44</v>
      </c>
      <c r="H484" s="72"/>
    </row>
    <row r="485" spans="1:8" x14ac:dyDescent="0.25">
      <c r="A485" s="73">
        <v>43497</v>
      </c>
      <c r="B485" s="72" t="s">
        <v>76</v>
      </c>
      <c r="C485" s="74">
        <v>43497</v>
      </c>
      <c r="D485" s="72" t="s">
        <v>109</v>
      </c>
      <c r="E485" s="72" t="s">
        <v>79</v>
      </c>
      <c r="F485" s="72">
        <v>-353.39</v>
      </c>
      <c r="G485" s="72" t="s">
        <v>44</v>
      </c>
      <c r="H485" s="72"/>
    </row>
    <row r="486" spans="1:8" x14ac:dyDescent="0.25">
      <c r="A486" s="73">
        <v>43500</v>
      </c>
      <c r="B486" s="72" t="s">
        <v>76</v>
      </c>
      <c r="C486" s="74">
        <v>43500</v>
      </c>
      <c r="D486" s="72" t="s">
        <v>109</v>
      </c>
      <c r="E486" s="72" t="s">
        <v>79</v>
      </c>
      <c r="F486" s="72">
        <v>-159.47999999999999</v>
      </c>
      <c r="G486" s="72" t="s">
        <v>44</v>
      </c>
      <c r="H486" s="72"/>
    </row>
    <row r="487" spans="1:8" x14ac:dyDescent="0.25">
      <c r="A487" s="73">
        <v>43503</v>
      </c>
      <c r="B487" s="72" t="s">
        <v>76</v>
      </c>
      <c r="C487" s="74">
        <v>43503</v>
      </c>
      <c r="D487" s="72" t="s">
        <v>109</v>
      </c>
      <c r="E487" s="72" t="s">
        <v>79</v>
      </c>
      <c r="F487" s="72">
        <v>-350.51</v>
      </c>
      <c r="G487" s="72" t="s">
        <v>44</v>
      </c>
      <c r="H487" s="72"/>
    </row>
    <row r="488" spans="1:8" x14ac:dyDescent="0.25">
      <c r="A488" s="73">
        <v>43508</v>
      </c>
      <c r="B488" s="72" t="s">
        <v>76</v>
      </c>
      <c r="C488" s="74">
        <v>43508</v>
      </c>
      <c r="D488" s="72" t="s">
        <v>109</v>
      </c>
      <c r="E488" s="72" t="s">
        <v>79</v>
      </c>
      <c r="F488" s="72">
        <v>-150</v>
      </c>
      <c r="G488" s="72" t="s">
        <v>44</v>
      </c>
      <c r="H488" s="72"/>
    </row>
    <row r="489" spans="1:8" x14ac:dyDescent="0.25">
      <c r="A489" s="73">
        <v>43509</v>
      </c>
      <c r="B489" s="72" t="s">
        <v>76</v>
      </c>
      <c r="C489" s="74">
        <v>43509</v>
      </c>
      <c r="D489" s="72" t="s">
        <v>109</v>
      </c>
      <c r="E489" s="72" t="s">
        <v>79</v>
      </c>
      <c r="F489" s="72">
        <v>-219.66</v>
      </c>
      <c r="G489" s="72" t="s">
        <v>44</v>
      </c>
      <c r="H489" s="72"/>
    </row>
    <row r="490" spans="1:8" x14ac:dyDescent="0.25">
      <c r="A490" s="73">
        <v>43509</v>
      </c>
      <c r="B490" s="72" t="s">
        <v>76</v>
      </c>
      <c r="C490" s="74">
        <v>43509</v>
      </c>
      <c r="D490" s="72" t="s">
        <v>109</v>
      </c>
      <c r="E490" s="72" t="s">
        <v>79</v>
      </c>
      <c r="F490" s="72">
        <v>-123.32</v>
      </c>
      <c r="G490" s="72" t="s">
        <v>44</v>
      </c>
      <c r="H490" s="72"/>
    </row>
    <row r="491" spans="1:8" x14ac:dyDescent="0.25">
      <c r="A491" s="73">
        <v>43511</v>
      </c>
      <c r="B491" s="72" t="s">
        <v>76</v>
      </c>
      <c r="C491" s="74">
        <v>43511</v>
      </c>
      <c r="D491" s="72" t="s">
        <v>109</v>
      </c>
      <c r="E491" s="72" t="s">
        <v>79</v>
      </c>
      <c r="F491" s="72">
        <v>-359.43</v>
      </c>
      <c r="G491" s="72" t="s">
        <v>44</v>
      </c>
      <c r="H491" s="72"/>
    </row>
    <row r="492" spans="1:8" x14ac:dyDescent="0.25">
      <c r="A492" s="73">
        <v>43516</v>
      </c>
      <c r="B492" s="72" t="s">
        <v>76</v>
      </c>
      <c r="C492" s="74">
        <v>43516</v>
      </c>
      <c r="D492" s="72" t="s">
        <v>109</v>
      </c>
      <c r="E492" s="72" t="s">
        <v>79</v>
      </c>
      <c r="F492" s="72">
        <v>-327.27</v>
      </c>
      <c r="G492" s="72" t="s">
        <v>44</v>
      </c>
      <c r="H492" s="72"/>
    </row>
    <row r="493" spans="1:8" x14ac:dyDescent="0.25">
      <c r="A493" s="73">
        <v>43521</v>
      </c>
      <c r="B493" s="72" t="s">
        <v>76</v>
      </c>
      <c r="C493" s="74">
        <v>43519</v>
      </c>
      <c r="D493" s="72" t="s">
        <v>109</v>
      </c>
      <c r="E493" s="72" t="s">
        <v>79</v>
      </c>
      <c r="F493" s="72">
        <v>-277.31</v>
      </c>
      <c r="G493" s="72" t="s">
        <v>44</v>
      </c>
      <c r="H493" s="72"/>
    </row>
    <row r="494" spans="1:8" x14ac:dyDescent="0.25">
      <c r="A494" s="73">
        <v>43522</v>
      </c>
      <c r="B494" s="72" t="s">
        <v>76</v>
      </c>
      <c r="C494" s="74">
        <v>43519</v>
      </c>
      <c r="D494" s="72" t="s">
        <v>109</v>
      </c>
      <c r="E494" s="72" t="s">
        <v>79</v>
      </c>
      <c r="F494" s="72">
        <v>-308.68</v>
      </c>
      <c r="G494" s="72" t="s">
        <v>44</v>
      </c>
      <c r="H494" s="72"/>
    </row>
    <row r="495" spans="1:8" x14ac:dyDescent="0.25">
      <c r="A495" s="73">
        <v>43524</v>
      </c>
      <c r="B495" s="72" t="s">
        <v>76</v>
      </c>
      <c r="C495" s="74">
        <v>43519</v>
      </c>
      <c r="D495" s="72" t="s">
        <v>109</v>
      </c>
      <c r="E495" s="72" t="s">
        <v>79</v>
      </c>
      <c r="F495" s="72">
        <v>-264.05</v>
      </c>
      <c r="G495" s="72" t="s">
        <v>44</v>
      </c>
      <c r="H495" s="72"/>
    </row>
    <row r="496" spans="1:8" x14ac:dyDescent="0.25">
      <c r="A496" s="73">
        <v>43486</v>
      </c>
      <c r="B496" s="72" t="s">
        <v>76</v>
      </c>
      <c r="C496" s="74">
        <v>43486</v>
      </c>
      <c r="D496" s="72" t="s">
        <v>109</v>
      </c>
      <c r="E496" s="72" t="s">
        <v>79</v>
      </c>
      <c r="F496" s="72">
        <v>-20</v>
      </c>
      <c r="G496" s="72" t="s">
        <v>44</v>
      </c>
      <c r="H496" s="72"/>
    </row>
    <row r="497" spans="1:8" x14ac:dyDescent="0.25">
      <c r="A497" s="73">
        <v>43486</v>
      </c>
      <c r="B497" s="72" t="s">
        <v>76</v>
      </c>
      <c r="C497" s="74">
        <v>43486</v>
      </c>
      <c r="D497" s="72" t="s">
        <v>109</v>
      </c>
      <c r="E497" s="72" t="s">
        <v>79</v>
      </c>
      <c r="F497" s="72">
        <v>-310.2</v>
      </c>
      <c r="G497" s="72" t="s">
        <v>44</v>
      </c>
      <c r="H497" s="72"/>
    </row>
    <row r="498" spans="1:8" x14ac:dyDescent="0.25">
      <c r="A498" s="73">
        <v>43494</v>
      </c>
      <c r="B498" s="72" t="s">
        <v>76</v>
      </c>
      <c r="C498" s="74">
        <v>43494</v>
      </c>
      <c r="D498" s="72" t="s">
        <v>109</v>
      </c>
      <c r="E498" s="72" t="s">
        <v>79</v>
      </c>
      <c r="F498" s="72">
        <v>-20</v>
      </c>
      <c r="G498" s="72" t="s">
        <v>44</v>
      </c>
      <c r="H498" s="72"/>
    </row>
    <row r="499" spans="1:8" x14ac:dyDescent="0.25">
      <c r="A499" s="73">
        <v>43517</v>
      </c>
      <c r="B499" s="72" t="s">
        <v>76</v>
      </c>
      <c r="C499" s="74">
        <v>43517</v>
      </c>
      <c r="D499" s="72" t="s">
        <v>109</v>
      </c>
      <c r="E499" s="72" t="s">
        <v>79</v>
      </c>
      <c r="F499" s="72">
        <v>-20</v>
      </c>
      <c r="G499" s="72" t="s">
        <v>44</v>
      </c>
      <c r="H499" s="72"/>
    </row>
    <row r="500" spans="1:8" x14ac:dyDescent="0.25">
      <c r="A500" s="73">
        <v>43475</v>
      </c>
      <c r="B500" s="72" t="s">
        <v>76</v>
      </c>
      <c r="C500" s="74">
        <v>43475</v>
      </c>
      <c r="D500" s="72" t="s">
        <v>109</v>
      </c>
      <c r="E500" s="72" t="s">
        <v>79</v>
      </c>
      <c r="F500" s="72">
        <v>-27.2</v>
      </c>
      <c r="G500" s="72" t="s">
        <v>44</v>
      </c>
      <c r="H500" s="72"/>
    </row>
    <row r="501" spans="1:8" x14ac:dyDescent="0.25">
      <c r="A501" s="73">
        <v>43480</v>
      </c>
      <c r="B501" s="72" t="s">
        <v>76</v>
      </c>
      <c r="C501" s="74">
        <v>43480</v>
      </c>
      <c r="D501" s="72" t="s">
        <v>109</v>
      </c>
      <c r="E501" s="72" t="s">
        <v>79</v>
      </c>
      <c r="F501" s="72">
        <v>-27.2</v>
      </c>
      <c r="G501" s="72" t="s">
        <v>44</v>
      </c>
      <c r="H501" s="72"/>
    </row>
    <row r="502" spans="1:8" x14ac:dyDescent="0.25">
      <c r="A502" s="73">
        <v>43481</v>
      </c>
      <c r="B502" s="72" t="s">
        <v>76</v>
      </c>
      <c r="C502" s="74">
        <v>43481</v>
      </c>
      <c r="D502" s="72" t="s">
        <v>109</v>
      </c>
      <c r="E502" s="72" t="s">
        <v>79</v>
      </c>
      <c r="F502" s="72">
        <v>-27.2</v>
      </c>
      <c r="G502" s="72" t="s">
        <v>44</v>
      </c>
      <c r="H502" s="72"/>
    </row>
    <row r="503" spans="1:8" x14ac:dyDescent="0.25">
      <c r="A503" s="73">
        <v>43482</v>
      </c>
      <c r="B503" s="72" t="s">
        <v>76</v>
      </c>
      <c r="C503" s="74">
        <v>43482</v>
      </c>
      <c r="D503" s="72" t="s">
        <v>109</v>
      </c>
      <c r="E503" s="72" t="s">
        <v>79</v>
      </c>
      <c r="F503" s="72">
        <v>-11.4</v>
      </c>
      <c r="G503" s="72" t="s">
        <v>44</v>
      </c>
      <c r="H503" s="72"/>
    </row>
    <row r="504" spans="1:8" x14ac:dyDescent="0.25">
      <c r="A504" s="73">
        <v>43482</v>
      </c>
      <c r="B504" s="72" t="s">
        <v>76</v>
      </c>
      <c r="C504" s="74">
        <v>43482</v>
      </c>
      <c r="D504" s="72" t="s">
        <v>109</v>
      </c>
      <c r="E504" s="72" t="s">
        <v>79</v>
      </c>
      <c r="F504" s="72">
        <v>-11.6</v>
      </c>
      <c r="G504" s="72" t="s">
        <v>44</v>
      </c>
      <c r="H504" s="72"/>
    </row>
    <row r="505" spans="1:8" x14ac:dyDescent="0.25">
      <c r="A505" s="73">
        <v>43500</v>
      </c>
      <c r="B505" s="72" t="s">
        <v>76</v>
      </c>
      <c r="C505" s="74">
        <v>43500</v>
      </c>
      <c r="D505" s="72" t="s">
        <v>109</v>
      </c>
      <c r="E505" s="72" t="s">
        <v>79</v>
      </c>
      <c r="F505" s="72">
        <v>-20.8</v>
      </c>
      <c r="G505" s="72" t="s">
        <v>44</v>
      </c>
      <c r="H505" s="72"/>
    </row>
    <row r="506" spans="1:8" x14ac:dyDescent="0.25">
      <c r="A506" s="73">
        <v>43509</v>
      </c>
      <c r="B506" s="72" t="s">
        <v>76</v>
      </c>
      <c r="C506" s="74">
        <v>43509</v>
      </c>
      <c r="D506" s="72" t="s">
        <v>109</v>
      </c>
      <c r="E506" s="72" t="s">
        <v>79</v>
      </c>
      <c r="F506" s="72">
        <v>-27.8</v>
      </c>
      <c r="G506" s="72" t="s">
        <v>44</v>
      </c>
      <c r="H506" s="72"/>
    </row>
    <row r="507" spans="1:8" x14ac:dyDescent="0.25">
      <c r="A507" s="73">
        <v>43521</v>
      </c>
      <c r="B507" s="72" t="s">
        <v>76</v>
      </c>
      <c r="C507" s="74">
        <v>43517</v>
      </c>
      <c r="D507" s="72" t="s">
        <v>109</v>
      </c>
      <c r="E507" s="72" t="s">
        <v>79</v>
      </c>
      <c r="F507" s="72">
        <v>-27.8</v>
      </c>
      <c r="G507" s="72" t="s">
        <v>44</v>
      </c>
      <c r="H507" s="72"/>
    </row>
    <row r="508" spans="1:8" x14ac:dyDescent="0.25">
      <c r="A508" s="73">
        <v>43521</v>
      </c>
      <c r="B508" s="72" t="s">
        <v>76</v>
      </c>
      <c r="C508" s="74">
        <v>43517</v>
      </c>
      <c r="D508" s="72" t="s">
        <v>109</v>
      </c>
      <c r="E508" s="72" t="s">
        <v>79</v>
      </c>
      <c r="F508" s="72">
        <v>-27.6</v>
      </c>
      <c r="G508" s="72" t="s">
        <v>44</v>
      </c>
      <c r="H508" s="72"/>
    </row>
    <row r="509" spans="1:8" x14ac:dyDescent="0.25">
      <c r="A509" s="73">
        <v>43521</v>
      </c>
      <c r="B509" s="72" t="s">
        <v>76</v>
      </c>
      <c r="C509" s="74">
        <v>43518</v>
      </c>
      <c r="D509" s="72" t="s">
        <v>109</v>
      </c>
      <c r="E509" s="72" t="s">
        <v>79</v>
      </c>
      <c r="F509" s="72">
        <v>-19.2</v>
      </c>
      <c r="G509" s="72" t="s">
        <v>44</v>
      </c>
      <c r="H509" s="72"/>
    </row>
    <row r="510" spans="1:8" x14ac:dyDescent="0.25">
      <c r="A510" s="73">
        <v>43539</v>
      </c>
      <c r="B510" s="72" t="s">
        <v>60</v>
      </c>
      <c r="C510" s="74">
        <v>43473</v>
      </c>
      <c r="D510" s="72" t="s">
        <v>109</v>
      </c>
      <c r="E510" s="72" t="s">
        <v>46</v>
      </c>
      <c r="F510" s="72">
        <v>482</v>
      </c>
      <c r="G510" s="72" t="s">
        <v>47</v>
      </c>
      <c r="H510" s="72"/>
    </row>
    <row r="511" spans="1:8" x14ac:dyDescent="0.25">
      <c r="A511" s="73">
        <v>43497</v>
      </c>
      <c r="B511" s="72" t="s">
        <v>45</v>
      </c>
      <c r="C511" s="74">
        <v>43496</v>
      </c>
      <c r="D511" s="72" t="s">
        <v>109</v>
      </c>
      <c r="E511" s="72" t="s">
        <v>43</v>
      </c>
      <c r="F511" s="72">
        <v>-198</v>
      </c>
      <c r="G511" s="72" t="s">
        <v>44</v>
      </c>
      <c r="H511" s="72"/>
    </row>
    <row r="512" spans="1:8" x14ac:dyDescent="0.25">
      <c r="A512" s="73">
        <v>43531</v>
      </c>
      <c r="B512" s="72" t="s">
        <v>45</v>
      </c>
      <c r="C512" s="74">
        <v>43497</v>
      </c>
      <c r="D512" s="72" t="s">
        <v>109</v>
      </c>
      <c r="E512" s="72" t="s">
        <v>43</v>
      </c>
      <c r="F512" s="72">
        <v>-423.68</v>
      </c>
      <c r="G512" s="72" t="s">
        <v>44</v>
      </c>
      <c r="H512" s="72"/>
    </row>
    <row r="513" spans="1:8" x14ac:dyDescent="0.25">
      <c r="A513" s="73">
        <v>43538</v>
      </c>
      <c r="B513" s="72" t="s">
        <v>59</v>
      </c>
      <c r="C513" s="74">
        <v>43497</v>
      </c>
      <c r="D513" s="72" t="s">
        <v>109</v>
      </c>
      <c r="E513" s="72" t="s">
        <v>46</v>
      </c>
      <c r="F513" s="72">
        <v>67192.009999999995</v>
      </c>
      <c r="G513" s="72" t="s">
        <v>47</v>
      </c>
      <c r="H513" s="72" t="s">
        <v>1</v>
      </c>
    </row>
    <row r="514" spans="1:8" x14ac:dyDescent="0.25">
      <c r="A514" s="73">
        <v>43479</v>
      </c>
      <c r="B514" s="72" t="s">
        <v>45</v>
      </c>
      <c r="C514" s="74">
        <v>43479</v>
      </c>
      <c r="D514" s="72" t="s">
        <v>109</v>
      </c>
      <c r="E514" s="72" t="s">
        <v>80</v>
      </c>
      <c r="F514" s="72">
        <v>-4672.2</v>
      </c>
      <c r="G514" s="72" t="s">
        <v>44</v>
      </c>
      <c r="H514" s="72"/>
    </row>
    <row r="515" spans="1:8" x14ac:dyDescent="0.25">
      <c r="A515" s="73">
        <v>43500</v>
      </c>
      <c r="B515" s="72" t="s">
        <v>45</v>
      </c>
      <c r="C515" s="74">
        <v>43476</v>
      </c>
      <c r="D515" s="72" t="s">
        <v>109</v>
      </c>
      <c r="E515" s="72" t="s">
        <v>55</v>
      </c>
      <c r="F515" s="72">
        <v>-2099.65</v>
      </c>
      <c r="G515" s="72" t="s">
        <v>44</v>
      </c>
      <c r="H515" s="72" t="s">
        <v>1</v>
      </c>
    </row>
    <row r="516" spans="1:8" x14ac:dyDescent="0.25">
      <c r="A516" s="73">
        <v>43524</v>
      </c>
      <c r="B516" s="72" t="s">
        <v>45</v>
      </c>
      <c r="C516" s="74">
        <v>43507</v>
      </c>
      <c r="D516" s="72" t="s">
        <v>109</v>
      </c>
      <c r="E516" s="72" t="s">
        <v>55</v>
      </c>
      <c r="F516" s="72">
        <v>-2099.65</v>
      </c>
      <c r="G516" s="72" t="s">
        <v>44</v>
      </c>
      <c r="H516" s="72" t="s">
        <v>1</v>
      </c>
    </row>
    <row r="517" spans="1:8" x14ac:dyDescent="0.25">
      <c r="A517" s="73">
        <v>43551</v>
      </c>
      <c r="B517" s="72" t="s">
        <v>45</v>
      </c>
      <c r="C517" s="74">
        <v>43536</v>
      </c>
      <c r="D517" s="72" t="s">
        <v>109</v>
      </c>
      <c r="E517" s="72" t="s">
        <v>55</v>
      </c>
      <c r="F517" s="72">
        <v>-2041.95</v>
      </c>
      <c r="G517" s="72"/>
      <c r="H517" s="72"/>
    </row>
    <row r="518" spans="1:8" x14ac:dyDescent="0.25">
      <c r="A518" s="73">
        <v>43551</v>
      </c>
      <c r="B518" s="72" t="s">
        <v>45</v>
      </c>
      <c r="C518" s="74">
        <v>43497</v>
      </c>
      <c r="D518" s="72" t="s">
        <v>109</v>
      </c>
      <c r="E518" s="72" t="s">
        <v>66</v>
      </c>
      <c r="F518" s="72">
        <v>-385.2</v>
      </c>
      <c r="G518" s="72"/>
      <c r="H518" s="72"/>
    </row>
    <row r="519" spans="1:8" x14ac:dyDescent="0.25">
      <c r="A519" s="73">
        <v>43538</v>
      </c>
      <c r="B519" s="72" t="s">
        <v>59</v>
      </c>
      <c r="C519" s="74">
        <v>43497</v>
      </c>
      <c r="D519" s="72" t="s">
        <v>109</v>
      </c>
      <c r="E519" s="72" t="s">
        <v>46</v>
      </c>
      <c r="F519" s="72">
        <v>124000</v>
      </c>
      <c r="G519" s="72" t="s">
        <v>47</v>
      </c>
      <c r="H519" s="72" t="s">
        <v>1</v>
      </c>
    </row>
    <row r="520" spans="1:8" x14ac:dyDescent="0.25">
      <c r="A520" s="73">
        <v>43538</v>
      </c>
      <c r="B520" s="72" t="s">
        <v>42</v>
      </c>
      <c r="C520" s="74">
        <v>43497</v>
      </c>
      <c r="D520" s="72" t="s">
        <v>109</v>
      </c>
      <c r="E520" s="72" t="s">
        <v>46</v>
      </c>
      <c r="F520" s="72">
        <v>55933.69</v>
      </c>
      <c r="G520" s="72" t="s">
        <v>47</v>
      </c>
      <c r="H520" s="72" t="s">
        <v>1</v>
      </c>
    </row>
    <row r="521" spans="1:8" x14ac:dyDescent="0.25">
      <c r="A521" s="73">
        <v>43558</v>
      </c>
      <c r="B521" s="72" t="s">
        <v>45</v>
      </c>
      <c r="C521" s="74">
        <v>43505</v>
      </c>
      <c r="D521" s="72" t="s">
        <v>109</v>
      </c>
      <c r="E521" s="72" t="s">
        <v>57</v>
      </c>
      <c r="F521" s="72">
        <v>-3942.4</v>
      </c>
      <c r="G521" s="72"/>
      <c r="H521" s="72"/>
    </row>
    <row r="522" spans="1:8" x14ac:dyDescent="0.25">
      <c r="A522" s="73">
        <v>43588</v>
      </c>
      <c r="B522" s="72" t="s">
        <v>45</v>
      </c>
      <c r="C522" s="74">
        <v>43533</v>
      </c>
      <c r="D522" s="72" t="s">
        <v>109</v>
      </c>
      <c r="E522" s="72" t="s">
        <v>57</v>
      </c>
      <c r="F522" s="72">
        <v>-3992.7</v>
      </c>
      <c r="G522" s="72"/>
      <c r="H522" s="72"/>
    </row>
    <row r="523" spans="1:8" x14ac:dyDescent="0.25">
      <c r="A523" s="73">
        <v>43558</v>
      </c>
      <c r="B523" s="72" t="s">
        <v>45</v>
      </c>
      <c r="C523" s="74">
        <v>43505</v>
      </c>
      <c r="D523" s="72" t="s">
        <v>109</v>
      </c>
      <c r="E523" s="72" t="s">
        <v>57</v>
      </c>
      <c r="F523" s="72">
        <v>-4717.6099999999997</v>
      </c>
      <c r="G523" s="72"/>
      <c r="H523" s="72"/>
    </row>
    <row r="524" spans="1:8" x14ac:dyDescent="0.25">
      <c r="A524" s="73">
        <v>43588</v>
      </c>
      <c r="B524" s="72" t="s">
        <v>45</v>
      </c>
      <c r="C524" s="74">
        <v>43533</v>
      </c>
      <c r="D524" s="72" t="s">
        <v>109</v>
      </c>
      <c r="E524" s="72" t="s">
        <v>57</v>
      </c>
      <c r="F524" s="72">
        <v>-4589.7700000000004</v>
      </c>
      <c r="G524" s="72"/>
      <c r="H524" s="72"/>
    </row>
    <row r="525" spans="1:8" x14ac:dyDescent="0.25">
      <c r="A525" s="73">
        <v>43558</v>
      </c>
      <c r="B525" s="72" t="s">
        <v>45</v>
      </c>
      <c r="C525" s="74">
        <v>43505</v>
      </c>
      <c r="D525" s="72" t="s">
        <v>109</v>
      </c>
      <c r="E525" s="72" t="s">
        <v>57</v>
      </c>
      <c r="F525" s="72">
        <v>-4389.6000000000004</v>
      </c>
      <c r="G525" s="72"/>
      <c r="H525" s="72"/>
    </row>
    <row r="526" spans="1:8" x14ac:dyDescent="0.25">
      <c r="A526" s="73">
        <v>43588</v>
      </c>
      <c r="B526" s="72" t="s">
        <v>45</v>
      </c>
      <c r="C526" s="74">
        <v>43533</v>
      </c>
      <c r="D526" s="72" t="s">
        <v>109</v>
      </c>
      <c r="E526" s="72" t="s">
        <v>57</v>
      </c>
      <c r="F526" s="72">
        <v>-4389.6000000000004</v>
      </c>
      <c r="G526" s="72"/>
      <c r="H526" s="72"/>
    </row>
    <row r="527" spans="1:8" x14ac:dyDescent="0.25">
      <c r="A527" s="73">
        <v>43558</v>
      </c>
      <c r="B527" s="72" t="s">
        <v>45</v>
      </c>
      <c r="C527" s="74">
        <v>43505</v>
      </c>
      <c r="D527" s="72" t="s">
        <v>109</v>
      </c>
      <c r="E527" s="72" t="s">
        <v>57</v>
      </c>
      <c r="F527" s="72">
        <v>-4476</v>
      </c>
      <c r="G527" s="72"/>
      <c r="H527" s="72"/>
    </row>
    <row r="528" spans="1:8" x14ac:dyDescent="0.25">
      <c r="A528" s="73">
        <v>43588</v>
      </c>
      <c r="B528" s="72" t="s">
        <v>45</v>
      </c>
      <c r="C528" s="74">
        <v>43533</v>
      </c>
      <c r="D528" s="72" t="s">
        <v>109</v>
      </c>
      <c r="E528" s="72" t="s">
        <v>57</v>
      </c>
      <c r="F528" s="72">
        <v>-4476</v>
      </c>
      <c r="G528" s="72"/>
      <c r="H528" s="72"/>
    </row>
    <row r="529" spans="1:8" x14ac:dyDescent="0.25">
      <c r="A529" s="73">
        <v>43558</v>
      </c>
      <c r="B529" s="72" t="s">
        <v>45</v>
      </c>
      <c r="C529" s="74">
        <v>43505</v>
      </c>
      <c r="D529" s="72" t="s">
        <v>109</v>
      </c>
      <c r="E529" s="72" t="s">
        <v>57</v>
      </c>
      <c r="F529" s="72">
        <v>-4476</v>
      </c>
      <c r="G529" s="72"/>
      <c r="H529" s="72"/>
    </row>
    <row r="530" spans="1:8" x14ac:dyDescent="0.25">
      <c r="A530" s="73">
        <v>43588</v>
      </c>
      <c r="B530" s="72" t="s">
        <v>45</v>
      </c>
      <c r="C530" s="74">
        <v>43533</v>
      </c>
      <c r="D530" s="72" t="s">
        <v>109</v>
      </c>
      <c r="E530" s="72" t="s">
        <v>57</v>
      </c>
      <c r="F530" s="72">
        <v>-4476</v>
      </c>
      <c r="G530" s="72"/>
      <c r="H530" s="72"/>
    </row>
    <row r="531" spans="1:8" x14ac:dyDescent="0.25">
      <c r="A531" s="73">
        <v>43542</v>
      </c>
      <c r="B531" s="72" t="s">
        <v>58</v>
      </c>
      <c r="C531" s="74">
        <v>43497</v>
      </c>
      <c r="D531" s="72" t="s">
        <v>109</v>
      </c>
      <c r="E531" s="72" t="s">
        <v>46</v>
      </c>
      <c r="F531" s="72">
        <v>10131</v>
      </c>
      <c r="G531" s="72"/>
      <c r="H531" s="72"/>
    </row>
    <row r="532" spans="1:8" x14ac:dyDescent="0.25">
      <c r="A532" s="73">
        <v>43500</v>
      </c>
      <c r="B532" s="72" t="s">
        <v>45</v>
      </c>
      <c r="C532" s="74">
        <v>43476</v>
      </c>
      <c r="D532" s="72" t="s">
        <v>109</v>
      </c>
      <c r="E532" s="72" t="s">
        <v>55</v>
      </c>
      <c r="F532" s="72">
        <v>-2300.94</v>
      </c>
      <c r="G532" s="72" t="s">
        <v>44</v>
      </c>
      <c r="H532" s="72" t="s">
        <v>1</v>
      </c>
    </row>
    <row r="533" spans="1:8" x14ac:dyDescent="0.25">
      <c r="A533" s="73">
        <v>43539</v>
      </c>
      <c r="B533" s="72" t="s">
        <v>67</v>
      </c>
      <c r="C533" s="74">
        <v>43497</v>
      </c>
      <c r="D533" s="72" t="s">
        <v>109</v>
      </c>
      <c r="E533" s="72" t="s">
        <v>55</v>
      </c>
      <c r="F533" s="72">
        <v>-2517.06</v>
      </c>
      <c r="G533" s="72" t="s">
        <v>44</v>
      </c>
      <c r="H533" s="72"/>
    </row>
    <row r="534" spans="1:8" x14ac:dyDescent="0.25">
      <c r="A534" s="73">
        <v>43524</v>
      </c>
      <c r="B534" s="72" t="s">
        <v>45</v>
      </c>
      <c r="C534" s="74">
        <v>43507</v>
      </c>
      <c r="D534" s="72" t="s">
        <v>109</v>
      </c>
      <c r="E534" s="72" t="s">
        <v>55</v>
      </c>
      <c r="F534" s="72">
        <v>-2485.0100000000002</v>
      </c>
      <c r="G534" s="72" t="s">
        <v>44</v>
      </c>
      <c r="H534" s="72" t="s">
        <v>1</v>
      </c>
    </row>
    <row r="535" spans="1:8" x14ac:dyDescent="0.25">
      <c r="A535" s="73">
        <v>43500</v>
      </c>
      <c r="B535" s="72" t="s">
        <v>45</v>
      </c>
      <c r="C535" s="74">
        <v>43476</v>
      </c>
      <c r="D535" s="72" t="s">
        <v>109</v>
      </c>
      <c r="E535" s="72" t="s">
        <v>55</v>
      </c>
      <c r="F535" s="72">
        <v>-1870</v>
      </c>
      <c r="G535" s="72" t="s">
        <v>44</v>
      </c>
      <c r="H535" s="72" t="s">
        <v>1</v>
      </c>
    </row>
    <row r="536" spans="1:8" x14ac:dyDescent="0.25">
      <c r="A536" s="73">
        <v>43524</v>
      </c>
      <c r="B536" s="72" t="s">
        <v>45</v>
      </c>
      <c r="C536" s="74">
        <v>43477</v>
      </c>
      <c r="D536" s="72" t="s">
        <v>109</v>
      </c>
      <c r="E536" s="72" t="s">
        <v>55</v>
      </c>
      <c r="F536" s="72">
        <v>-2238.21</v>
      </c>
      <c r="G536" s="72" t="s">
        <v>44</v>
      </c>
      <c r="H536" s="72" t="s">
        <v>1</v>
      </c>
    </row>
    <row r="537" spans="1:8" x14ac:dyDescent="0.25">
      <c r="A537" s="73">
        <v>43551</v>
      </c>
      <c r="B537" s="72" t="s">
        <v>45</v>
      </c>
      <c r="C537" s="74">
        <v>43536</v>
      </c>
      <c r="D537" s="72" t="s">
        <v>109</v>
      </c>
      <c r="E537" s="72" t="s">
        <v>55</v>
      </c>
      <c r="F537" s="72">
        <v>-2129.75</v>
      </c>
      <c r="G537" s="72"/>
      <c r="H537" s="72"/>
    </row>
    <row r="538" spans="1:8" x14ac:dyDescent="0.25">
      <c r="A538" s="73">
        <v>43500</v>
      </c>
      <c r="B538" s="72" t="s">
        <v>45</v>
      </c>
      <c r="C538" s="74">
        <v>43476</v>
      </c>
      <c r="D538" s="72" t="s">
        <v>109</v>
      </c>
      <c r="E538" s="72" t="s">
        <v>55</v>
      </c>
      <c r="F538" s="72">
        <v>-2557.11</v>
      </c>
      <c r="G538" s="72" t="s">
        <v>44</v>
      </c>
      <c r="H538" s="72" t="s">
        <v>1</v>
      </c>
    </row>
    <row r="539" spans="1:8" x14ac:dyDescent="0.25">
      <c r="A539" s="73">
        <v>43524</v>
      </c>
      <c r="B539" s="72" t="s">
        <v>45</v>
      </c>
      <c r="C539" s="74">
        <v>43507</v>
      </c>
      <c r="D539" s="72" t="s">
        <v>109</v>
      </c>
      <c r="E539" s="72" t="s">
        <v>55</v>
      </c>
      <c r="F539" s="72">
        <v>-2390.65</v>
      </c>
      <c r="G539" s="72" t="s">
        <v>44</v>
      </c>
      <c r="H539" s="72" t="s">
        <v>1</v>
      </c>
    </row>
    <row r="540" spans="1:8" x14ac:dyDescent="0.25">
      <c r="A540" s="73">
        <v>43551</v>
      </c>
      <c r="B540" s="72" t="s">
        <v>45</v>
      </c>
      <c r="C540" s="74">
        <v>43536</v>
      </c>
      <c r="D540" s="72" t="s">
        <v>109</v>
      </c>
      <c r="E540" s="72" t="s">
        <v>55</v>
      </c>
      <c r="F540" s="72">
        <v>-2480.83</v>
      </c>
      <c r="G540" s="72"/>
      <c r="H540" s="72"/>
    </row>
    <row r="541" spans="1:8" x14ac:dyDescent="0.25">
      <c r="A541" s="73">
        <v>43476</v>
      </c>
      <c r="B541" s="72" t="s">
        <v>76</v>
      </c>
      <c r="C541" s="74">
        <v>43476</v>
      </c>
      <c r="D541" s="72" t="s">
        <v>109</v>
      </c>
      <c r="E541" s="72" t="s">
        <v>79</v>
      </c>
      <c r="F541" s="72">
        <v>-296.49</v>
      </c>
      <c r="G541" s="72" t="s">
        <v>44</v>
      </c>
      <c r="H541" s="72"/>
    </row>
    <row r="542" spans="1:8" x14ac:dyDescent="0.25">
      <c r="A542" s="73">
        <v>43481</v>
      </c>
      <c r="B542" s="72" t="s">
        <v>76</v>
      </c>
      <c r="C542" s="74">
        <v>43481</v>
      </c>
      <c r="D542" s="72" t="s">
        <v>109</v>
      </c>
      <c r="E542" s="72" t="s">
        <v>79</v>
      </c>
      <c r="F542" s="72">
        <v>-384.75</v>
      </c>
      <c r="G542" s="72" t="s">
        <v>44</v>
      </c>
      <c r="H542" s="72"/>
    </row>
    <row r="543" spans="1:8" x14ac:dyDescent="0.25">
      <c r="A543" s="73">
        <v>43483</v>
      </c>
      <c r="B543" s="72" t="s">
        <v>76</v>
      </c>
      <c r="C543" s="74">
        <v>43483</v>
      </c>
      <c r="D543" s="72" t="s">
        <v>109</v>
      </c>
      <c r="E543" s="72" t="s">
        <v>79</v>
      </c>
      <c r="F543" s="72">
        <v>-279.83999999999997</v>
      </c>
      <c r="G543" s="72" t="s">
        <v>44</v>
      </c>
      <c r="H543" s="72"/>
    </row>
    <row r="544" spans="1:8" x14ac:dyDescent="0.25">
      <c r="A544" s="73">
        <v>43487</v>
      </c>
      <c r="B544" s="72" t="s">
        <v>76</v>
      </c>
      <c r="C544" s="74">
        <v>43487</v>
      </c>
      <c r="D544" s="72" t="s">
        <v>109</v>
      </c>
      <c r="E544" s="72" t="s">
        <v>79</v>
      </c>
      <c r="F544" s="72">
        <v>-351.25</v>
      </c>
      <c r="G544" s="72" t="s">
        <v>44</v>
      </c>
      <c r="H544" s="72"/>
    </row>
    <row r="545" spans="1:8" x14ac:dyDescent="0.25">
      <c r="A545" s="73">
        <v>43490</v>
      </c>
      <c r="B545" s="72" t="s">
        <v>76</v>
      </c>
      <c r="C545" s="74">
        <v>43490</v>
      </c>
      <c r="D545" s="72" t="s">
        <v>109</v>
      </c>
      <c r="E545" s="72" t="s">
        <v>79</v>
      </c>
      <c r="F545" s="72">
        <v>-302.98</v>
      </c>
      <c r="G545" s="72" t="s">
        <v>44</v>
      </c>
      <c r="H545" s="72"/>
    </row>
    <row r="546" spans="1:8" x14ac:dyDescent="0.25">
      <c r="A546" s="73">
        <v>43495</v>
      </c>
      <c r="B546" s="72" t="s">
        <v>76</v>
      </c>
      <c r="C546" s="74">
        <v>43495</v>
      </c>
      <c r="D546" s="72" t="s">
        <v>109</v>
      </c>
      <c r="E546" s="72" t="s">
        <v>79</v>
      </c>
      <c r="F546" s="72">
        <v>-297.14999999999998</v>
      </c>
      <c r="G546" s="72" t="s">
        <v>44</v>
      </c>
      <c r="H546" s="72"/>
    </row>
    <row r="547" spans="1:8" x14ac:dyDescent="0.25">
      <c r="A547" s="73">
        <v>43500</v>
      </c>
      <c r="B547" s="72" t="s">
        <v>76</v>
      </c>
      <c r="C547" s="74">
        <v>43500</v>
      </c>
      <c r="D547" s="72" t="s">
        <v>109</v>
      </c>
      <c r="E547" s="72" t="s">
        <v>79</v>
      </c>
      <c r="F547" s="72">
        <v>-300.10000000000002</v>
      </c>
      <c r="G547" s="72" t="s">
        <v>44</v>
      </c>
      <c r="H547" s="72"/>
    </row>
    <row r="548" spans="1:8" x14ac:dyDescent="0.25">
      <c r="A548" s="73">
        <v>43503</v>
      </c>
      <c r="B548" s="72" t="s">
        <v>76</v>
      </c>
      <c r="C548" s="74">
        <v>43503</v>
      </c>
      <c r="D548" s="72" t="s">
        <v>109</v>
      </c>
      <c r="E548" s="72" t="s">
        <v>79</v>
      </c>
      <c r="F548" s="72">
        <v>-366.22</v>
      </c>
      <c r="G548" s="72" t="s">
        <v>44</v>
      </c>
      <c r="H548" s="72"/>
    </row>
    <row r="549" spans="1:8" x14ac:dyDescent="0.25">
      <c r="A549" s="73">
        <v>43508</v>
      </c>
      <c r="B549" s="72" t="s">
        <v>76</v>
      </c>
      <c r="C549" s="74">
        <v>43508</v>
      </c>
      <c r="D549" s="72" t="s">
        <v>109</v>
      </c>
      <c r="E549" s="72" t="s">
        <v>79</v>
      </c>
      <c r="F549" s="72">
        <v>-277.49</v>
      </c>
      <c r="G549" s="72" t="s">
        <v>44</v>
      </c>
      <c r="H549" s="72"/>
    </row>
    <row r="550" spans="1:8" x14ac:dyDescent="0.25">
      <c r="A550" s="73">
        <v>43510</v>
      </c>
      <c r="B550" s="72" t="s">
        <v>76</v>
      </c>
      <c r="C550" s="74">
        <v>43510</v>
      </c>
      <c r="D550" s="72" t="s">
        <v>109</v>
      </c>
      <c r="E550" s="72" t="s">
        <v>79</v>
      </c>
      <c r="F550" s="72">
        <v>-355.81</v>
      </c>
      <c r="G550" s="72" t="s">
        <v>44</v>
      </c>
      <c r="H550" s="72"/>
    </row>
    <row r="551" spans="1:8" x14ac:dyDescent="0.25">
      <c r="A551" s="73">
        <v>43515</v>
      </c>
      <c r="B551" s="72" t="s">
        <v>76</v>
      </c>
      <c r="C551" s="74">
        <v>43515</v>
      </c>
      <c r="D551" s="72" t="s">
        <v>109</v>
      </c>
      <c r="E551" s="72" t="s">
        <v>79</v>
      </c>
      <c r="F551" s="72">
        <v>-302.19</v>
      </c>
      <c r="G551" s="72" t="s">
        <v>44</v>
      </c>
      <c r="H551" s="72"/>
    </row>
    <row r="552" spans="1:8" x14ac:dyDescent="0.25">
      <c r="A552" s="73">
        <v>43517</v>
      </c>
      <c r="B552" s="72" t="s">
        <v>76</v>
      </c>
      <c r="C552" s="74">
        <v>43517</v>
      </c>
      <c r="D552" s="72" t="s">
        <v>109</v>
      </c>
      <c r="E552" s="72" t="s">
        <v>79</v>
      </c>
      <c r="F552" s="72">
        <v>-315.88</v>
      </c>
      <c r="G552" s="72" t="s">
        <v>44</v>
      </c>
      <c r="H552" s="72"/>
    </row>
    <row r="553" spans="1:8" x14ac:dyDescent="0.25">
      <c r="A553" s="73">
        <v>43521</v>
      </c>
      <c r="B553" s="72" t="s">
        <v>76</v>
      </c>
      <c r="C553" s="74">
        <v>43521</v>
      </c>
      <c r="D553" s="72" t="s">
        <v>109</v>
      </c>
      <c r="E553" s="72" t="s">
        <v>79</v>
      </c>
      <c r="F553" s="72">
        <v>-390.81</v>
      </c>
      <c r="G553" s="72" t="s">
        <v>44</v>
      </c>
      <c r="H553" s="72"/>
    </row>
    <row r="554" spans="1:8" x14ac:dyDescent="0.25">
      <c r="A554" s="73">
        <v>43530</v>
      </c>
      <c r="B554" s="72" t="s">
        <v>76</v>
      </c>
      <c r="C554" s="74">
        <v>43526</v>
      </c>
      <c r="D554" s="72" t="s">
        <v>109</v>
      </c>
      <c r="E554" s="72" t="s">
        <v>79</v>
      </c>
      <c r="F554" s="72">
        <v>-331.97</v>
      </c>
      <c r="G554" s="72" t="s">
        <v>44</v>
      </c>
      <c r="H554" s="72"/>
    </row>
    <row r="555" spans="1:8" x14ac:dyDescent="0.25">
      <c r="A555" s="73">
        <v>43504</v>
      </c>
      <c r="B555" s="72" t="s">
        <v>76</v>
      </c>
      <c r="C555" s="74">
        <v>43504</v>
      </c>
      <c r="D555" s="72" t="s">
        <v>109</v>
      </c>
      <c r="E555" s="72" t="s">
        <v>79</v>
      </c>
      <c r="F555" s="72">
        <v>-40</v>
      </c>
      <c r="G555" s="72" t="s">
        <v>44</v>
      </c>
      <c r="H555" s="72"/>
    </row>
    <row r="556" spans="1:8" x14ac:dyDescent="0.25">
      <c r="A556" s="73">
        <v>43473</v>
      </c>
      <c r="B556" s="72" t="s">
        <v>76</v>
      </c>
      <c r="C556" s="74">
        <v>43473</v>
      </c>
      <c r="D556" s="72" t="s">
        <v>109</v>
      </c>
      <c r="E556" s="72" t="s">
        <v>79</v>
      </c>
      <c r="F556" s="72">
        <v>-6.7</v>
      </c>
      <c r="G556" s="72" t="s">
        <v>44</v>
      </c>
      <c r="H556" s="72"/>
    </row>
    <row r="557" spans="1:8" x14ac:dyDescent="0.25">
      <c r="A557" s="73">
        <v>43474</v>
      </c>
      <c r="B557" s="72" t="s">
        <v>76</v>
      </c>
      <c r="C557" s="74">
        <v>43474</v>
      </c>
      <c r="D557" s="72" t="s">
        <v>109</v>
      </c>
      <c r="E557" s="72" t="s">
        <v>79</v>
      </c>
      <c r="F557" s="72">
        <v>-5.8</v>
      </c>
      <c r="G557" s="72" t="s">
        <v>44</v>
      </c>
      <c r="H557" s="72"/>
    </row>
    <row r="558" spans="1:8" x14ac:dyDescent="0.25">
      <c r="A558" s="73">
        <v>43476</v>
      </c>
      <c r="B558" s="72" t="s">
        <v>76</v>
      </c>
      <c r="C558" s="74">
        <v>43476</v>
      </c>
      <c r="D558" s="72" t="s">
        <v>109</v>
      </c>
      <c r="E558" s="72" t="s">
        <v>79</v>
      </c>
      <c r="F558" s="72">
        <v>-11.6</v>
      </c>
      <c r="G558" s="72" t="s">
        <v>44</v>
      </c>
      <c r="H558" s="72"/>
    </row>
    <row r="559" spans="1:8" x14ac:dyDescent="0.25">
      <c r="A559" s="73">
        <v>43480</v>
      </c>
      <c r="B559" s="72" t="s">
        <v>76</v>
      </c>
      <c r="C559" s="74">
        <v>43480</v>
      </c>
      <c r="D559" s="72" t="s">
        <v>109</v>
      </c>
      <c r="E559" s="72" t="s">
        <v>79</v>
      </c>
      <c r="F559" s="72">
        <v>-11.6</v>
      </c>
      <c r="G559" s="72" t="s">
        <v>44</v>
      </c>
      <c r="H559" s="72"/>
    </row>
    <row r="560" spans="1:8" x14ac:dyDescent="0.25">
      <c r="A560" s="73">
        <v>43483</v>
      </c>
      <c r="B560" s="72" t="s">
        <v>76</v>
      </c>
      <c r="C560" s="74">
        <v>43483</v>
      </c>
      <c r="D560" s="72" t="s">
        <v>109</v>
      </c>
      <c r="E560" s="72" t="s">
        <v>79</v>
      </c>
      <c r="F560" s="72">
        <v>-5.8</v>
      </c>
      <c r="G560" s="72" t="s">
        <v>44</v>
      </c>
      <c r="H560" s="72"/>
    </row>
    <row r="561" spans="1:8" x14ac:dyDescent="0.25">
      <c r="A561" s="73">
        <v>43486</v>
      </c>
      <c r="B561" s="72" t="s">
        <v>76</v>
      </c>
      <c r="C561" s="74">
        <v>43486</v>
      </c>
      <c r="D561" s="72" t="s">
        <v>109</v>
      </c>
      <c r="E561" s="72" t="s">
        <v>79</v>
      </c>
      <c r="F561" s="72">
        <v>-5.8</v>
      </c>
      <c r="G561" s="72" t="s">
        <v>44</v>
      </c>
      <c r="H561" s="72"/>
    </row>
    <row r="562" spans="1:8" x14ac:dyDescent="0.25">
      <c r="A562" s="73">
        <v>43486</v>
      </c>
      <c r="B562" s="72" t="s">
        <v>76</v>
      </c>
      <c r="C562" s="74">
        <v>43486</v>
      </c>
      <c r="D562" s="72" t="s">
        <v>109</v>
      </c>
      <c r="E562" s="72" t="s">
        <v>79</v>
      </c>
      <c r="F562" s="72">
        <v>-3.8</v>
      </c>
      <c r="G562" s="72" t="s">
        <v>44</v>
      </c>
      <c r="H562" s="72"/>
    </row>
    <row r="563" spans="1:8" x14ac:dyDescent="0.25">
      <c r="A563" s="73">
        <v>43486</v>
      </c>
      <c r="B563" s="72" t="s">
        <v>76</v>
      </c>
      <c r="C563" s="74">
        <v>43486</v>
      </c>
      <c r="D563" s="72" t="s">
        <v>109</v>
      </c>
      <c r="E563" s="72" t="s">
        <v>79</v>
      </c>
      <c r="F563" s="72">
        <v>-3.8</v>
      </c>
      <c r="G563" s="72" t="s">
        <v>44</v>
      </c>
      <c r="H563" s="72"/>
    </row>
    <row r="564" spans="1:8" x14ac:dyDescent="0.25">
      <c r="A564" s="73">
        <v>43486</v>
      </c>
      <c r="B564" s="72" t="s">
        <v>76</v>
      </c>
      <c r="C564" s="74">
        <v>43486</v>
      </c>
      <c r="D564" s="72" t="s">
        <v>109</v>
      </c>
      <c r="E564" s="72" t="s">
        <v>79</v>
      </c>
      <c r="F564" s="72">
        <v>-6.7</v>
      </c>
      <c r="G564" s="72" t="s">
        <v>44</v>
      </c>
      <c r="H564" s="72"/>
    </row>
    <row r="565" spans="1:8" x14ac:dyDescent="0.25">
      <c r="A565" s="73">
        <v>43489</v>
      </c>
      <c r="B565" s="72" t="s">
        <v>76</v>
      </c>
      <c r="C565" s="74">
        <v>43489</v>
      </c>
      <c r="D565" s="72" t="s">
        <v>109</v>
      </c>
      <c r="E565" s="72" t="s">
        <v>79</v>
      </c>
      <c r="F565" s="72">
        <v>-5.8</v>
      </c>
      <c r="G565" s="72" t="s">
        <v>44</v>
      </c>
      <c r="H565" s="72"/>
    </row>
    <row r="566" spans="1:8" x14ac:dyDescent="0.25">
      <c r="A566" s="73">
        <v>43490</v>
      </c>
      <c r="B566" s="72" t="s">
        <v>76</v>
      </c>
      <c r="C566" s="74">
        <v>43490</v>
      </c>
      <c r="D566" s="72" t="s">
        <v>109</v>
      </c>
      <c r="E566" s="72" t="s">
        <v>79</v>
      </c>
      <c r="F566" s="72">
        <v>-5.8</v>
      </c>
      <c r="G566" s="72" t="s">
        <v>44</v>
      </c>
      <c r="H566" s="72"/>
    </row>
    <row r="567" spans="1:8" x14ac:dyDescent="0.25">
      <c r="A567" s="73">
        <v>43493</v>
      </c>
      <c r="B567" s="72" t="s">
        <v>76</v>
      </c>
      <c r="C567" s="74">
        <v>43493</v>
      </c>
      <c r="D567" s="72" t="s">
        <v>109</v>
      </c>
      <c r="E567" s="72" t="s">
        <v>79</v>
      </c>
      <c r="F567" s="72">
        <v>-11.6</v>
      </c>
      <c r="G567" s="72" t="s">
        <v>44</v>
      </c>
      <c r="H567" s="72"/>
    </row>
    <row r="568" spans="1:8" x14ac:dyDescent="0.25">
      <c r="A568" s="73">
        <v>43494</v>
      </c>
      <c r="B568" s="72" t="s">
        <v>76</v>
      </c>
      <c r="C568" s="74">
        <v>43494</v>
      </c>
      <c r="D568" s="72" t="s">
        <v>109</v>
      </c>
      <c r="E568" s="72" t="s">
        <v>79</v>
      </c>
      <c r="F568" s="72">
        <v>-19.399999999999999</v>
      </c>
      <c r="G568" s="72" t="s">
        <v>44</v>
      </c>
      <c r="H568" s="72"/>
    </row>
    <row r="569" spans="1:8" x14ac:dyDescent="0.25">
      <c r="A569" s="73">
        <v>43494</v>
      </c>
      <c r="B569" s="72" t="s">
        <v>76</v>
      </c>
      <c r="C569" s="74">
        <v>43494</v>
      </c>
      <c r="D569" s="72" t="s">
        <v>109</v>
      </c>
      <c r="E569" s="72" t="s">
        <v>79</v>
      </c>
      <c r="F569" s="72">
        <v>-3.8</v>
      </c>
      <c r="G569" s="72" t="s">
        <v>44</v>
      </c>
      <c r="H569" s="72"/>
    </row>
    <row r="570" spans="1:8" x14ac:dyDescent="0.25">
      <c r="A570" s="73">
        <v>43494</v>
      </c>
      <c r="B570" s="72" t="s">
        <v>76</v>
      </c>
      <c r="C570" s="74">
        <v>43494</v>
      </c>
      <c r="D570" s="72" t="s">
        <v>109</v>
      </c>
      <c r="E570" s="72" t="s">
        <v>79</v>
      </c>
      <c r="F570" s="72">
        <v>-3.8</v>
      </c>
      <c r="G570" s="72" t="s">
        <v>44</v>
      </c>
      <c r="H570" s="72"/>
    </row>
    <row r="571" spans="1:8" x14ac:dyDescent="0.25">
      <c r="A571" s="73">
        <v>43495</v>
      </c>
      <c r="B571" s="72" t="s">
        <v>76</v>
      </c>
      <c r="C571" s="74">
        <v>43495</v>
      </c>
      <c r="D571" s="72" t="s">
        <v>109</v>
      </c>
      <c r="E571" s="72" t="s">
        <v>79</v>
      </c>
      <c r="F571" s="72">
        <v>-5.8</v>
      </c>
      <c r="G571" s="72" t="s">
        <v>44</v>
      </c>
      <c r="H571" s="72"/>
    </row>
    <row r="572" spans="1:8" x14ac:dyDescent="0.25">
      <c r="A572" s="73">
        <v>43496</v>
      </c>
      <c r="B572" s="72" t="s">
        <v>76</v>
      </c>
      <c r="C572" s="74">
        <v>43496</v>
      </c>
      <c r="D572" s="72" t="s">
        <v>109</v>
      </c>
      <c r="E572" s="72" t="s">
        <v>79</v>
      </c>
      <c r="F572" s="72">
        <v>-3.8</v>
      </c>
      <c r="G572" s="72" t="s">
        <v>44</v>
      </c>
      <c r="H572" s="72"/>
    </row>
    <row r="573" spans="1:8" x14ac:dyDescent="0.25">
      <c r="A573" s="73">
        <v>43502</v>
      </c>
      <c r="B573" s="72" t="s">
        <v>76</v>
      </c>
      <c r="C573" s="74">
        <v>43502</v>
      </c>
      <c r="D573" s="72" t="s">
        <v>109</v>
      </c>
      <c r="E573" s="72" t="s">
        <v>79</v>
      </c>
      <c r="F573" s="72">
        <v>-5.9</v>
      </c>
      <c r="G573" s="72" t="s">
        <v>44</v>
      </c>
      <c r="H573" s="72"/>
    </row>
    <row r="574" spans="1:8" x14ac:dyDescent="0.25">
      <c r="A574" s="73">
        <v>43503</v>
      </c>
      <c r="B574" s="72" t="s">
        <v>76</v>
      </c>
      <c r="C574" s="74">
        <v>43503</v>
      </c>
      <c r="D574" s="72" t="s">
        <v>109</v>
      </c>
      <c r="E574" s="72" t="s">
        <v>79</v>
      </c>
      <c r="F574" s="72">
        <v>-6.8</v>
      </c>
      <c r="G574" s="72" t="s">
        <v>44</v>
      </c>
      <c r="H574" s="72"/>
    </row>
    <row r="575" spans="1:8" x14ac:dyDescent="0.25">
      <c r="A575" s="73">
        <v>43503</v>
      </c>
      <c r="B575" s="72" t="s">
        <v>76</v>
      </c>
      <c r="C575" s="74">
        <v>43503</v>
      </c>
      <c r="D575" s="72" t="s">
        <v>109</v>
      </c>
      <c r="E575" s="72" t="s">
        <v>79</v>
      </c>
      <c r="F575" s="72">
        <v>-3.8</v>
      </c>
      <c r="G575" s="72" t="s">
        <v>44</v>
      </c>
      <c r="H575" s="72"/>
    </row>
    <row r="576" spans="1:8" x14ac:dyDescent="0.25">
      <c r="A576" s="73">
        <v>43503</v>
      </c>
      <c r="B576" s="72" t="s">
        <v>76</v>
      </c>
      <c r="C576" s="74">
        <v>43503</v>
      </c>
      <c r="D576" s="72" t="s">
        <v>109</v>
      </c>
      <c r="E576" s="72" t="s">
        <v>79</v>
      </c>
      <c r="F576" s="72">
        <v>-3.8</v>
      </c>
      <c r="G576" s="72" t="s">
        <v>44</v>
      </c>
      <c r="H576" s="72"/>
    </row>
    <row r="577" spans="1:8" x14ac:dyDescent="0.25">
      <c r="A577" s="73">
        <v>43507</v>
      </c>
      <c r="B577" s="72" t="s">
        <v>76</v>
      </c>
      <c r="C577" s="74">
        <v>43507</v>
      </c>
      <c r="D577" s="72" t="s">
        <v>109</v>
      </c>
      <c r="E577" s="72" t="s">
        <v>79</v>
      </c>
      <c r="F577" s="72">
        <v>-22.8</v>
      </c>
      <c r="G577" s="72" t="s">
        <v>44</v>
      </c>
      <c r="H577" s="72"/>
    </row>
    <row r="578" spans="1:8" x14ac:dyDescent="0.25">
      <c r="A578" s="73">
        <v>43508</v>
      </c>
      <c r="B578" s="72" t="s">
        <v>76</v>
      </c>
      <c r="C578" s="74">
        <v>43508</v>
      </c>
      <c r="D578" s="72" t="s">
        <v>109</v>
      </c>
      <c r="E578" s="72" t="s">
        <v>79</v>
      </c>
      <c r="F578" s="72">
        <v>-5.9</v>
      </c>
      <c r="G578" s="72" t="s">
        <v>44</v>
      </c>
      <c r="H578" s="72"/>
    </row>
    <row r="579" spans="1:8" x14ac:dyDescent="0.25">
      <c r="A579" s="73">
        <v>43510</v>
      </c>
      <c r="B579" s="72" t="s">
        <v>76</v>
      </c>
      <c r="C579" s="74">
        <v>43510</v>
      </c>
      <c r="D579" s="72" t="s">
        <v>109</v>
      </c>
      <c r="E579" s="72" t="s">
        <v>79</v>
      </c>
      <c r="F579" s="72">
        <v>-5.9</v>
      </c>
      <c r="G579" s="72" t="s">
        <v>44</v>
      </c>
      <c r="H579" s="72"/>
    </row>
    <row r="580" spans="1:8" x14ac:dyDescent="0.25">
      <c r="A580" s="73">
        <v>43514</v>
      </c>
      <c r="B580" s="72" t="s">
        <v>76</v>
      </c>
      <c r="C580" s="74">
        <v>43514</v>
      </c>
      <c r="D580" s="72" t="s">
        <v>109</v>
      </c>
      <c r="E580" s="72" t="s">
        <v>79</v>
      </c>
      <c r="F580" s="72">
        <v>-11.8</v>
      </c>
      <c r="G580" s="72" t="s">
        <v>44</v>
      </c>
      <c r="H580" s="72"/>
    </row>
    <row r="581" spans="1:8" x14ac:dyDescent="0.25">
      <c r="A581" s="73">
        <v>43515</v>
      </c>
      <c r="B581" s="72" t="s">
        <v>76</v>
      </c>
      <c r="C581" s="74">
        <v>43515</v>
      </c>
      <c r="D581" s="72" t="s">
        <v>109</v>
      </c>
      <c r="E581" s="72" t="s">
        <v>79</v>
      </c>
      <c r="F581" s="72">
        <v>-11.8</v>
      </c>
      <c r="G581" s="72" t="s">
        <v>44</v>
      </c>
      <c r="H581" s="72"/>
    </row>
    <row r="582" spans="1:8" x14ac:dyDescent="0.25">
      <c r="A582" s="73">
        <v>43515</v>
      </c>
      <c r="B582" s="72" t="s">
        <v>76</v>
      </c>
      <c r="C582" s="74">
        <v>43515</v>
      </c>
      <c r="D582" s="72" t="s">
        <v>109</v>
      </c>
      <c r="E582" s="72" t="s">
        <v>79</v>
      </c>
      <c r="F582" s="72">
        <v>-3.8</v>
      </c>
      <c r="G582" s="72" t="s">
        <v>44</v>
      </c>
      <c r="H582" s="72"/>
    </row>
    <row r="583" spans="1:8" x14ac:dyDescent="0.25">
      <c r="A583" s="73">
        <v>43515</v>
      </c>
      <c r="B583" s="72" t="s">
        <v>76</v>
      </c>
      <c r="C583" s="74">
        <v>43515</v>
      </c>
      <c r="D583" s="72" t="s">
        <v>109</v>
      </c>
      <c r="E583" s="72" t="s">
        <v>79</v>
      </c>
      <c r="F583" s="72">
        <v>-3.8</v>
      </c>
      <c r="G583" s="72" t="s">
        <v>44</v>
      </c>
      <c r="H583" s="72"/>
    </row>
    <row r="584" spans="1:8" x14ac:dyDescent="0.25">
      <c r="A584" s="73">
        <v>43516</v>
      </c>
      <c r="B584" s="72" t="s">
        <v>76</v>
      </c>
      <c r="C584" s="74">
        <v>43516</v>
      </c>
      <c r="D584" s="72" t="s">
        <v>109</v>
      </c>
      <c r="E584" s="72" t="s">
        <v>79</v>
      </c>
      <c r="F584" s="72">
        <v>-5.9</v>
      </c>
      <c r="G584" s="72" t="s">
        <v>44</v>
      </c>
      <c r="H584" s="72"/>
    </row>
    <row r="585" spans="1:8" x14ac:dyDescent="0.25">
      <c r="A585" s="73">
        <v>43517</v>
      </c>
      <c r="B585" s="72" t="s">
        <v>76</v>
      </c>
      <c r="C585" s="74">
        <v>43517</v>
      </c>
      <c r="D585" s="72" t="s">
        <v>109</v>
      </c>
      <c r="E585" s="72" t="s">
        <v>79</v>
      </c>
      <c r="F585" s="72">
        <v>-11.8</v>
      </c>
      <c r="G585" s="72" t="s">
        <v>44</v>
      </c>
      <c r="H585" s="72"/>
    </row>
    <row r="586" spans="1:8" x14ac:dyDescent="0.25">
      <c r="A586" s="73">
        <v>43518</v>
      </c>
      <c r="B586" s="72" t="s">
        <v>76</v>
      </c>
      <c r="C586" s="74">
        <v>43521</v>
      </c>
      <c r="D586" s="72" t="s">
        <v>109</v>
      </c>
      <c r="E586" s="72" t="s">
        <v>79</v>
      </c>
      <c r="F586" s="72">
        <v>-17.7</v>
      </c>
      <c r="G586" s="72" t="s">
        <v>44</v>
      </c>
      <c r="H586" s="72"/>
    </row>
    <row r="587" spans="1:8" x14ac:dyDescent="0.25">
      <c r="A587" s="73">
        <v>43529</v>
      </c>
      <c r="B587" s="72" t="s">
        <v>76</v>
      </c>
      <c r="C587" s="74">
        <v>43521</v>
      </c>
      <c r="D587" s="72" t="s">
        <v>109</v>
      </c>
      <c r="E587" s="72" t="s">
        <v>79</v>
      </c>
      <c r="F587" s="72">
        <v>-5.9</v>
      </c>
      <c r="G587" s="72" t="s">
        <v>44</v>
      </c>
      <c r="H587" s="72"/>
    </row>
    <row r="588" spans="1:8" x14ac:dyDescent="0.25">
      <c r="A588" s="73">
        <v>43530</v>
      </c>
      <c r="B588" s="72" t="s">
        <v>76</v>
      </c>
      <c r="C588" s="74">
        <v>43526</v>
      </c>
      <c r="D588" s="72" t="s">
        <v>109</v>
      </c>
      <c r="E588" s="72" t="s">
        <v>79</v>
      </c>
      <c r="F588" s="72">
        <v>-5.9</v>
      </c>
      <c r="G588" s="72" t="s">
        <v>44</v>
      </c>
      <c r="H588" s="72"/>
    </row>
    <row r="589" spans="1:8" x14ac:dyDescent="0.25">
      <c r="A589" s="73">
        <v>43531</v>
      </c>
      <c r="B589" s="72" t="s">
        <v>76</v>
      </c>
      <c r="C589" s="74">
        <v>43526</v>
      </c>
      <c r="D589" s="72" t="s">
        <v>109</v>
      </c>
      <c r="E589" s="72" t="s">
        <v>79</v>
      </c>
      <c r="F589" s="72">
        <v>-40.200000000000003</v>
      </c>
      <c r="G589" s="72" t="s">
        <v>44</v>
      </c>
      <c r="H589" s="72"/>
    </row>
    <row r="590" spans="1:8" x14ac:dyDescent="0.25">
      <c r="A590" s="73">
        <v>43500</v>
      </c>
      <c r="B590" s="72" t="s">
        <v>45</v>
      </c>
      <c r="C590" s="74">
        <v>43476</v>
      </c>
      <c r="D590" s="72" t="s">
        <v>109</v>
      </c>
      <c r="E590" s="72" t="s">
        <v>55</v>
      </c>
      <c r="F590" s="72">
        <v>-2509.0500000000002</v>
      </c>
      <c r="G590" s="72" t="s">
        <v>44</v>
      </c>
      <c r="H590" s="72" t="s">
        <v>1</v>
      </c>
    </row>
    <row r="591" spans="1:8" x14ac:dyDescent="0.25">
      <c r="A591" s="73">
        <v>43524</v>
      </c>
      <c r="B591" s="72" t="s">
        <v>45</v>
      </c>
      <c r="C591" s="74">
        <v>43507</v>
      </c>
      <c r="D591" s="72" t="s">
        <v>109</v>
      </c>
      <c r="E591" s="72" t="s">
        <v>55</v>
      </c>
      <c r="F591" s="72">
        <v>-2524.3000000000002</v>
      </c>
      <c r="G591" s="72" t="s">
        <v>44</v>
      </c>
      <c r="H591" s="72" t="s">
        <v>1</v>
      </c>
    </row>
    <row r="592" spans="1:8" x14ac:dyDescent="0.25">
      <c r="A592" s="73">
        <v>43551</v>
      </c>
      <c r="B592" s="72" t="s">
        <v>45</v>
      </c>
      <c r="C592" s="74">
        <v>43536</v>
      </c>
      <c r="D592" s="72" t="s">
        <v>109</v>
      </c>
      <c r="E592" s="72" t="s">
        <v>55</v>
      </c>
      <c r="F592" s="72">
        <v>-2397.6999999999998</v>
      </c>
      <c r="G592" s="72"/>
      <c r="H592" s="72"/>
    </row>
    <row r="593" spans="1:8" x14ac:dyDescent="0.25">
      <c r="A593" s="73">
        <v>43474</v>
      </c>
      <c r="B593" s="72" t="s">
        <v>76</v>
      </c>
      <c r="C593" s="74">
        <v>43474</v>
      </c>
      <c r="D593" s="72" t="s">
        <v>109</v>
      </c>
      <c r="E593" s="72" t="s">
        <v>79</v>
      </c>
      <c r="F593" s="72">
        <v>-223</v>
      </c>
      <c r="G593" s="72" t="s">
        <v>44</v>
      </c>
      <c r="H593" s="72"/>
    </row>
    <row r="594" spans="1:8" x14ac:dyDescent="0.25">
      <c r="A594" s="73">
        <v>43476</v>
      </c>
      <c r="B594" s="72" t="s">
        <v>76</v>
      </c>
      <c r="C594" s="74">
        <v>43476</v>
      </c>
      <c r="D594" s="72" t="s">
        <v>109</v>
      </c>
      <c r="E594" s="72" t="s">
        <v>79</v>
      </c>
      <c r="F594" s="72">
        <v>-233</v>
      </c>
      <c r="G594" s="72" t="s">
        <v>44</v>
      </c>
      <c r="H594" s="72"/>
    </row>
    <row r="595" spans="1:8" x14ac:dyDescent="0.25">
      <c r="A595" s="73">
        <v>43479</v>
      </c>
      <c r="B595" s="72" t="s">
        <v>76</v>
      </c>
      <c r="C595" s="74">
        <v>43479</v>
      </c>
      <c r="D595" s="72" t="s">
        <v>109</v>
      </c>
      <c r="E595" s="72" t="s">
        <v>79</v>
      </c>
      <c r="F595" s="72">
        <v>-205</v>
      </c>
      <c r="G595" s="72" t="s">
        <v>44</v>
      </c>
      <c r="H595" s="72"/>
    </row>
    <row r="596" spans="1:8" x14ac:dyDescent="0.25">
      <c r="A596" s="73">
        <v>43481</v>
      </c>
      <c r="B596" s="72" t="s">
        <v>76</v>
      </c>
      <c r="C596" s="74">
        <v>43481</v>
      </c>
      <c r="D596" s="72" t="s">
        <v>109</v>
      </c>
      <c r="E596" s="72" t="s">
        <v>79</v>
      </c>
      <c r="F596" s="72">
        <v>-207</v>
      </c>
      <c r="G596" s="72" t="s">
        <v>44</v>
      </c>
      <c r="H596" s="72"/>
    </row>
    <row r="597" spans="1:8" x14ac:dyDescent="0.25">
      <c r="A597" s="73">
        <v>43482</v>
      </c>
      <c r="B597" s="72" t="s">
        <v>76</v>
      </c>
      <c r="C597" s="74">
        <v>43482</v>
      </c>
      <c r="D597" s="72" t="s">
        <v>109</v>
      </c>
      <c r="E597" s="72" t="s">
        <v>79</v>
      </c>
      <c r="F597" s="72">
        <v>-200</v>
      </c>
      <c r="G597" s="72" t="s">
        <v>44</v>
      </c>
      <c r="H597" s="72"/>
    </row>
    <row r="598" spans="1:8" x14ac:dyDescent="0.25">
      <c r="A598" s="73">
        <v>43486</v>
      </c>
      <c r="B598" s="72" t="s">
        <v>76</v>
      </c>
      <c r="C598" s="74">
        <v>43486</v>
      </c>
      <c r="D598" s="72" t="s">
        <v>109</v>
      </c>
      <c r="E598" s="72" t="s">
        <v>79</v>
      </c>
      <c r="F598" s="72">
        <v>-236.01</v>
      </c>
      <c r="G598" s="72" t="s">
        <v>44</v>
      </c>
      <c r="H598" s="72"/>
    </row>
    <row r="599" spans="1:8" x14ac:dyDescent="0.25">
      <c r="A599" s="73">
        <v>43489</v>
      </c>
      <c r="B599" s="72" t="s">
        <v>76</v>
      </c>
      <c r="C599" s="74">
        <v>43489</v>
      </c>
      <c r="D599" s="72" t="s">
        <v>109</v>
      </c>
      <c r="E599" s="72" t="s">
        <v>79</v>
      </c>
      <c r="F599" s="72">
        <v>-215</v>
      </c>
      <c r="G599" s="72" t="s">
        <v>44</v>
      </c>
      <c r="H599" s="72"/>
    </row>
    <row r="600" spans="1:8" x14ac:dyDescent="0.25">
      <c r="A600" s="73">
        <v>43493</v>
      </c>
      <c r="B600" s="72" t="s">
        <v>76</v>
      </c>
      <c r="C600" s="74">
        <v>43493</v>
      </c>
      <c r="D600" s="72" t="s">
        <v>109</v>
      </c>
      <c r="E600" s="72" t="s">
        <v>79</v>
      </c>
      <c r="F600" s="72">
        <v>-145</v>
      </c>
      <c r="G600" s="72" t="s">
        <v>44</v>
      </c>
      <c r="H600" s="72"/>
    </row>
    <row r="601" spans="1:8" x14ac:dyDescent="0.25">
      <c r="A601" s="73">
        <v>43494</v>
      </c>
      <c r="B601" s="72" t="s">
        <v>76</v>
      </c>
      <c r="C601" s="74">
        <v>43494</v>
      </c>
      <c r="D601" s="72" t="s">
        <v>109</v>
      </c>
      <c r="E601" s="72" t="s">
        <v>79</v>
      </c>
      <c r="F601" s="72">
        <v>-119</v>
      </c>
      <c r="G601" s="72" t="s">
        <v>44</v>
      </c>
      <c r="H601" s="72"/>
    </row>
    <row r="602" spans="1:8" x14ac:dyDescent="0.25">
      <c r="A602" s="73">
        <v>43495</v>
      </c>
      <c r="B602" s="72" t="s">
        <v>76</v>
      </c>
      <c r="C602" s="74">
        <v>43495</v>
      </c>
      <c r="D602" s="72" t="s">
        <v>109</v>
      </c>
      <c r="E602" s="72" t="s">
        <v>79</v>
      </c>
      <c r="F602" s="72">
        <v>-167</v>
      </c>
      <c r="G602" s="72" t="s">
        <v>44</v>
      </c>
      <c r="H602" s="72"/>
    </row>
    <row r="603" spans="1:8" x14ac:dyDescent="0.25">
      <c r="A603" s="73">
        <v>43496</v>
      </c>
      <c r="B603" s="72" t="s">
        <v>76</v>
      </c>
      <c r="C603" s="74">
        <v>43496</v>
      </c>
      <c r="D603" s="72" t="s">
        <v>109</v>
      </c>
      <c r="E603" s="72" t="s">
        <v>79</v>
      </c>
      <c r="F603" s="72">
        <v>-155</v>
      </c>
      <c r="G603" s="72" t="s">
        <v>44</v>
      </c>
      <c r="H603" s="72"/>
    </row>
    <row r="604" spans="1:8" x14ac:dyDescent="0.25">
      <c r="A604" s="73">
        <v>43497</v>
      </c>
      <c r="B604" s="72" t="s">
        <v>76</v>
      </c>
      <c r="C604" s="74">
        <v>43497</v>
      </c>
      <c r="D604" s="72" t="s">
        <v>109</v>
      </c>
      <c r="E604" s="72" t="s">
        <v>79</v>
      </c>
      <c r="F604" s="72">
        <v>-186</v>
      </c>
      <c r="G604" s="72" t="s">
        <v>44</v>
      </c>
      <c r="H604" s="72"/>
    </row>
    <row r="605" spans="1:8" x14ac:dyDescent="0.25">
      <c r="A605" s="73">
        <v>43501</v>
      </c>
      <c r="B605" s="72" t="s">
        <v>76</v>
      </c>
      <c r="C605" s="74">
        <v>43501</v>
      </c>
      <c r="D605" s="72" t="s">
        <v>109</v>
      </c>
      <c r="E605" s="72" t="s">
        <v>79</v>
      </c>
      <c r="F605" s="72">
        <v>-176</v>
      </c>
      <c r="G605" s="72" t="s">
        <v>44</v>
      </c>
      <c r="H605" s="72"/>
    </row>
    <row r="606" spans="1:8" x14ac:dyDescent="0.25">
      <c r="A606" s="73">
        <v>43502</v>
      </c>
      <c r="B606" s="72" t="s">
        <v>76</v>
      </c>
      <c r="C606" s="74">
        <v>43502</v>
      </c>
      <c r="D606" s="72" t="s">
        <v>109</v>
      </c>
      <c r="E606" s="72" t="s">
        <v>79</v>
      </c>
      <c r="F606" s="72">
        <v>-185</v>
      </c>
      <c r="G606" s="72" t="s">
        <v>44</v>
      </c>
      <c r="H606" s="72"/>
    </row>
    <row r="607" spans="1:8" x14ac:dyDescent="0.25">
      <c r="A607" s="73">
        <v>43504</v>
      </c>
      <c r="B607" s="72" t="s">
        <v>76</v>
      </c>
      <c r="C607" s="74">
        <v>43504</v>
      </c>
      <c r="D607" s="72" t="s">
        <v>109</v>
      </c>
      <c r="E607" s="72" t="s">
        <v>79</v>
      </c>
      <c r="F607" s="72">
        <v>-150</v>
      </c>
      <c r="G607" s="72" t="s">
        <v>44</v>
      </c>
      <c r="H607" s="72"/>
    </row>
    <row r="608" spans="1:8" x14ac:dyDescent="0.25">
      <c r="A608" s="73">
        <v>43507</v>
      </c>
      <c r="B608" s="72" t="s">
        <v>76</v>
      </c>
      <c r="C608" s="74">
        <v>43507</v>
      </c>
      <c r="D608" s="72" t="s">
        <v>109</v>
      </c>
      <c r="E608" s="72" t="s">
        <v>79</v>
      </c>
      <c r="F608" s="72">
        <v>-200</v>
      </c>
      <c r="G608" s="72" t="s">
        <v>44</v>
      </c>
      <c r="H608" s="72"/>
    </row>
    <row r="609" spans="1:8" x14ac:dyDescent="0.25">
      <c r="A609" s="73">
        <v>43509</v>
      </c>
      <c r="B609" s="72" t="s">
        <v>76</v>
      </c>
      <c r="C609" s="74">
        <v>43509</v>
      </c>
      <c r="D609" s="72" t="s">
        <v>109</v>
      </c>
      <c r="E609" s="72" t="s">
        <v>79</v>
      </c>
      <c r="F609" s="72">
        <v>-251</v>
      </c>
      <c r="G609" s="72" t="s">
        <v>44</v>
      </c>
      <c r="H609" s="72"/>
    </row>
    <row r="610" spans="1:8" x14ac:dyDescent="0.25">
      <c r="A610" s="73">
        <v>43511</v>
      </c>
      <c r="B610" s="72" t="s">
        <v>76</v>
      </c>
      <c r="C610" s="74">
        <v>43511</v>
      </c>
      <c r="D610" s="72" t="s">
        <v>109</v>
      </c>
      <c r="E610" s="72" t="s">
        <v>79</v>
      </c>
      <c r="F610" s="72">
        <v>-266.01</v>
      </c>
      <c r="G610" s="72" t="s">
        <v>44</v>
      </c>
      <c r="H610" s="72"/>
    </row>
    <row r="611" spans="1:8" x14ac:dyDescent="0.25">
      <c r="A611" s="73">
        <v>43515</v>
      </c>
      <c r="B611" s="72" t="s">
        <v>76</v>
      </c>
      <c r="C611" s="74">
        <v>43515</v>
      </c>
      <c r="D611" s="72" t="s">
        <v>109</v>
      </c>
      <c r="E611" s="72" t="s">
        <v>79</v>
      </c>
      <c r="F611" s="72">
        <v>-176</v>
      </c>
      <c r="G611" s="72" t="s">
        <v>44</v>
      </c>
      <c r="H611" s="72"/>
    </row>
    <row r="612" spans="1:8" x14ac:dyDescent="0.25">
      <c r="A612" s="73">
        <v>43517</v>
      </c>
      <c r="B612" s="72" t="s">
        <v>76</v>
      </c>
      <c r="C612" s="74">
        <v>43517</v>
      </c>
      <c r="D612" s="72" t="s">
        <v>109</v>
      </c>
      <c r="E612" s="72" t="s">
        <v>79</v>
      </c>
      <c r="F612" s="72">
        <v>-235</v>
      </c>
      <c r="G612" s="72" t="s">
        <v>44</v>
      </c>
      <c r="H612" s="72"/>
    </row>
    <row r="613" spans="1:8" x14ac:dyDescent="0.25">
      <c r="A613" s="73">
        <v>43518</v>
      </c>
      <c r="B613" s="72" t="s">
        <v>76</v>
      </c>
      <c r="C613" s="74">
        <v>43521</v>
      </c>
      <c r="D613" s="72" t="s">
        <v>109</v>
      </c>
      <c r="E613" s="72" t="s">
        <v>79</v>
      </c>
      <c r="F613" s="72">
        <v>-175</v>
      </c>
      <c r="G613" s="72" t="s">
        <v>44</v>
      </c>
      <c r="H613" s="72"/>
    </row>
    <row r="614" spans="1:8" x14ac:dyDescent="0.25">
      <c r="A614" s="73">
        <v>43522</v>
      </c>
      <c r="B614" s="72" t="s">
        <v>76</v>
      </c>
      <c r="C614" s="74">
        <v>43521</v>
      </c>
      <c r="D614" s="72" t="s">
        <v>109</v>
      </c>
      <c r="E614" s="72" t="s">
        <v>79</v>
      </c>
      <c r="F614" s="72">
        <v>-231</v>
      </c>
      <c r="G614" s="72" t="s">
        <v>44</v>
      </c>
      <c r="H614" s="72"/>
    </row>
    <row r="615" spans="1:8" x14ac:dyDescent="0.25">
      <c r="A615" s="73">
        <v>43524</v>
      </c>
      <c r="B615" s="72" t="s">
        <v>76</v>
      </c>
      <c r="C615" s="74">
        <v>43521</v>
      </c>
      <c r="D615" s="72" t="s">
        <v>109</v>
      </c>
      <c r="E615" s="72" t="s">
        <v>79</v>
      </c>
      <c r="F615" s="72">
        <v>-230</v>
      </c>
      <c r="G615" s="72" t="s">
        <v>44</v>
      </c>
      <c r="H615" s="72"/>
    </row>
    <row r="616" spans="1:8" x14ac:dyDescent="0.25">
      <c r="A616" s="73">
        <v>43482</v>
      </c>
      <c r="B616" s="72" t="s">
        <v>76</v>
      </c>
      <c r="C616" s="74">
        <v>43482</v>
      </c>
      <c r="D616" s="72" t="s">
        <v>109</v>
      </c>
      <c r="E616" s="72" t="s">
        <v>79</v>
      </c>
      <c r="F616" s="72">
        <v>-5.8</v>
      </c>
      <c r="G616" s="72" t="s">
        <v>44</v>
      </c>
      <c r="H616" s="72"/>
    </row>
    <row r="617" spans="1:8" x14ac:dyDescent="0.25">
      <c r="A617" s="73">
        <v>43493</v>
      </c>
      <c r="B617" s="72" t="s">
        <v>76</v>
      </c>
      <c r="C617" s="74">
        <v>43493</v>
      </c>
      <c r="D617" s="72" t="s">
        <v>109</v>
      </c>
      <c r="E617" s="72" t="s">
        <v>79</v>
      </c>
      <c r="F617" s="72">
        <v>-21.1</v>
      </c>
      <c r="G617" s="72" t="s">
        <v>44</v>
      </c>
      <c r="H617" s="72"/>
    </row>
    <row r="618" spans="1:8" x14ac:dyDescent="0.25">
      <c r="A618" s="73">
        <v>43493</v>
      </c>
      <c r="B618" s="72" t="s">
        <v>76</v>
      </c>
      <c r="C618" s="74">
        <v>43493</v>
      </c>
      <c r="D618" s="72" t="s">
        <v>109</v>
      </c>
      <c r="E618" s="72" t="s">
        <v>79</v>
      </c>
      <c r="F618" s="72">
        <v>-21.1</v>
      </c>
      <c r="G618" s="72" t="s">
        <v>44</v>
      </c>
      <c r="H618" s="72"/>
    </row>
    <row r="619" spans="1:8" x14ac:dyDescent="0.25">
      <c r="A619" s="73">
        <v>43495</v>
      </c>
      <c r="B619" s="72" t="s">
        <v>76</v>
      </c>
      <c r="C619" s="74">
        <v>43495</v>
      </c>
      <c r="D619" s="72" t="s">
        <v>109</v>
      </c>
      <c r="E619" s="72" t="s">
        <v>79</v>
      </c>
      <c r="F619" s="72">
        <v>-3.8</v>
      </c>
      <c r="G619" s="72" t="s">
        <v>44</v>
      </c>
      <c r="H619" s="72"/>
    </row>
    <row r="620" spans="1:8" x14ac:dyDescent="0.25">
      <c r="A620" s="73">
        <v>43495</v>
      </c>
      <c r="B620" s="72" t="s">
        <v>76</v>
      </c>
      <c r="C620" s="74">
        <v>43495</v>
      </c>
      <c r="D620" s="72" t="s">
        <v>109</v>
      </c>
      <c r="E620" s="72" t="s">
        <v>79</v>
      </c>
      <c r="F620" s="72">
        <v>-3.8</v>
      </c>
      <c r="G620" s="72" t="s">
        <v>44</v>
      </c>
      <c r="H620" s="72"/>
    </row>
    <row r="621" spans="1:8" x14ac:dyDescent="0.25">
      <c r="A621" s="73">
        <v>43496</v>
      </c>
      <c r="B621" s="72" t="s">
        <v>76</v>
      </c>
      <c r="C621" s="74">
        <v>43496</v>
      </c>
      <c r="D621" s="72" t="s">
        <v>109</v>
      </c>
      <c r="E621" s="72" t="s">
        <v>79</v>
      </c>
      <c r="F621" s="72">
        <v>-27.2</v>
      </c>
      <c r="G621" s="72" t="s">
        <v>44</v>
      </c>
      <c r="H621" s="72"/>
    </row>
    <row r="622" spans="1:8" x14ac:dyDescent="0.25">
      <c r="A622" s="73">
        <v>43496</v>
      </c>
      <c r="B622" s="72" t="s">
        <v>76</v>
      </c>
      <c r="C622" s="74">
        <v>43496</v>
      </c>
      <c r="D622" s="72" t="s">
        <v>109</v>
      </c>
      <c r="E622" s="72" t="s">
        <v>79</v>
      </c>
      <c r="F622" s="72">
        <v>-29.6</v>
      </c>
      <c r="G622" s="72" t="s">
        <v>44</v>
      </c>
      <c r="H622" s="72"/>
    </row>
    <row r="623" spans="1:8" x14ac:dyDescent="0.25">
      <c r="A623" s="73">
        <v>43510</v>
      </c>
      <c r="B623" s="72" t="s">
        <v>76</v>
      </c>
      <c r="C623" s="74">
        <v>43510</v>
      </c>
      <c r="D623" s="72" t="s">
        <v>109</v>
      </c>
      <c r="E623" s="72" t="s">
        <v>79</v>
      </c>
      <c r="F623" s="72">
        <v>-22.8</v>
      </c>
      <c r="G623" s="72" t="s">
        <v>44</v>
      </c>
      <c r="H623" s="72"/>
    </row>
    <row r="624" spans="1:8" x14ac:dyDescent="0.25">
      <c r="A624" s="73">
        <v>43514</v>
      </c>
      <c r="B624" s="72" t="s">
        <v>76</v>
      </c>
      <c r="C624" s="74">
        <v>43514</v>
      </c>
      <c r="D624" s="72" t="s">
        <v>109</v>
      </c>
      <c r="E624" s="72" t="s">
        <v>79</v>
      </c>
      <c r="F624" s="72">
        <v>-15</v>
      </c>
      <c r="G624" s="72" t="s">
        <v>44</v>
      </c>
      <c r="H624" s="72"/>
    </row>
    <row r="625" spans="1:8" x14ac:dyDescent="0.25">
      <c r="A625" s="73">
        <v>43515</v>
      </c>
      <c r="B625" s="72" t="s">
        <v>76</v>
      </c>
      <c r="C625" s="74">
        <v>43515</v>
      </c>
      <c r="D625" s="72" t="s">
        <v>109</v>
      </c>
      <c r="E625" s="72" t="s">
        <v>79</v>
      </c>
      <c r="F625" s="72">
        <v>-27.8</v>
      </c>
      <c r="G625" s="72" t="s">
        <v>44</v>
      </c>
      <c r="H625" s="72"/>
    </row>
    <row r="626" spans="1:8" x14ac:dyDescent="0.25">
      <c r="A626" s="73">
        <v>43517</v>
      </c>
      <c r="B626" s="72" t="s">
        <v>76</v>
      </c>
      <c r="C626" s="74">
        <v>43517</v>
      </c>
      <c r="D626" s="72" t="s">
        <v>109</v>
      </c>
      <c r="E626" s="72" t="s">
        <v>79</v>
      </c>
      <c r="F626" s="72">
        <v>-11.4</v>
      </c>
      <c r="G626" s="72" t="s">
        <v>44</v>
      </c>
      <c r="H626" s="72"/>
    </row>
    <row r="627" spans="1:8" x14ac:dyDescent="0.25">
      <c r="A627" s="73">
        <v>43521</v>
      </c>
      <c r="B627" s="72" t="s">
        <v>76</v>
      </c>
      <c r="C627" s="74">
        <v>43521</v>
      </c>
      <c r="D627" s="72" t="s">
        <v>109</v>
      </c>
      <c r="E627" s="72" t="s">
        <v>79</v>
      </c>
      <c r="F627" s="72">
        <v>-27.8</v>
      </c>
      <c r="G627" s="72" t="s">
        <v>44</v>
      </c>
      <c r="H627" s="72"/>
    </row>
    <row r="628" spans="1:8" x14ac:dyDescent="0.25">
      <c r="A628" s="73">
        <v>43524</v>
      </c>
      <c r="B628" s="72" t="s">
        <v>76</v>
      </c>
      <c r="C628" s="74">
        <v>43521</v>
      </c>
      <c r="D628" s="72" t="s">
        <v>109</v>
      </c>
      <c r="E628" s="72" t="s">
        <v>79</v>
      </c>
      <c r="F628" s="72">
        <v>-11.8</v>
      </c>
      <c r="G628" s="72" t="s">
        <v>44</v>
      </c>
      <c r="H628" s="72"/>
    </row>
    <row r="629" spans="1:8" x14ac:dyDescent="0.25">
      <c r="A629" s="73">
        <v>43539</v>
      </c>
      <c r="B629" s="72" t="s">
        <v>60</v>
      </c>
      <c r="C629" s="74">
        <v>43477</v>
      </c>
      <c r="D629" s="72" t="s">
        <v>109</v>
      </c>
      <c r="E629" s="72" t="s">
        <v>46</v>
      </c>
      <c r="F629" s="72">
        <v>1144.6099999999999</v>
      </c>
      <c r="G629" s="72" t="s">
        <v>47</v>
      </c>
      <c r="H629" s="72"/>
    </row>
    <row r="630" spans="1:8" x14ac:dyDescent="0.25">
      <c r="A630" s="73">
        <v>43539</v>
      </c>
      <c r="B630" s="72" t="s">
        <v>60</v>
      </c>
      <c r="C630" s="74">
        <v>43489</v>
      </c>
      <c r="D630" s="72" t="s">
        <v>109</v>
      </c>
      <c r="E630" s="72" t="s">
        <v>46</v>
      </c>
      <c r="F630" s="72">
        <v>1812.87</v>
      </c>
      <c r="G630" s="72" t="s">
        <v>47</v>
      </c>
      <c r="H630" s="72"/>
    </row>
    <row r="631" spans="1:8" x14ac:dyDescent="0.25">
      <c r="A631" s="73">
        <v>43500</v>
      </c>
      <c r="B631" s="72" t="s">
        <v>45</v>
      </c>
      <c r="C631" s="74">
        <v>43476</v>
      </c>
      <c r="D631" s="72" t="s">
        <v>109</v>
      </c>
      <c r="E631" s="72" t="s">
        <v>55</v>
      </c>
      <c r="F631" s="72">
        <v>-2250.96</v>
      </c>
      <c r="G631" s="72" t="s">
        <v>44</v>
      </c>
      <c r="H631" s="72" t="s">
        <v>1</v>
      </c>
    </row>
    <row r="632" spans="1:8" x14ac:dyDescent="0.25">
      <c r="A632" s="73">
        <v>43524</v>
      </c>
      <c r="B632" s="72" t="s">
        <v>45</v>
      </c>
      <c r="C632" s="74">
        <v>43507</v>
      </c>
      <c r="D632" s="72" t="s">
        <v>109</v>
      </c>
      <c r="E632" s="72" t="s">
        <v>55</v>
      </c>
      <c r="F632" s="72">
        <v>-2232.86</v>
      </c>
      <c r="G632" s="72" t="s">
        <v>44</v>
      </c>
      <c r="H632" s="72" t="s">
        <v>1</v>
      </c>
    </row>
    <row r="633" spans="1:8" x14ac:dyDescent="0.25">
      <c r="A633" s="73">
        <v>43551</v>
      </c>
      <c r="B633" s="72" t="s">
        <v>45</v>
      </c>
      <c r="C633" s="74">
        <v>43536</v>
      </c>
      <c r="D633" s="72" t="s">
        <v>109</v>
      </c>
      <c r="E633" s="72" t="s">
        <v>55</v>
      </c>
      <c r="F633" s="72">
        <v>-2520.4499999999998</v>
      </c>
      <c r="G633" s="72"/>
      <c r="H633" s="72"/>
    </row>
    <row r="634" spans="1:8" x14ac:dyDescent="0.25">
      <c r="A634" s="73">
        <v>43473</v>
      </c>
      <c r="B634" s="72" t="s">
        <v>76</v>
      </c>
      <c r="C634" s="74">
        <v>43473</v>
      </c>
      <c r="D634" s="72" t="s">
        <v>109</v>
      </c>
      <c r="E634" s="72" t="s">
        <v>79</v>
      </c>
      <c r="F634" s="72">
        <v>-295.02</v>
      </c>
      <c r="G634" s="72" t="s">
        <v>44</v>
      </c>
      <c r="H634" s="72"/>
    </row>
    <row r="635" spans="1:8" x14ac:dyDescent="0.25">
      <c r="A635" s="73">
        <v>43476</v>
      </c>
      <c r="B635" s="72" t="s">
        <v>76</v>
      </c>
      <c r="C635" s="74">
        <v>43476</v>
      </c>
      <c r="D635" s="72" t="s">
        <v>109</v>
      </c>
      <c r="E635" s="72" t="s">
        <v>79</v>
      </c>
      <c r="F635" s="72">
        <v>-370</v>
      </c>
      <c r="G635" s="72" t="s">
        <v>44</v>
      </c>
      <c r="H635" s="72"/>
    </row>
    <row r="636" spans="1:8" x14ac:dyDescent="0.25">
      <c r="A636" s="73">
        <v>43479</v>
      </c>
      <c r="B636" s="72" t="s">
        <v>76</v>
      </c>
      <c r="C636" s="74">
        <v>43479</v>
      </c>
      <c r="D636" s="72" t="s">
        <v>109</v>
      </c>
      <c r="E636" s="72" t="s">
        <v>79</v>
      </c>
      <c r="F636" s="72">
        <v>-320</v>
      </c>
      <c r="G636" s="72" t="s">
        <v>44</v>
      </c>
      <c r="H636" s="72"/>
    </row>
    <row r="637" spans="1:8" x14ac:dyDescent="0.25">
      <c r="A637" s="73">
        <v>43482</v>
      </c>
      <c r="B637" s="72" t="s">
        <v>76</v>
      </c>
      <c r="C637" s="74">
        <v>43482</v>
      </c>
      <c r="D637" s="72" t="s">
        <v>109</v>
      </c>
      <c r="E637" s="72" t="s">
        <v>79</v>
      </c>
      <c r="F637" s="72">
        <v>-400.02</v>
      </c>
      <c r="G637" s="72" t="s">
        <v>44</v>
      </c>
      <c r="H637" s="72"/>
    </row>
    <row r="638" spans="1:8" x14ac:dyDescent="0.25">
      <c r="A638" s="73">
        <v>43486</v>
      </c>
      <c r="B638" s="72" t="s">
        <v>76</v>
      </c>
      <c r="C638" s="74">
        <v>43486</v>
      </c>
      <c r="D638" s="72" t="s">
        <v>109</v>
      </c>
      <c r="E638" s="72" t="s">
        <v>79</v>
      </c>
      <c r="F638" s="72">
        <v>-11.6</v>
      </c>
      <c r="G638" s="72" t="s">
        <v>44</v>
      </c>
      <c r="H638" s="72"/>
    </row>
    <row r="639" spans="1:8" x14ac:dyDescent="0.25">
      <c r="A639" s="73">
        <v>43487</v>
      </c>
      <c r="B639" s="72" t="s">
        <v>76</v>
      </c>
      <c r="C639" s="74">
        <v>43487</v>
      </c>
      <c r="D639" s="72" t="s">
        <v>109</v>
      </c>
      <c r="E639" s="72" t="s">
        <v>79</v>
      </c>
      <c r="F639" s="72">
        <v>-356</v>
      </c>
      <c r="G639" s="72" t="s">
        <v>44</v>
      </c>
      <c r="H639" s="72"/>
    </row>
    <row r="640" spans="1:8" x14ac:dyDescent="0.25">
      <c r="A640" s="73">
        <v>43490</v>
      </c>
      <c r="B640" s="72" t="s">
        <v>76</v>
      </c>
      <c r="C640" s="74">
        <v>43490</v>
      </c>
      <c r="D640" s="72" t="s">
        <v>109</v>
      </c>
      <c r="E640" s="72" t="s">
        <v>79</v>
      </c>
      <c r="F640" s="72">
        <v>-330</v>
      </c>
      <c r="G640" s="72" t="s">
        <v>44</v>
      </c>
      <c r="H640" s="72"/>
    </row>
    <row r="641" spans="1:8" x14ac:dyDescent="0.25">
      <c r="A641" s="73">
        <v>43496</v>
      </c>
      <c r="B641" s="72" t="s">
        <v>76</v>
      </c>
      <c r="C641" s="74">
        <v>43496</v>
      </c>
      <c r="D641" s="72" t="s">
        <v>109</v>
      </c>
      <c r="E641" s="72" t="s">
        <v>79</v>
      </c>
      <c r="F641" s="72">
        <v>-27.2</v>
      </c>
      <c r="G641" s="72" t="s">
        <v>44</v>
      </c>
      <c r="H641" s="72"/>
    </row>
    <row r="642" spans="1:8" x14ac:dyDescent="0.25">
      <c r="A642" s="73">
        <v>43497</v>
      </c>
      <c r="B642" s="72" t="s">
        <v>76</v>
      </c>
      <c r="C642" s="74">
        <v>43497</v>
      </c>
      <c r="D642" s="72" t="s">
        <v>109</v>
      </c>
      <c r="E642" s="72" t="s">
        <v>79</v>
      </c>
      <c r="F642" s="72">
        <v>-300</v>
      </c>
      <c r="G642" s="72" t="s">
        <v>44</v>
      </c>
      <c r="H642" s="72"/>
    </row>
    <row r="643" spans="1:8" x14ac:dyDescent="0.25">
      <c r="A643" s="73">
        <v>43501</v>
      </c>
      <c r="B643" s="72" t="s">
        <v>76</v>
      </c>
      <c r="C643" s="74">
        <v>43501</v>
      </c>
      <c r="D643" s="72" t="s">
        <v>109</v>
      </c>
      <c r="E643" s="72" t="s">
        <v>79</v>
      </c>
      <c r="F643" s="72">
        <v>-397.03</v>
      </c>
      <c r="G643" s="72" t="s">
        <v>44</v>
      </c>
      <c r="H643" s="72"/>
    </row>
    <row r="644" spans="1:8" x14ac:dyDescent="0.25">
      <c r="A644" s="73">
        <v>43507</v>
      </c>
      <c r="B644" s="72" t="s">
        <v>76</v>
      </c>
      <c r="C644" s="74">
        <v>43507</v>
      </c>
      <c r="D644" s="72" t="s">
        <v>109</v>
      </c>
      <c r="E644" s="72" t="s">
        <v>79</v>
      </c>
      <c r="F644" s="72">
        <v>-300</v>
      </c>
      <c r="G644" s="72" t="s">
        <v>44</v>
      </c>
      <c r="H644" s="72"/>
    </row>
    <row r="645" spans="1:8" x14ac:dyDescent="0.25">
      <c r="A645" s="73">
        <v>43509</v>
      </c>
      <c r="B645" s="72" t="s">
        <v>76</v>
      </c>
      <c r="C645" s="74">
        <v>43509</v>
      </c>
      <c r="D645" s="72" t="s">
        <v>109</v>
      </c>
      <c r="E645" s="72" t="s">
        <v>79</v>
      </c>
      <c r="F645" s="72">
        <v>-396.01</v>
      </c>
      <c r="G645" s="72" t="s">
        <v>44</v>
      </c>
      <c r="H645" s="72"/>
    </row>
    <row r="646" spans="1:8" x14ac:dyDescent="0.25">
      <c r="A646" s="73">
        <v>43514</v>
      </c>
      <c r="B646" s="72" t="s">
        <v>76</v>
      </c>
      <c r="C646" s="74">
        <v>43514</v>
      </c>
      <c r="D646" s="72" t="s">
        <v>109</v>
      </c>
      <c r="E646" s="72" t="s">
        <v>79</v>
      </c>
      <c r="F646" s="72">
        <v>-300</v>
      </c>
      <c r="G646" s="72" t="s">
        <v>44</v>
      </c>
      <c r="H646" s="72"/>
    </row>
    <row r="647" spans="1:8" x14ac:dyDescent="0.25">
      <c r="A647" s="73">
        <v>43516</v>
      </c>
      <c r="B647" s="72" t="s">
        <v>76</v>
      </c>
      <c r="C647" s="74">
        <v>43516</v>
      </c>
      <c r="D647" s="72" t="s">
        <v>109</v>
      </c>
      <c r="E647" s="72" t="s">
        <v>79</v>
      </c>
      <c r="F647" s="72">
        <v>-330.01</v>
      </c>
      <c r="G647" s="72" t="s">
        <v>44</v>
      </c>
      <c r="H647" s="72"/>
    </row>
    <row r="648" spans="1:8" x14ac:dyDescent="0.25">
      <c r="A648" s="73">
        <v>43518</v>
      </c>
      <c r="B648" s="72" t="s">
        <v>76</v>
      </c>
      <c r="C648" s="74">
        <v>43521</v>
      </c>
      <c r="D648" s="72" t="s">
        <v>109</v>
      </c>
      <c r="E648" s="72" t="s">
        <v>79</v>
      </c>
      <c r="F648" s="72">
        <v>-390.01</v>
      </c>
      <c r="G648" s="72" t="s">
        <v>44</v>
      </c>
      <c r="H648" s="72"/>
    </row>
    <row r="649" spans="1:8" x14ac:dyDescent="0.25">
      <c r="A649" s="73">
        <v>43523</v>
      </c>
      <c r="B649" s="72" t="s">
        <v>76</v>
      </c>
      <c r="C649" s="74">
        <v>43523</v>
      </c>
      <c r="D649" s="72" t="s">
        <v>109</v>
      </c>
      <c r="E649" s="72" t="s">
        <v>79</v>
      </c>
      <c r="F649" s="72">
        <v>-350.01</v>
      </c>
      <c r="G649" s="72" t="s">
        <v>44</v>
      </c>
      <c r="H649" s="72"/>
    </row>
    <row r="650" spans="1:8" x14ac:dyDescent="0.25">
      <c r="A650" s="73">
        <v>43530</v>
      </c>
      <c r="B650" s="72" t="s">
        <v>76</v>
      </c>
      <c r="C650" s="74">
        <v>43527</v>
      </c>
      <c r="D650" s="72" t="s">
        <v>109</v>
      </c>
      <c r="E650" s="72" t="s">
        <v>79</v>
      </c>
      <c r="F650" s="72">
        <v>-370</v>
      </c>
      <c r="G650" s="72" t="s">
        <v>44</v>
      </c>
      <c r="H650" s="72"/>
    </row>
    <row r="651" spans="1:8" x14ac:dyDescent="0.25">
      <c r="A651" s="73">
        <v>43523</v>
      </c>
      <c r="B651" s="72" t="s">
        <v>76</v>
      </c>
      <c r="C651" s="74">
        <v>43521</v>
      </c>
      <c r="D651" s="72" t="s">
        <v>109</v>
      </c>
      <c r="E651" s="72" t="s">
        <v>79</v>
      </c>
      <c r="F651" s="72">
        <v>-36</v>
      </c>
      <c r="G651" s="72" t="s">
        <v>44</v>
      </c>
      <c r="H651" s="72"/>
    </row>
    <row r="652" spans="1:8" x14ac:dyDescent="0.25">
      <c r="A652" s="73">
        <v>43474</v>
      </c>
      <c r="B652" s="72" t="s">
        <v>76</v>
      </c>
      <c r="C652" s="74">
        <v>43474</v>
      </c>
      <c r="D652" s="72" t="s">
        <v>109</v>
      </c>
      <c r="E652" s="72" t="s">
        <v>79</v>
      </c>
      <c r="F652" s="72">
        <v>-46.2</v>
      </c>
      <c r="G652" s="72" t="s">
        <v>44</v>
      </c>
      <c r="H652" s="72"/>
    </row>
    <row r="653" spans="1:8" x14ac:dyDescent="0.25">
      <c r="A653" s="73">
        <v>43475</v>
      </c>
      <c r="B653" s="72" t="s">
        <v>76</v>
      </c>
      <c r="C653" s="74">
        <v>43475</v>
      </c>
      <c r="D653" s="72" t="s">
        <v>109</v>
      </c>
      <c r="E653" s="72" t="s">
        <v>79</v>
      </c>
      <c r="F653" s="72">
        <v>-11.6</v>
      </c>
      <c r="G653" s="72" t="s">
        <v>44</v>
      </c>
      <c r="H653" s="72"/>
    </row>
    <row r="654" spans="1:8" x14ac:dyDescent="0.25">
      <c r="A654" s="73">
        <v>43476</v>
      </c>
      <c r="B654" s="72" t="s">
        <v>76</v>
      </c>
      <c r="C654" s="74">
        <v>43476</v>
      </c>
      <c r="D654" s="72" t="s">
        <v>109</v>
      </c>
      <c r="E654" s="72" t="s">
        <v>79</v>
      </c>
      <c r="F654" s="72">
        <v>-12.9</v>
      </c>
      <c r="G654" s="72" t="s">
        <v>44</v>
      </c>
      <c r="H654" s="72"/>
    </row>
    <row r="655" spans="1:8" x14ac:dyDescent="0.25">
      <c r="A655" s="73">
        <v>43476</v>
      </c>
      <c r="B655" s="72" t="s">
        <v>76</v>
      </c>
      <c r="C655" s="74">
        <v>43476</v>
      </c>
      <c r="D655" s="72" t="s">
        <v>109</v>
      </c>
      <c r="E655" s="72" t="s">
        <v>79</v>
      </c>
      <c r="F655" s="72">
        <v>-12.9</v>
      </c>
      <c r="G655" s="72" t="s">
        <v>44</v>
      </c>
      <c r="H655" s="72"/>
    </row>
    <row r="656" spans="1:8" x14ac:dyDescent="0.25">
      <c r="A656" s="73">
        <v>43476</v>
      </c>
      <c r="B656" s="72" t="s">
        <v>76</v>
      </c>
      <c r="C656" s="74">
        <v>43476</v>
      </c>
      <c r="D656" s="72" t="s">
        <v>109</v>
      </c>
      <c r="E656" s="72" t="s">
        <v>79</v>
      </c>
      <c r="F656" s="72">
        <v>-5.8</v>
      </c>
      <c r="G656" s="72" t="s">
        <v>44</v>
      </c>
      <c r="H656" s="72"/>
    </row>
    <row r="657" spans="1:8" x14ac:dyDescent="0.25">
      <c r="A657" s="73">
        <v>43479</v>
      </c>
      <c r="B657" s="72" t="s">
        <v>76</v>
      </c>
      <c r="C657" s="74">
        <v>43479</v>
      </c>
      <c r="D657" s="72" t="s">
        <v>109</v>
      </c>
      <c r="E657" s="72" t="s">
        <v>79</v>
      </c>
      <c r="F657" s="72">
        <v>-12.9</v>
      </c>
      <c r="G657" s="72" t="s">
        <v>44</v>
      </c>
      <c r="H657" s="72"/>
    </row>
    <row r="658" spans="1:8" x14ac:dyDescent="0.25">
      <c r="A658" s="73">
        <v>43479</v>
      </c>
      <c r="B658" s="72" t="s">
        <v>76</v>
      </c>
      <c r="C658" s="74">
        <v>43479</v>
      </c>
      <c r="D658" s="72" t="s">
        <v>109</v>
      </c>
      <c r="E658" s="72" t="s">
        <v>79</v>
      </c>
      <c r="F658" s="72">
        <v>-12.9</v>
      </c>
      <c r="G658" s="72" t="s">
        <v>44</v>
      </c>
      <c r="H658" s="72"/>
    </row>
    <row r="659" spans="1:8" x14ac:dyDescent="0.25">
      <c r="A659" s="73">
        <v>43479</v>
      </c>
      <c r="B659" s="72" t="s">
        <v>76</v>
      </c>
      <c r="C659" s="74">
        <v>43479</v>
      </c>
      <c r="D659" s="72" t="s">
        <v>109</v>
      </c>
      <c r="E659" s="72" t="s">
        <v>79</v>
      </c>
      <c r="F659" s="72">
        <v>-6.7</v>
      </c>
      <c r="G659" s="72" t="s">
        <v>44</v>
      </c>
      <c r="H659" s="72"/>
    </row>
    <row r="660" spans="1:8" x14ac:dyDescent="0.25">
      <c r="A660" s="73">
        <v>43481</v>
      </c>
      <c r="B660" s="72" t="s">
        <v>76</v>
      </c>
      <c r="C660" s="74">
        <v>43481</v>
      </c>
      <c r="D660" s="72" t="s">
        <v>109</v>
      </c>
      <c r="E660" s="72" t="s">
        <v>79</v>
      </c>
      <c r="F660" s="72">
        <v>-11.6</v>
      </c>
      <c r="G660" s="72" t="s">
        <v>44</v>
      </c>
      <c r="H660" s="72"/>
    </row>
    <row r="661" spans="1:8" x14ac:dyDescent="0.25">
      <c r="A661" s="73">
        <v>43482</v>
      </c>
      <c r="B661" s="72" t="s">
        <v>76</v>
      </c>
      <c r="C661" s="74">
        <v>43482</v>
      </c>
      <c r="D661" s="72" t="s">
        <v>109</v>
      </c>
      <c r="E661" s="72" t="s">
        <v>79</v>
      </c>
      <c r="F661" s="72">
        <v>-3.8</v>
      </c>
      <c r="G661" s="72" t="s">
        <v>44</v>
      </c>
      <c r="H661" s="72"/>
    </row>
    <row r="662" spans="1:8" x14ac:dyDescent="0.25">
      <c r="A662" s="73">
        <v>43482</v>
      </c>
      <c r="B662" s="72" t="s">
        <v>76</v>
      </c>
      <c r="C662" s="74">
        <v>43482</v>
      </c>
      <c r="D662" s="72" t="s">
        <v>109</v>
      </c>
      <c r="E662" s="72" t="s">
        <v>79</v>
      </c>
      <c r="F662" s="72">
        <v>-3.8</v>
      </c>
      <c r="G662" s="72" t="s">
        <v>44</v>
      </c>
      <c r="H662" s="72"/>
    </row>
    <row r="663" spans="1:8" x14ac:dyDescent="0.25">
      <c r="A663" s="73">
        <v>43487</v>
      </c>
      <c r="B663" s="72" t="s">
        <v>76</v>
      </c>
      <c r="C663" s="74">
        <v>43487</v>
      </c>
      <c r="D663" s="72" t="s">
        <v>109</v>
      </c>
      <c r="E663" s="72" t="s">
        <v>79</v>
      </c>
      <c r="F663" s="72">
        <v>-5.8</v>
      </c>
      <c r="G663" s="72" t="s">
        <v>44</v>
      </c>
      <c r="H663" s="72"/>
    </row>
    <row r="664" spans="1:8" x14ac:dyDescent="0.25">
      <c r="A664" s="73">
        <v>43489</v>
      </c>
      <c r="B664" s="72" t="s">
        <v>76</v>
      </c>
      <c r="C664" s="74">
        <v>43489</v>
      </c>
      <c r="D664" s="72" t="s">
        <v>109</v>
      </c>
      <c r="E664" s="72" t="s">
        <v>79</v>
      </c>
      <c r="F664" s="72">
        <v>-5.8</v>
      </c>
      <c r="G664" s="72" t="s">
        <v>44</v>
      </c>
      <c r="H664" s="72"/>
    </row>
    <row r="665" spans="1:8" x14ac:dyDescent="0.25">
      <c r="A665" s="73">
        <v>43497</v>
      </c>
      <c r="B665" s="72" t="s">
        <v>76</v>
      </c>
      <c r="C665" s="74">
        <v>43497</v>
      </c>
      <c r="D665" s="72" t="s">
        <v>109</v>
      </c>
      <c r="E665" s="72" t="s">
        <v>79</v>
      </c>
      <c r="F665" s="72">
        <v>-21.1</v>
      </c>
      <c r="G665" s="72" t="s">
        <v>44</v>
      </c>
      <c r="H665" s="72"/>
    </row>
    <row r="666" spans="1:8" x14ac:dyDescent="0.25">
      <c r="A666" s="73">
        <v>43497</v>
      </c>
      <c r="B666" s="72" t="s">
        <v>76</v>
      </c>
      <c r="C666" s="74">
        <v>43497</v>
      </c>
      <c r="D666" s="72" t="s">
        <v>109</v>
      </c>
      <c r="E666" s="72" t="s">
        <v>79</v>
      </c>
      <c r="F666" s="72">
        <v>-21.1</v>
      </c>
      <c r="G666" s="72" t="s">
        <v>44</v>
      </c>
      <c r="H666" s="72"/>
    </row>
    <row r="667" spans="1:8" x14ac:dyDescent="0.25">
      <c r="A667" s="73">
        <v>43503</v>
      </c>
      <c r="B667" s="72" t="s">
        <v>76</v>
      </c>
      <c r="C667" s="74">
        <v>43503</v>
      </c>
      <c r="D667" s="72" t="s">
        <v>109</v>
      </c>
      <c r="E667" s="72" t="s">
        <v>79</v>
      </c>
      <c r="F667" s="72">
        <v>-5.9</v>
      </c>
      <c r="G667" s="72" t="s">
        <v>44</v>
      </c>
      <c r="H667" s="72"/>
    </row>
    <row r="668" spans="1:8" x14ac:dyDescent="0.25">
      <c r="A668" s="73">
        <v>43504</v>
      </c>
      <c r="B668" s="72" t="s">
        <v>76</v>
      </c>
      <c r="C668" s="74">
        <v>43504</v>
      </c>
      <c r="D668" s="72" t="s">
        <v>109</v>
      </c>
      <c r="E668" s="72" t="s">
        <v>79</v>
      </c>
      <c r="F668" s="72">
        <v>-13.1</v>
      </c>
      <c r="G668" s="72" t="s">
        <v>44</v>
      </c>
      <c r="H668" s="72"/>
    </row>
    <row r="669" spans="1:8" x14ac:dyDescent="0.25">
      <c r="A669" s="73">
        <v>43504</v>
      </c>
      <c r="B669" s="72" t="s">
        <v>76</v>
      </c>
      <c r="C669" s="74">
        <v>43504</v>
      </c>
      <c r="D669" s="72" t="s">
        <v>109</v>
      </c>
      <c r="E669" s="72" t="s">
        <v>79</v>
      </c>
      <c r="F669" s="72">
        <v>-11.8</v>
      </c>
      <c r="G669" s="72" t="s">
        <v>44</v>
      </c>
      <c r="H669" s="72"/>
    </row>
    <row r="670" spans="1:8" x14ac:dyDescent="0.25">
      <c r="A670" s="73">
        <v>43505</v>
      </c>
      <c r="B670" s="72" t="s">
        <v>76</v>
      </c>
      <c r="C670" s="74">
        <v>43505</v>
      </c>
      <c r="D670" s="72" t="s">
        <v>109</v>
      </c>
      <c r="E670" s="72" t="s">
        <v>79</v>
      </c>
      <c r="F670" s="72">
        <v>-13.1</v>
      </c>
      <c r="G670" s="72" t="s">
        <v>44</v>
      </c>
      <c r="H670" s="72"/>
    </row>
    <row r="671" spans="1:8" x14ac:dyDescent="0.25">
      <c r="A671" s="73">
        <v>43507</v>
      </c>
      <c r="B671" s="72" t="s">
        <v>76</v>
      </c>
      <c r="C671" s="74">
        <v>43507</v>
      </c>
      <c r="D671" s="72" t="s">
        <v>109</v>
      </c>
      <c r="E671" s="72" t="s">
        <v>79</v>
      </c>
      <c r="F671" s="72">
        <v>-11.8</v>
      </c>
      <c r="G671" s="72" t="s">
        <v>44</v>
      </c>
      <c r="H671" s="72"/>
    </row>
    <row r="672" spans="1:8" x14ac:dyDescent="0.25">
      <c r="A672" s="73">
        <v>43508</v>
      </c>
      <c r="B672" s="72" t="s">
        <v>76</v>
      </c>
      <c r="C672" s="74">
        <v>43508</v>
      </c>
      <c r="D672" s="72" t="s">
        <v>109</v>
      </c>
      <c r="E672" s="72" t="s">
        <v>79</v>
      </c>
      <c r="F672" s="72">
        <v>-5.9</v>
      </c>
      <c r="G672" s="72" t="s">
        <v>44</v>
      </c>
      <c r="H672" s="72"/>
    </row>
    <row r="673" spans="1:8" x14ac:dyDescent="0.25">
      <c r="A673" s="73">
        <v>43509</v>
      </c>
      <c r="B673" s="72" t="s">
        <v>76</v>
      </c>
      <c r="C673" s="74">
        <v>43509</v>
      </c>
      <c r="D673" s="72" t="s">
        <v>109</v>
      </c>
      <c r="E673" s="72" t="s">
        <v>79</v>
      </c>
      <c r="F673" s="72">
        <v>-13.1</v>
      </c>
      <c r="G673" s="72" t="s">
        <v>44</v>
      </c>
      <c r="H673" s="72"/>
    </row>
    <row r="674" spans="1:8" x14ac:dyDescent="0.25">
      <c r="A674" s="73">
        <v>43509</v>
      </c>
      <c r="B674" s="72" t="s">
        <v>76</v>
      </c>
      <c r="C674" s="74">
        <v>43509</v>
      </c>
      <c r="D674" s="72" t="s">
        <v>109</v>
      </c>
      <c r="E674" s="72" t="s">
        <v>79</v>
      </c>
      <c r="F674" s="72">
        <v>-13.1</v>
      </c>
      <c r="G674" s="72" t="s">
        <v>44</v>
      </c>
      <c r="H674" s="72"/>
    </row>
    <row r="675" spans="1:8" x14ac:dyDescent="0.25">
      <c r="A675" s="73">
        <v>43511</v>
      </c>
      <c r="B675" s="72" t="s">
        <v>76</v>
      </c>
      <c r="C675" s="74">
        <v>43511</v>
      </c>
      <c r="D675" s="72" t="s">
        <v>109</v>
      </c>
      <c r="E675" s="72" t="s">
        <v>79</v>
      </c>
      <c r="F675" s="72">
        <v>-5.9</v>
      </c>
      <c r="G675" s="72" t="s">
        <v>44</v>
      </c>
      <c r="H675" s="72"/>
    </row>
    <row r="676" spans="1:8" x14ac:dyDescent="0.25">
      <c r="A676" s="73">
        <v>43514</v>
      </c>
      <c r="B676" s="72" t="s">
        <v>76</v>
      </c>
      <c r="C676" s="74">
        <v>43514</v>
      </c>
      <c r="D676" s="72" t="s">
        <v>109</v>
      </c>
      <c r="E676" s="72" t="s">
        <v>79</v>
      </c>
      <c r="F676" s="72">
        <v>-25.7</v>
      </c>
      <c r="G676" s="72" t="s">
        <v>44</v>
      </c>
      <c r="H676" s="72"/>
    </row>
    <row r="677" spans="1:8" x14ac:dyDescent="0.25">
      <c r="A677" s="73">
        <v>43515</v>
      </c>
      <c r="B677" s="72" t="s">
        <v>76</v>
      </c>
      <c r="C677" s="74">
        <v>43515</v>
      </c>
      <c r="D677" s="72" t="s">
        <v>109</v>
      </c>
      <c r="E677" s="72" t="s">
        <v>79</v>
      </c>
      <c r="F677" s="72">
        <v>-5.9</v>
      </c>
      <c r="G677" s="72" t="s">
        <v>44</v>
      </c>
      <c r="H677" s="72"/>
    </row>
    <row r="678" spans="1:8" x14ac:dyDescent="0.25">
      <c r="A678" s="73">
        <v>43515</v>
      </c>
      <c r="B678" s="72" t="s">
        <v>76</v>
      </c>
      <c r="C678" s="74">
        <v>43515</v>
      </c>
      <c r="D678" s="72" t="s">
        <v>109</v>
      </c>
      <c r="E678" s="72" t="s">
        <v>79</v>
      </c>
      <c r="F678" s="72">
        <v>-6.8</v>
      </c>
      <c r="G678" s="72" t="s">
        <v>44</v>
      </c>
      <c r="H678" s="72"/>
    </row>
    <row r="679" spans="1:8" x14ac:dyDescent="0.25">
      <c r="A679" s="73">
        <v>43516</v>
      </c>
      <c r="B679" s="72" t="s">
        <v>76</v>
      </c>
      <c r="C679" s="74">
        <v>43516</v>
      </c>
      <c r="D679" s="72" t="s">
        <v>109</v>
      </c>
      <c r="E679" s="72" t="s">
        <v>79</v>
      </c>
      <c r="F679" s="72">
        <v>-6.8</v>
      </c>
      <c r="G679" s="72" t="s">
        <v>44</v>
      </c>
      <c r="H679" s="72"/>
    </row>
    <row r="680" spans="1:8" x14ac:dyDescent="0.25">
      <c r="A680" s="73">
        <v>43523</v>
      </c>
      <c r="B680" s="72" t="s">
        <v>76</v>
      </c>
      <c r="C680" s="74">
        <v>43522</v>
      </c>
      <c r="D680" s="72" t="s">
        <v>109</v>
      </c>
      <c r="E680" s="72" t="s">
        <v>79</v>
      </c>
      <c r="F680" s="72">
        <v>-5.9</v>
      </c>
      <c r="G680" s="72" t="s">
        <v>44</v>
      </c>
      <c r="H680" s="72"/>
    </row>
    <row r="681" spans="1:8" x14ac:dyDescent="0.25">
      <c r="A681" s="73">
        <v>43530</v>
      </c>
      <c r="B681" s="72" t="s">
        <v>76</v>
      </c>
      <c r="C681" s="74">
        <v>43526</v>
      </c>
      <c r="D681" s="72" t="s">
        <v>109</v>
      </c>
      <c r="E681" s="72" t="s">
        <v>79</v>
      </c>
      <c r="F681" s="72">
        <v>-3.8</v>
      </c>
      <c r="G681" s="72" t="s">
        <v>44</v>
      </c>
      <c r="H681" s="72"/>
    </row>
    <row r="682" spans="1:8" x14ac:dyDescent="0.25">
      <c r="A682" s="73">
        <v>43539</v>
      </c>
      <c r="B682" s="72" t="s">
        <v>60</v>
      </c>
      <c r="C682" s="74">
        <v>43495</v>
      </c>
      <c r="D682" s="72" t="s">
        <v>109</v>
      </c>
      <c r="E682" s="72" t="s">
        <v>46</v>
      </c>
      <c r="F682" s="72">
        <v>464.28</v>
      </c>
      <c r="G682" s="72" t="s">
        <v>47</v>
      </c>
      <c r="H682" s="72"/>
    </row>
    <row r="683" spans="1:8" x14ac:dyDescent="0.25">
      <c r="A683" s="73">
        <v>43502</v>
      </c>
      <c r="B683" s="72" t="s">
        <v>42</v>
      </c>
      <c r="C683" s="74">
        <v>43521</v>
      </c>
      <c r="D683" s="72" t="s">
        <v>109</v>
      </c>
      <c r="E683" s="72" t="s">
        <v>69</v>
      </c>
      <c r="F683" s="72">
        <v>-1258.79</v>
      </c>
      <c r="G683" s="72" t="s">
        <v>44</v>
      </c>
      <c r="H683" s="72"/>
    </row>
    <row r="684" spans="1:8" x14ac:dyDescent="0.25">
      <c r="A684" s="73">
        <v>43530</v>
      </c>
      <c r="B684" s="72" t="s">
        <v>42</v>
      </c>
      <c r="C684" s="74">
        <v>43544</v>
      </c>
      <c r="D684" s="72" t="s">
        <v>109</v>
      </c>
      <c r="E684" s="72" t="s">
        <v>69</v>
      </c>
      <c r="F684" s="72">
        <v>-1258.79</v>
      </c>
      <c r="G684" s="72" t="s">
        <v>44</v>
      </c>
      <c r="H684" s="72"/>
    </row>
    <row r="685" spans="1:8" x14ac:dyDescent="0.25">
      <c r="A685" s="73">
        <v>43489</v>
      </c>
      <c r="B685" s="72" t="s">
        <v>42</v>
      </c>
      <c r="C685" s="74">
        <v>43489</v>
      </c>
      <c r="D685" s="72" t="s">
        <v>109</v>
      </c>
      <c r="E685" s="72" t="s">
        <v>64</v>
      </c>
      <c r="F685" s="72">
        <v>-610.46</v>
      </c>
      <c r="G685" s="72" t="s">
        <v>44</v>
      </c>
      <c r="H685" s="72"/>
    </row>
    <row r="686" spans="1:8" x14ac:dyDescent="0.25">
      <c r="A686" s="73">
        <v>43501</v>
      </c>
      <c r="B686" s="72" t="s">
        <v>42</v>
      </c>
      <c r="C686" s="74">
        <v>43501</v>
      </c>
      <c r="D686" s="72" t="s">
        <v>109</v>
      </c>
      <c r="E686" s="72" t="s">
        <v>64</v>
      </c>
      <c r="F686" s="72">
        <v>-511.21</v>
      </c>
      <c r="G686" s="72" t="s">
        <v>44</v>
      </c>
      <c r="H686" s="72"/>
    </row>
    <row r="687" spans="1:8" x14ac:dyDescent="0.25">
      <c r="A687" s="73">
        <v>43521</v>
      </c>
      <c r="B687" s="72" t="s">
        <v>42</v>
      </c>
      <c r="C687" s="74">
        <v>43522</v>
      </c>
      <c r="D687" s="72" t="s">
        <v>109</v>
      </c>
      <c r="E687" s="72" t="s">
        <v>64</v>
      </c>
      <c r="F687" s="72">
        <v>-610.46</v>
      </c>
      <c r="G687" s="72" t="s">
        <v>44</v>
      </c>
      <c r="H687" s="72"/>
    </row>
    <row r="688" spans="1:8" x14ac:dyDescent="0.25">
      <c r="A688" s="73">
        <v>43530</v>
      </c>
      <c r="B688" s="72" t="s">
        <v>42</v>
      </c>
      <c r="C688" s="74">
        <v>43530</v>
      </c>
      <c r="D688" s="72" t="s">
        <v>109</v>
      </c>
      <c r="E688" s="72" t="s">
        <v>64</v>
      </c>
      <c r="F688" s="72">
        <v>-511.21</v>
      </c>
      <c r="G688" s="72" t="s">
        <v>44</v>
      </c>
      <c r="H688" s="72"/>
    </row>
    <row r="689" spans="1:8" x14ac:dyDescent="0.25">
      <c r="A689" s="73">
        <v>43542</v>
      </c>
      <c r="B689" s="72" t="s">
        <v>59</v>
      </c>
      <c r="C689" s="74">
        <v>43497</v>
      </c>
      <c r="D689" s="72" t="s">
        <v>109</v>
      </c>
      <c r="E689" s="72" t="s">
        <v>46</v>
      </c>
      <c r="F689" s="72">
        <v>16253</v>
      </c>
      <c r="G689" s="72"/>
      <c r="H689" s="72"/>
    </row>
    <row r="690" spans="1:8" x14ac:dyDescent="0.25">
      <c r="A690" s="73">
        <v>43544</v>
      </c>
      <c r="B690" s="72" t="s">
        <v>45</v>
      </c>
      <c r="C690" s="74">
        <v>43524</v>
      </c>
      <c r="D690" s="72" t="s">
        <v>109</v>
      </c>
      <c r="E690" s="72" t="s">
        <v>68</v>
      </c>
      <c r="F690" s="72">
        <v>-684</v>
      </c>
      <c r="G690" s="72"/>
      <c r="H690" s="72"/>
    </row>
    <row r="691" spans="1:8" x14ac:dyDescent="0.25">
      <c r="A691" s="73">
        <v>43575</v>
      </c>
      <c r="B691" s="72" t="s">
        <v>45</v>
      </c>
      <c r="C691" s="74">
        <v>43544</v>
      </c>
      <c r="D691" s="72" t="s">
        <v>109</v>
      </c>
      <c r="E691" s="72" t="s">
        <v>68</v>
      </c>
      <c r="F691" s="72">
        <v>-684</v>
      </c>
      <c r="G691" s="72"/>
      <c r="H691" s="72"/>
    </row>
    <row r="692" spans="1:8" x14ac:dyDescent="0.25">
      <c r="A692" s="73">
        <v>43525</v>
      </c>
      <c r="B692" s="72" t="s">
        <v>76</v>
      </c>
      <c r="C692" s="74">
        <v>43497</v>
      </c>
      <c r="D692" s="72" t="s">
        <v>109</v>
      </c>
      <c r="E692" s="72" t="s">
        <v>46</v>
      </c>
      <c r="F692" s="72">
        <v>610.02</v>
      </c>
      <c r="G692" s="72" t="s">
        <v>47</v>
      </c>
      <c r="H692" s="72" t="s">
        <v>1</v>
      </c>
    </row>
    <row r="693" spans="1:8" x14ac:dyDescent="0.25">
      <c r="A693" s="73">
        <v>43473</v>
      </c>
      <c r="B693" s="72" t="s">
        <v>42</v>
      </c>
      <c r="C693" s="74">
        <v>43473</v>
      </c>
      <c r="D693" s="72" t="s">
        <v>109</v>
      </c>
      <c r="E693" s="72" t="s">
        <v>48</v>
      </c>
      <c r="F693" s="72">
        <v>-0.48</v>
      </c>
      <c r="G693" s="72" t="s">
        <v>44</v>
      </c>
      <c r="H693" s="72"/>
    </row>
    <row r="694" spans="1:8" x14ac:dyDescent="0.25">
      <c r="A694" s="73">
        <v>43476</v>
      </c>
      <c r="B694" s="72" t="s">
        <v>42</v>
      </c>
      <c r="C694" s="74">
        <v>43476</v>
      </c>
      <c r="D694" s="72" t="s">
        <v>109</v>
      </c>
      <c r="E694" s="72" t="s">
        <v>48</v>
      </c>
      <c r="F694" s="72">
        <v>-1.92</v>
      </c>
      <c r="G694" s="72" t="s">
        <v>44</v>
      </c>
      <c r="H694" s="72"/>
    </row>
    <row r="695" spans="1:8" x14ac:dyDescent="0.25">
      <c r="A695" s="73">
        <v>43488</v>
      </c>
      <c r="B695" s="72" t="s">
        <v>42</v>
      </c>
      <c r="C695" s="74">
        <v>43488</v>
      </c>
      <c r="D695" s="72" t="s">
        <v>109</v>
      </c>
      <c r="E695" s="72" t="s">
        <v>48</v>
      </c>
      <c r="F695" s="72">
        <v>-1.92</v>
      </c>
      <c r="G695" s="72" t="s">
        <v>44</v>
      </c>
      <c r="H695" s="72"/>
    </row>
    <row r="696" spans="1:8" x14ac:dyDescent="0.25">
      <c r="A696" s="73">
        <v>43494</v>
      </c>
      <c r="B696" s="72" t="s">
        <v>42</v>
      </c>
      <c r="C696" s="74">
        <v>43494</v>
      </c>
      <c r="D696" s="72" t="s">
        <v>109</v>
      </c>
      <c r="E696" s="72" t="s">
        <v>48</v>
      </c>
      <c r="F696" s="72">
        <v>-0.96</v>
      </c>
      <c r="G696" s="72" t="s">
        <v>44</v>
      </c>
      <c r="H696" s="72"/>
    </row>
    <row r="697" spans="1:8" x14ac:dyDescent="0.25">
      <c r="A697" s="73">
        <v>43497</v>
      </c>
      <c r="B697" s="72" t="s">
        <v>42</v>
      </c>
      <c r="C697" s="74">
        <v>43497</v>
      </c>
      <c r="D697" s="72" t="s">
        <v>109</v>
      </c>
      <c r="E697" s="72" t="s">
        <v>48</v>
      </c>
      <c r="F697" s="72">
        <v>-4.8</v>
      </c>
      <c r="G697" s="72" t="s">
        <v>44</v>
      </c>
      <c r="H697" s="72"/>
    </row>
    <row r="698" spans="1:8" x14ac:dyDescent="0.25">
      <c r="A698" s="73">
        <v>43497</v>
      </c>
      <c r="B698" s="72" t="s">
        <v>42</v>
      </c>
      <c r="C698" s="74">
        <v>43497</v>
      </c>
      <c r="D698" s="72" t="s">
        <v>109</v>
      </c>
      <c r="E698" s="72" t="s">
        <v>48</v>
      </c>
      <c r="F698" s="72">
        <v>-4.8</v>
      </c>
      <c r="G698" s="72" t="s">
        <v>44</v>
      </c>
      <c r="H698" s="72"/>
    </row>
    <row r="699" spans="1:8" x14ac:dyDescent="0.25">
      <c r="A699" s="73">
        <v>43497</v>
      </c>
      <c r="B699" s="72" t="s">
        <v>42</v>
      </c>
      <c r="C699" s="74">
        <v>43497</v>
      </c>
      <c r="D699" s="72" t="s">
        <v>109</v>
      </c>
      <c r="E699" s="72" t="s">
        <v>48</v>
      </c>
      <c r="F699" s="72">
        <v>-3.36</v>
      </c>
      <c r="G699" s="72" t="s">
        <v>44</v>
      </c>
      <c r="H699" s="72"/>
    </row>
    <row r="700" spans="1:8" x14ac:dyDescent="0.25">
      <c r="A700" s="73">
        <v>43500</v>
      </c>
      <c r="B700" s="72" t="s">
        <v>42</v>
      </c>
      <c r="C700" s="74">
        <v>43500</v>
      </c>
      <c r="D700" s="72" t="s">
        <v>109</v>
      </c>
      <c r="E700" s="72" t="s">
        <v>48</v>
      </c>
      <c r="F700" s="72">
        <v>-0.48</v>
      </c>
      <c r="G700" s="72" t="s">
        <v>44</v>
      </c>
      <c r="H700" s="72"/>
    </row>
    <row r="701" spans="1:8" x14ac:dyDescent="0.25">
      <c r="A701" s="73">
        <v>43503</v>
      </c>
      <c r="B701" s="72" t="s">
        <v>42</v>
      </c>
      <c r="C701" s="74">
        <v>43503</v>
      </c>
      <c r="D701" s="72" t="s">
        <v>109</v>
      </c>
      <c r="E701" s="72" t="s">
        <v>48</v>
      </c>
      <c r="F701" s="72">
        <v>-0.48</v>
      </c>
      <c r="G701" s="72" t="s">
        <v>44</v>
      </c>
      <c r="H701" s="72"/>
    </row>
    <row r="702" spans="1:8" x14ac:dyDescent="0.25">
      <c r="A702" s="73">
        <v>43503</v>
      </c>
      <c r="B702" s="72" t="s">
        <v>42</v>
      </c>
      <c r="C702" s="74">
        <v>43504</v>
      </c>
      <c r="D702" s="72" t="s">
        <v>109</v>
      </c>
      <c r="E702" s="72" t="s">
        <v>48</v>
      </c>
      <c r="F702" s="72">
        <v>-0.48</v>
      </c>
      <c r="G702" s="72" t="s">
        <v>44</v>
      </c>
      <c r="H702" s="72"/>
    </row>
    <row r="703" spans="1:8" x14ac:dyDescent="0.25">
      <c r="A703" s="73">
        <v>43504</v>
      </c>
      <c r="B703" s="72" t="s">
        <v>42</v>
      </c>
      <c r="C703" s="74">
        <v>43504</v>
      </c>
      <c r="D703" s="72" t="s">
        <v>109</v>
      </c>
      <c r="E703" s="72" t="s">
        <v>48</v>
      </c>
      <c r="F703" s="72">
        <v>-0.48</v>
      </c>
      <c r="G703" s="72" t="s">
        <v>44</v>
      </c>
      <c r="H703" s="72"/>
    </row>
    <row r="704" spans="1:8" x14ac:dyDescent="0.25">
      <c r="A704" s="73">
        <v>43504</v>
      </c>
      <c r="B704" s="72" t="s">
        <v>42</v>
      </c>
      <c r="C704" s="74">
        <v>43504</v>
      </c>
      <c r="D704" s="72" t="s">
        <v>109</v>
      </c>
      <c r="E704" s="72" t="s">
        <v>48</v>
      </c>
      <c r="F704" s="72">
        <v>-0.48</v>
      </c>
      <c r="G704" s="72" t="s">
        <v>44</v>
      </c>
      <c r="H704" s="72"/>
    </row>
    <row r="705" spans="1:8" x14ac:dyDescent="0.25">
      <c r="A705" s="73">
        <v>43508</v>
      </c>
      <c r="B705" s="72" t="s">
        <v>42</v>
      </c>
      <c r="C705" s="74">
        <v>43508</v>
      </c>
      <c r="D705" s="72" t="s">
        <v>109</v>
      </c>
      <c r="E705" s="72" t="s">
        <v>48</v>
      </c>
      <c r="F705" s="72">
        <v>-0.48</v>
      </c>
      <c r="G705" s="72" t="s">
        <v>44</v>
      </c>
      <c r="H705" s="72"/>
    </row>
    <row r="706" spans="1:8" x14ac:dyDescent="0.25">
      <c r="A706" s="73">
        <v>43515</v>
      </c>
      <c r="B706" s="72" t="s">
        <v>42</v>
      </c>
      <c r="C706" s="74">
        <v>43515</v>
      </c>
      <c r="D706" s="72" t="s">
        <v>109</v>
      </c>
      <c r="E706" s="72" t="s">
        <v>48</v>
      </c>
      <c r="F706" s="72">
        <v>-0.48</v>
      </c>
      <c r="G706" s="72" t="s">
        <v>44</v>
      </c>
      <c r="H706" s="72"/>
    </row>
    <row r="707" spans="1:8" x14ac:dyDescent="0.25">
      <c r="A707" s="73">
        <v>43522</v>
      </c>
      <c r="B707" s="72" t="s">
        <v>42</v>
      </c>
      <c r="C707" s="74">
        <v>43515</v>
      </c>
      <c r="D707" s="72" t="s">
        <v>109</v>
      </c>
      <c r="E707" s="72" t="s">
        <v>48</v>
      </c>
      <c r="F707" s="72">
        <v>-0.48</v>
      </c>
      <c r="G707" s="72" t="s">
        <v>44</v>
      </c>
      <c r="H707" s="72"/>
    </row>
    <row r="708" spans="1:8" x14ac:dyDescent="0.25">
      <c r="A708" s="73">
        <v>43525</v>
      </c>
      <c r="B708" s="72" t="s">
        <v>42</v>
      </c>
      <c r="C708" s="74">
        <v>43525</v>
      </c>
      <c r="D708" s="72" t="s">
        <v>109</v>
      </c>
      <c r="E708" s="72" t="s">
        <v>48</v>
      </c>
      <c r="F708" s="72">
        <v>-6.24</v>
      </c>
      <c r="G708" s="72" t="s">
        <v>44</v>
      </c>
      <c r="H708" s="72"/>
    </row>
    <row r="709" spans="1:8" x14ac:dyDescent="0.25">
      <c r="A709" s="73">
        <v>43525</v>
      </c>
      <c r="B709" s="72" t="s">
        <v>42</v>
      </c>
      <c r="C709" s="74">
        <v>43525</v>
      </c>
      <c r="D709" s="72" t="s">
        <v>109</v>
      </c>
      <c r="E709" s="72" t="s">
        <v>48</v>
      </c>
      <c r="F709" s="72">
        <v>-1.92</v>
      </c>
      <c r="G709" s="72" t="s">
        <v>44</v>
      </c>
      <c r="H709" s="72"/>
    </row>
    <row r="710" spans="1:8" x14ac:dyDescent="0.25">
      <c r="A710" s="73">
        <v>43525</v>
      </c>
      <c r="B710" s="72" t="s">
        <v>42</v>
      </c>
      <c r="C710" s="74">
        <v>43525</v>
      </c>
      <c r="D710" s="72" t="s">
        <v>109</v>
      </c>
      <c r="E710" s="72" t="s">
        <v>48</v>
      </c>
      <c r="F710" s="72">
        <v>-0.48</v>
      </c>
      <c r="G710" s="72" t="s">
        <v>44</v>
      </c>
      <c r="H710" s="72"/>
    </row>
    <row r="711" spans="1:8" x14ac:dyDescent="0.25">
      <c r="A711" s="73">
        <v>43525</v>
      </c>
      <c r="B711" s="72" t="s">
        <v>42</v>
      </c>
      <c r="C711" s="74">
        <v>43525</v>
      </c>
      <c r="D711" s="72" t="s">
        <v>109</v>
      </c>
      <c r="E711" s="72" t="s">
        <v>48</v>
      </c>
      <c r="F711" s="72">
        <v>-2.4</v>
      </c>
      <c r="G711" s="72" t="s">
        <v>44</v>
      </c>
      <c r="H711" s="72"/>
    </row>
    <row r="712" spans="1:8" x14ac:dyDescent="0.25">
      <c r="A712" s="73">
        <v>43525</v>
      </c>
      <c r="B712" s="72" t="s">
        <v>42</v>
      </c>
      <c r="C712" s="74">
        <v>43525</v>
      </c>
      <c r="D712" s="72" t="s">
        <v>109</v>
      </c>
      <c r="E712" s="72" t="s">
        <v>48</v>
      </c>
      <c r="F712" s="72">
        <v>-2.4</v>
      </c>
      <c r="G712" s="72" t="s">
        <v>44</v>
      </c>
      <c r="H712" s="72"/>
    </row>
    <row r="713" spans="1:8" x14ac:dyDescent="0.25">
      <c r="A713" s="73">
        <v>43525</v>
      </c>
      <c r="B713" s="72" t="s">
        <v>42</v>
      </c>
      <c r="C713" s="74">
        <v>43525</v>
      </c>
      <c r="D713" s="72" t="s">
        <v>109</v>
      </c>
      <c r="E713" s="72" t="s">
        <v>48</v>
      </c>
      <c r="F713" s="72">
        <v>-2.4</v>
      </c>
      <c r="G713" s="72" t="s">
        <v>44</v>
      </c>
      <c r="H713" s="72"/>
    </row>
    <row r="714" spans="1:8" x14ac:dyDescent="0.25">
      <c r="A714" s="73">
        <v>43529</v>
      </c>
      <c r="B714" s="72" t="s">
        <v>42</v>
      </c>
      <c r="C714" s="74">
        <v>43525</v>
      </c>
      <c r="D714" s="72" t="s">
        <v>109</v>
      </c>
      <c r="E714" s="72" t="s">
        <v>48</v>
      </c>
      <c r="F714" s="72">
        <v>-0.96</v>
      </c>
      <c r="G714" s="72" t="s">
        <v>44</v>
      </c>
      <c r="H714" s="72"/>
    </row>
    <row r="715" spans="1:8" x14ac:dyDescent="0.25">
      <c r="A715" s="73">
        <v>43530</v>
      </c>
      <c r="B715" s="72" t="s">
        <v>42</v>
      </c>
      <c r="C715" s="74">
        <v>43526</v>
      </c>
      <c r="D715" s="72" t="s">
        <v>109</v>
      </c>
      <c r="E715" s="72" t="s">
        <v>48</v>
      </c>
      <c r="F715" s="72">
        <v>-0.48</v>
      </c>
      <c r="G715" s="72" t="s">
        <v>44</v>
      </c>
      <c r="H715" s="72"/>
    </row>
    <row r="716" spans="1:8" x14ac:dyDescent="0.25">
      <c r="A716" s="73">
        <v>43531</v>
      </c>
      <c r="B716" s="72" t="s">
        <v>42</v>
      </c>
      <c r="C716" s="74">
        <v>43526</v>
      </c>
      <c r="D716" s="72" t="s">
        <v>109</v>
      </c>
      <c r="E716" s="72" t="s">
        <v>108</v>
      </c>
      <c r="F716" s="72">
        <v>3.84</v>
      </c>
      <c r="G716" s="72" t="s">
        <v>47</v>
      </c>
      <c r="H716" s="72"/>
    </row>
    <row r="717" spans="1:8" x14ac:dyDescent="0.25">
      <c r="A717" s="73">
        <v>43475</v>
      </c>
      <c r="B717" s="72" t="s">
        <v>42</v>
      </c>
      <c r="C717" s="74">
        <v>43475</v>
      </c>
      <c r="D717" s="72" t="s">
        <v>109</v>
      </c>
      <c r="E717" s="72" t="s">
        <v>48</v>
      </c>
      <c r="F717" s="72">
        <v>-25.68</v>
      </c>
      <c r="G717" s="72" t="s">
        <v>44</v>
      </c>
      <c r="H717" s="72"/>
    </row>
    <row r="718" spans="1:8" x14ac:dyDescent="0.25">
      <c r="A718" s="73">
        <v>43482</v>
      </c>
      <c r="B718" s="72" t="s">
        <v>42</v>
      </c>
      <c r="C718" s="74">
        <v>43482</v>
      </c>
      <c r="D718" s="72" t="s">
        <v>109</v>
      </c>
      <c r="E718" s="72" t="s">
        <v>48</v>
      </c>
      <c r="F718" s="72">
        <v>-25.68</v>
      </c>
      <c r="G718" s="72" t="s">
        <v>44</v>
      </c>
      <c r="H718" s="72"/>
    </row>
    <row r="719" spans="1:8" x14ac:dyDescent="0.25">
      <c r="A719" s="73">
        <v>43486</v>
      </c>
      <c r="B719" s="72" t="s">
        <v>42</v>
      </c>
      <c r="C719" s="74">
        <v>43486</v>
      </c>
      <c r="D719" s="72" t="s">
        <v>109</v>
      </c>
      <c r="E719" s="72" t="s">
        <v>48</v>
      </c>
      <c r="F719" s="72">
        <v>-25.68</v>
      </c>
      <c r="G719" s="72" t="s">
        <v>44</v>
      </c>
      <c r="H719" s="72"/>
    </row>
    <row r="720" spans="1:8" x14ac:dyDescent="0.25">
      <c r="A720" s="73">
        <v>43501</v>
      </c>
      <c r="B720" s="72" t="s">
        <v>42</v>
      </c>
      <c r="C720" s="74">
        <v>43501</v>
      </c>
      <c r="D720" s="72" t="s">
        <v>109</v>
      </c>
      <c r="E720" s="72" t="s">
        <v>48</v>
      </c>
      <c r="F720" s="72">
        <v>-25.68</v>
      </c>
      <c r="G720" s="72" t="s">
        <v>44</v>
      </c>
      <c r="H720" s="72"/>
    </row>
    <row r="721" spans="1:8" x14ac:dyDescent="0.25">
      <c r="A721" s="73">
        <v>43514</v>
      </c>
      <c r="B721" s="72" t="s">
        <v>42</v>
      </c>
      <c r="C721" s="74">
        <v>43514</v>
      </c>
      <c r="D721" s="72" t="s">
        <v>109</v>
      </c>
      <c r="E721" s="72" t="s">
        <v>48</v>
      </c>
      <c r="F721" s="72">
        <v>-25.68</v>
      </c>
      <c r="G721" s="72" t="s">
        <v>44</v>
      </c>
      <c r="H721" s="72"/>
    </row>
    <row r="722" spans="1:8" x14ac:dyDescent="0.25">
      <c r="A722" s="73">
        <v>43516</v>
      </c>
      <c r="B722" s="72" t="s">
        <v>42</v>
      </c>
      <c r="C722" s="74">
        <v>43516</v>
      </c>
      <c r="D722" s="72" t="s">
        <v>109</v>
      </c>
      <c r="E722" s="72" t="s">
        <v>48</v>
      </c>
      <c r="F722" s="72">
        <v>-25.68</v>
      </c>
      <c r="G722" s="72" t="s">
        <v>44</v>
      </c>
      <c r="H722" s="72"/>
    </row>
    <row r="723" spans="1:8" x14ac:dyDescent="0.25">
      <c r="A723" s="73">
        <v>43481</v>
      </c>
      <c r="B723" s="72" t="s">
        <v>42</v>
      </c>
      <c r="C723" s="74">
        <v>43481</v>
      </c>
      <c r="D723" s="72" t="s">
        <v>109</v>
      </c>
      <c r="E723" s="72" t="s">
        <v>48</v>
      </c>
      <c r="F723" s="72">
        <v>-0.19</v>
      </c>
      <c r="G723" s="72" t="s">
        <v>44</v>
      </c>
      <c r="H723" s="72"/>
    </row>
    <row r="724" spans="1:8" x14ac:dyDescent="0.25">
      <c r="A724" s="73">
        <v>43482</v>
      </c>
      <c r="B724" s="72" t="s">
        <v>42</v>
      </c>
      <c r="C724" s="74">
        <v>43482</v>
      </c>
      <c r="D724" s="72" t="s">
        <v>109</v>
      </c>
      <c r="E724" s="72" t="s">
        <v>48</v>
      </c>
      <c r="F724" s="72">
        <v>-0.19</v>
      </c>
      <c r="G724" s="72" t="s">
        <v>44</v>
      </c>
      <c r="H724" s="72"/>
    </row>
    <row r="725" spans="1:8" x14ac:dyDescent="0.25">
      <c r="A725" s="73">
        <v>43482</v>
      </c>
      <c r="B725" s="72" t="s">
        <v>42</v>
      </c>
      <c r="C725" s="74">
        <v>43482</v>
      </c>
      <c r="D725" s="72" t="s">
        <v>109</v>
      </c>
      <c r="E725" s="72" t="s">
        <v>48</v>
      </c>
      <c r="F725" s="72">
        <v>-0.19</v>
      </c>
      <c r="G725" s="72" t="s">
        <v>44</v>
      </c>
      <c r="H725" s="72"/>
    </row>
    <row r="726" spans="1:8" x14ac:dyDescent="0.25">
      <c r="A726" s="73">
        <v>43482</v>
      </c>
      <c r="B726" s="72" t="s">
        <v>42</v>
      </c>
      <c r="C726" s="74">
        <v>43482</v>
      </c>
      <c r="D726" s="72" t="s">
        <v>109</v>
      </c>
      <c r="E726" s="72" t="s">
        <v>48</v>
      </c>
      <c r="F726" s="72">
        <v>-0.19</v>
      </c>
      <c r="G726" s="72" t="s">
        <v>44</v>
      </c>
      <c r="H726" s="72"/>
    </row>
    <row r="727" spans="1:8" x14ac:dyDescent="0.25">
      <c r="A727" s="73">
        <v>43483</v>
      </c>
      <c r="B727" s="72" t="s">
        <v>42</v>
      </c>
      <c r="C727" s="74">
        <v>43483</v>
      </c>
      <c r="D727" s="72" t="s">
        <v>109</v>
      </c>
      <c r="E727" s="72" t="s">
        <v>48</v>
      </c>
      <c r="F727" s="72">
        <v>-3.23</v>
      </c>
      <c r="G727" s="72" t="s">
        <v>44</v>
      </c>
      <c r="H727" s="72"/>
    </row>
    <row r="728" spans="1:8" x14ac:dyDescent="0.25">
      <c r="A728" s="73">
        <v>43487</v>
      </c>
      <c r="B728" s="72" t="s">
        <v>42</v>
      </c>
      <c r="C728" s="74">
        <v>43487</v>
      </c>
      <c r="D728" s="72" t="s">
        <v>109</v>
      </c>
      <c r="E728" s="72" t="s">
        <v>48</v>
      </c>
      <c r="F728" s="72">
        <v>-0.38</v>
      </c>
      <c r="G728" s="72" t="s">
        <v>44</v>
      </c>
      <c r="H728" s="72"/>
    </row>
    <row r="729" spans="1:8" x14ac:dyDescent="0.25">
      <c r="A729" s="73">
        <v>43495</v>
      </c>
      <c r="B729" s="72" t="s">
        <v>42</v>
      </c>
      <c r="C729" s="74">
        <v>43495</v>
      </c>
      <c r="D729" s="72" t="s">
        <v>109</v>
      </c>
      <c r="E729" s="72" t="s">
        <v>48</v>
      </c>
      <c r="F729" s="72">
        <v>-1.44</v>
      </c>
      <c r="G729" s="72" t="s">
        <v>44</v>
      </c>
      <c r="H729" s="72"/>
    </row>
    <row r="730" spans="1:8" x14ac:dyDescent="0.25">
      <c r="A730" s="73">
        <v>43503</v>
      </c>
      <c r="B730" s="72" t="s">
        <v>42</v>
      </c>
      <c r="C730" s="74">
        <v>43503</v>
      </c>
      <c r="D730" s="72" t="s">
        <v>109</v>
      </c>
      <c r="E730" s="72" t="s">
        <v>48</v>
      </c>
      <c r="F730" s="72">
        <v>-0.19</v>
      </c>
      <c r="G730" s="72" t="s">
        <v>44</v>
      </c>
      <c r="H730" s="72"/>
    </row>
    <row r="731" spans="1:8" x14ac:dyDescent="0.25">
      <c r="A731" s="73">
        <v>43515</v>
      </c>
      <c r="B731" s="72" t="s">
        <v>42</v>
      </c>
      <c r="C731" s="74">
        <v>43515</v>
      </c>
      <c r="D731" s="72" t="s">
        <v>109</v>
      </c>
      <c r="E731" s="72" t="s">
        <v>48</v>
      </c>
      <c r="F731" s="72">
        <v>-0.19</v>
      </c>
      <c r="G731" s="72" t="s">
        <v>44</v>
      </c>
      <c r="H731" s="72"/>
    </row>
    <row r="732" spans="1:8" x14ac:dyDescent="0.25">
      <c r="A732" s="73">
        <v>43516</v>
      </c>
      <c r="B732" s="72" t="s">
        <v>42</v>
      </c>
      <c r="C732" s="74">
        <v>43516</v>
      </c>
      <c r="D732" s="72" t="s">
        <v>109</v>
      </c>
      <c r="E732" s="72" t="s">
        <v>48</v>
      </c>
      <c r="F732" s="72">
        <v>-2.09</v>
      </c>
      <c r="G732" s="72" t="s">
        <v>44</v>
      </c>
      <c r="H732" s="72"/>
    </row>
    <row r="733" spans="1:8" x14ac:dyDescent="0.25">
      <c r="A733" s="73">
        <v>43496</v>
      </c>
      <c r="B733" s="72" t="s">
        <v>42</v>
      </c>
      <c r="C733" s="74">
        <v>43496</v>
      </c>
      <c r="D733" s="72" t="s">
        <v>109</v>
      </c>
      <c r="E733" s="72" t="s">
        <v>48</v>
      </c>
      <c r="F733" s="72">
        <v>-62.14</v>
      </c>
      <c r="G733" s="72" t="s">
        <v>44</v>
      </c>
      <c r="H733" s="72"/>
    </row>
    <row r="734" spans="1:8" x14ac:dyDescent="0.25">
      <c r="A734" s="73">
        <v>43496</v>
      </c>
      <c r="B734" s="72" t="s">
        <v>42</v>
      </c>
      <c r="C734" s="74">
        <v>43496</v>
      </c>
      <c r="D734" s="72" t="s">
        <v>109</v>
      </c>
      <c r="E734" s="72" t="s">
        <v>48</v>
      </c>
      <c r="F734" s="72">
        <v>-180</v>
      </c>
      <c r="G734" s="72" t="s">
        <v>44</v>
      </c>
      <c r="H734" s="72"/>
    </row>
    <row r="735" spans="1:8" x14ac:dyDescent="0.25">
      <c r="A735" s="73">
        <v>43539</v>
      </c>
      <c r="B735" s="72" t="s">
        <v>58</v>
      </c>
      <c r="C735" s="74">
        <v>43497</v>
      </c>
      <c r="D735" s="72" t="s">
        <v>109</v>
      </c>
      <c r="E735" s="72" t="s">
        <v>46</v>
      </c>
      <c r="F735" s="72">
        <v>31215</v>
      </c>
      <c r="G735" s="72" t="s">
        <v>47</v>
      </c>
      <c r="H735" s="72"/>
    </row>
    <row r="736" spans="1:8" x14ac:dyDescent="0.25">
      <c r="A736" s="73">
        <v>43500</v>
      </c>
      <c r="B736" s="72" t="s">
        <v>45</v>
      </c>
      <c r="C736" s="74">
        <v>43477</v>
      </c>
      <c r="D736" s="72" t="s">
        <v>109</v>
      </c>
      <c r="E736" s="72" t="s">
        <v>55</v>
      </c>
      <c r="F736" s="72">
        <v>-2580.7800000000002</v>
      </c>
      <c r="G736" s="72" t="s">
        <v>44</v>
      </c>
      <c r="H736" s="72" t="s">
        <v>1</v>
      </c>
    </row>
    <row r="737" spans="1:8" x14ac:dyDescent="0.25">
      <c r="A737" s="73">
        <v>43524</v>
      </c>
      <c r="B737" s="72" t="s">
        <v>45</v>
      </c>
      <c r="C737" s="74">
        <v>43508</v>
      </c>
      <c r="D737" s="72" t="s">
        <v>109</v>
      </c>
      <c r="E737" s="72" t="s">
        <v>55</v>
      </c>
      <c r="F737" s="72">
        <v>-2580.7800000000002</v>
      </c>
      <c r="G737" s="72" t="s">
        <v>44</v>
      </c>
      <c r="H737" s="72" t="s">
        <v>1</v>
      </c>
    </row>
    <row r="738" spans="1:8" x14ac:dyDescent="0.25">
      <c r="A738" s="73">
        <v>43551</v>
      </c>
      <c r="B738" s="72" t="s">
        <v>45</v>
      </c>
      <c r="C738" s="74">
        <v>43537</v>
      </c>
      <c r="D738" s="72" t="s">
        <v>109</v>
      </c>
      <c r="E738" s="72" t="s">
        <v>55</v>
      </c>
      <c r="F738" s="72">
        <v>-2693.36</v>
      </c>
      <c r="G738" s="72"/>
      <c r="H738" s="72"/>
    </row>
    <row r="739" spans="1:8" x14ac:dyDescent="0.25">
      <c r="A739" s="73">
        <v>43539</v>
      </c>
      <c r="B739" s="72" t="s">
        <v>60</v>
      </c>
      <c r="C739" s="74">
        <v>43482</v>
      </c>
      <c r="D739" s="72" t="s">
        <v>109</v>
      </c>
      <c r="E739" s="72" t="s">
        <v>46</v>
      </c>
      <c r="F739" s="72">
        <v>1468.19</v>
      </c>
      <c r="G739" s="72" t="s">
        <v>47</v>
      </c>
      <c r="H739" s="72"/>
    </row>
    <row r="740" spans="1:8" x14ac:dyDescent="0.25">
      <c r="A740" s="73">
        <v>43539</v>
      </c>
      <c r="B740" s="72" t="s">
        <v>60</v>
      </c>
      <c r="C740" s="74">
        <v>43490</v>
      </c>
      <c r="D740" s="72" t="s">
        <v>109</v>
      </c>
      <c r="E740" s="72" t="s">
        <v>46</v>
      </c>
      <c r="F740" s="72">
        <v>3518.59</v>
      </c>
      <c r="G740" s="72" t="s">
        <v>47</v>
      </c>
      <c r="H740" s="72"/>
    </row>
    <row r="741" spans="1:8" x14ac:dyDescent="0.25">
      <c r="A741" s="73">
        <v>43538</v>
      </c>
      <c r="B741" s="72" t="s">
        <v>58</v>
      </c>
      <c r="C741" s="74">
        <v>43497</v>
      </c>
      <c r="D741" s="72" t="s">
        <v>109</v>
      </c>
      <c r="E741" s="72" t="s">
        <v>46</v>
      </c>
      <c r="F741" s="72">
        <v>47762.5</v>
      </c>
      <c r="G741" s="72" t="s">
        <v>47</v>
      </c>
      <c r="H741" s="72"/>
    </row>
    <row r="742" spans="1:8" x14ac:dyDescent="0.25">
      <c r="A742" s="73">
        <v>43544</v>
      </c>
      <c r="B742" s="72" t="s">
        <v>42</v>
      </c>
      <c r="C742" s="74">
        <v>43497</v>
      </c>
      <c r="D742" s="72" t="s">
        <v>109</v>
      </c>
      <c r="E742" s="72" t="s">
        <v>74</v>
      </c>
      <c r="F742" s="72">
        <v>-609.70000000000005</v>
      </c>
      <c r="G742" s="72"/>
      <c r="H742" s="72"/>
    </row>
    <row r="743" spans="1:8" x14ac:dyDescent="0.25">
      <c r="A743" s="73">
        <v>43544</v>
      </c>
      <c r="B743" s="72" t="s">
        <v>42</v>
      </c>
      <c r="C743" s="74">
        <v>43518</v>
      </c>
      <c r="D743" s="72" t="s">
        <v>109</v>
      </c>
      <c r="E743" s="72" t="s">
        <v>74</v>
      </c>
      <c r="F743" s="72">
        <v>-381.06</v>
      </c>
      <c r="G743" s="72"/>
      <c r="H743" s="72"/>
    </row>
    <row r="744" spans="1:8" x14ac:dyDescent="0.25">
      <c r="A744" s="73">
        <v>43544</v>
      </c>
      <c r="B744" s="72" t="s">
        <v>42</v>
      </c>
      <c r="C744" s="74">
        <v>43518</v>
      </c>
      <c r="D744" s="72" t="s">
        <v>109</v>
      </c>
      <c r="E744" s="72" t="s">
        <v>74</v>
      </c>
      <c r="F744" s="72">
        <v>-762.12</v>
      </c>
      <c r="G744" s="72"/>
      <c r="H744" s="72"/>
    </row>
    <row r="745" spans="1:8" x14ac:dyDescent="0.25">
      <c r="A745" s="73">
        <v>43544</v>
      </c>
      <c r="B745" s="72" t="s">
        <v>42</v>
      </c>
      <c r="C745" s="74">
        <v>43518</v>
      </c>
      <c r="D745" s="72" t="s">
        <v>109</v>
      </c>
      <c r="E745" s="72" t="s">
        <v>74</v>
      </c>
      <c r="F745" s="72">
        <v>-635.1</v>
      </c>
      <c r="G745" s="72"/>
      <c r="H745" s="72"/>
    </row>
    <row r="746" spans="1:8" x14ac:dyDescent="0.25">
      <c r="A746" s="73">
        <v>43575</v>
      </c>
      <c r="B746" s="72" t="s">
        <v>42</v>
      </c>
      <c r="C746" s="74">
        <v>43525</v>
      </c>
      <c r="D746" s="72" t="s">
        <v>109</v>
      </c>
      <c r="E746" s="72" t="s">
        <v>74</v>
      </c>
      <c r="F746" s="72">
        <v>-529.25</v>
      </c>
      <c r="G746" s="72"/>
      <c r="H746" s="72"/>
    </row>
    <row r="747" spans="1:8" x14ac:dyDescent="0.25">
      <c r="A747" s="73">
        <v>43539</v>
      </c>
      <c r="B747" s="72" t="s">
        <v>60</v>
      </c>
      <c r="C747" s="74">
        <v>43492</v>
      </c>
      <c r="D747" s="72" t="s">
        <v>109</v>
      </c>
      <c r="E747" s="72" t="s">
        <v>46</v>
      </c>
      <c r="F747" s="72">
        <v>455.76</v>
      </c>
      <c r="G747" s="72" t="s">
        <v>47</v>
      </c>
      <c r="H747" s="72"/>
    </row>
    <row r="748" spans="1:8" x14ac:dyDescent="0.25">
      <c r="A748" s="73">
        <v>43555</v>
      </c>
      <c r="B748" s="72" t="s">
        <v>60</v>
      </c>
      <c r="C748" s="74">
        <v>43497</v>
      </c>
      <c r="D748" s="72" t="s">
        <v>109</v>
      </c>
      <c r="E748" s="72" t="s">
        <v>46</v>
      </c>
      <c r="F748" s="72">
        <v>12242.3</v>
      </c>
      <c r="G748" s="72" t="s">
        <v>47</v>
      </c>
      <c r="H748" s="72"/>
    </row>
    <row r="749" spans="1:8" x14ac:dyDescent="0.25">
      <c r="A749" s="73">
        <v>43538</v>
      </c>
      <c r="B749" s="72" t="s">
        <v>58</v>
      </c>
      <c r="C749" s="74">
        <v>43497</v>
      </c>
      <c r="D749" s="72" t="s">
        <v>109</v>
      </c>
      <c r="E749" s="72" t="s">
        <v>46</v>
      </c>
      <c r="F749" s="72">
        <v>71084.59</v>
      </c>
      <c r="G749" s="72" t="s">
        <v>47</v>
      </c>
      <c r="H749" s="72"/>
    </row>
    <row r="750" spans="1:8" x14ac:dyDescent="0.25">
      <c r="A750" s="73">
        <v>43538</v>
      </c>
      <c r="B750" s="72" t="s">
        <v>58</v>
      </c>
      <c r="C750" s="74">
        <v>43497</v>
      </c>
      <c r="D750" s="72" t="s">
        <v>109</v>
      </c>
      <c r="E750" s="72" t="s">
        <v>46</v>
      </c>
      <c r="F750" s="72">
        <v>40289.199999999997</v>
      </c>
      <c r="G750" s="72" t="s">
        <v>47</v>
      </c>
      <c r="H750" s="72"/>
    </row>
    <row r="751" spans="1:8" x14ac:dyDescent="0.25">
      <c r="A751" s="73">
        <v>43504</v>
      </c>
      <c r="B751" s="72" t="s">
        <v>45</v>
      </c>
      <c r="C751" s="74">
        <v>43477</v>
      </c>
      <c r="D751" s="72" t="s">
        <v>109</v>
      </c>
      <c r="E751" s="72" t="s">
        <v>55</v>
      </c>
      <c r="F751" s="72">
        <v>-224.68</v>
      </c>
      <c r="G751" s="72" t="s">
        <v>44</v>
      </c>
      <c r="H751" s="72" t="s">
        <v>1</v>
      </c>
    </row>
    <row r="752" spans="1:8" x14ac:dyDescent="0.25">
      <c r="A752" s="73">
        <v>43535</v>
      </c>
      <c r="B752" s="72" t="s">
        <v>45</v>
      </c>
      <c r="C752" s="74">
        <v>43508</v>
      </c>
      <c r="D752" s="72" t="s">
        <v>109</v>
      </c>
      <c r="E752" s="72" t="s">
        <v>55</v>
      </c>
      <c r="F752" s="72">
        <v>-224.68</v>
      </c>
      <c r="G752" s="72" t="s">
        <v>44</v>
      </c>
      <c r="H752" s="72" t="s">
        <v>1</v>
      </c>
    </row>
    <row r="753" spans="1:8" x14ac:dyDescent="0.25">
      <c r="A753" s="73">
        <v>43565</v>
      </c>
      <c r="B753" s="72" t="s">
        <v>45</v>
      </c>
      <c r="C753" s="74">
        <v>43537</v>
      </c>
      <c r="D753" s="72" t="s">
        <v>109</v>
      </c>
      <c r="E753" s="72" t="s">
        <v>55</v>
      </c>
      <c r="F753" s="72">
        <v>-224.68</v>
      </c>
      <c r="G753" s="72"/>
      <c r="H753" s="72"/>
    </row>
    <row r="754" spans="1:8" x14ac:dyDescent="0.25">
      <c r="A754" s="73">
        <v>43524</v>
      </c>
      <c r="B754" s="72" t="s">
        <v>45</v>
      </c>
      <c r="C754" s="74">
        <v>43497</v>
      </c>
      <c r="D754" s="72" t="s">
        <v>109</v>
      </c>
      <c r="E754" s="72" t="s">
        <v>53</v>
      </c>
      <c r="F754" s="72">
        <v>1452.64</v>
      </c>
      <c r="G754" s="72" t="s">
        <v>47</v>
      </c>
      <c r="H754" s="72" t="s">
        <v>1</v>
      </c>
    </row>
    <row r="755" spans="1:8" x14ac:dyDescent="0.25">
      <c r="A755" s="73">
        <v>43500</v>
      </c>
      <c r="B755" s="72" t="s">
        <v>45</v>
      </c>
      <c r="C755" s="74">
        <v>43477</v>
      </c>
      <c r="D755" s="72" t="s">
        <v>109</v>
      </c>
      <c r="E755" s="72" t="s">
        <v>55</v>
      </c>
      <c r="F755" s="72">
        <v>-2972.68</v>
      </c>
      <c r="G755" s="72" t="s">
        <v>44</v>
      </c>
      <c r="H755" s="72" t="s">
        <v>1</v>
      </c>
    </row>
    <row r="756" spans="1:8" x14ac:dyDescent="0.25">
      <c r="A756" s="73">
        <v>43531</v>
      </c>
      <c r="B756" s="72" t="s">
        <v>45</v>
      </c>
      <c r="C756" s="74">
        <v>43497</v>
      </c>
      <c r="D756" s="72" t="s">
        <v>109</v>
      </c>
      <c r="E756" s="72" t="s">
        <v>77</v>
      </c>
      <c r="F756" s="72">
        <v>-986.67</v>
      </c>
      <c r="G756" s="72" t="s">
        <v>44</v>
      </c>
      <c r="H756" s="72"/>
    </row>
    <row r="757" spans="1:8" x14ac:dyDescent="0.25">
      <c r="A757" s="73">
        <v>43524</v>
      </c>
      <c r="B757" s="72" t="s">
        <v>45</v>
      </c>
      <c r="C757" s="74">
        <v>43508</v>
      </c>
      <c r="D757" s="72" t="s">
        <v>109</v>
      </c>
      <c r="E757" s="72" t="s">
        <v>55</v>
      </c>
      <c r="F757" s="72">
        <v>-2972.68</v>
      </c>
      <c r="G757" s="72" t="s">
        <v>44</v>
      </c>
      <c r="H757" s="72" t="s">
        <v>1</v>
      </c>
    </row>
    <row r="758" spans="1:8" x14ac:dyDescent="0.25">
      <c r="A758" s="73">
        <v>43551</v>
      </c>
      <c r="B758" s="72" t="s">
        <v>45</v>
      </c>
      <c r="C758" s="74">
        <v>43537</v>
      </c>
      <c r="D758" s="72" t="s">
        <v>109</v>
      </c>
      <c r="E758" s="72" t="s">
        <v>55</v>
      </c>
      <c r="F758" s="72">
        <v>-2949.73</v>
      </c>
      <c r="G758" s="72"/>
      <c r="H758" s="72"/>
    </row>
    <row r="759" spans="1:8" x14ac:dyDescent="0.25">
      <c r="A759" s="73">
        <v>43539</v>
      </c>
      <c r="B759" s="72" t="s">
        <v>60</v>
      </c>
      <c r="C759" s="74">
        <v>43474</v>
      </c>
      <c r="D759" s="72" t="s">
        <v>109</v>
      </c>
      <c r="E759" s="72" t="s">
        <v>46</v>
      </c>
      <c r="F759" s="72">
        <v>3034.98</v>
      </c>
      <c r="G759" s="72" t="s">
        <v>47</v>
      </c>
      <c r="H759" s="72"/>
    </row>
    <row r="760" spans="1:8" x14ac:dyDescent="0.25">
      <c r="A760" s="73">
        <v>43531</v>
      </c>
      <c r="B760" s="72" t="s">
        <v>67</v>
      </c>
      <c r="C760" s="74">
        <v>43525</v>
      </c>
      <c r="D760" s="72" t="s">
        <v>109</v>
      </c>
      <c r="E760" s="72" t="s">
        <v>46</v>
      </c>
      <c r="F760" s="72">
        <v>176.2</v>
      </c>
      <c r="G760" s="72" t="s">
        <v>47</v>
      </c>
      <c r="H760" s="72"/>
    </row>
    <row r="761" spans="1:8" x14ac:dyDescent="0.25">
      <c r="A761" s="73">
        <v>43539</v>
      </c>
      <c r="B761" s="72" t="s">
        <v>67</v>
      </c>
      <c r="C761" s="74">
        <v>43525</v>
      </c>
      <c r="D761" s="72" t="s">
        <v>109</v>
      </c>
      <c r="E761" s="72" t="s">
        <v>46</v>
      </c>
      <c r="F761" s="72">
        <v>1500</v>
      </c>
      <c r="G761" s="72" t="s">
        <v>47</v>
      </c>
      <c r="H761" s="72"/>
    </row>
    <row r="762" spans="1:8" x14ac:dyDescent="0.25">
      <c r="A762" s="73">
        <v>43475</v>
      </c>
      <c r="B762" s="72" t="s">
        <v>45</v>
      </c>
      <c r="C762" s="74">
        <v>43504</v>
      </c>
      <c r="D762" s="72" t="s">
        <v>109</v>
      </c>
      <c r="E762" s="72" t="s">
        <v>72</v>
      </c>
      <c r="F762" s="72">
        <v>-22800</v>
      </c>
      <c r="G762" s="72" t="s">
        <v>44</v>
      </c>
      <c r="H762" s="72"/>
    </row>
    <row r="763" spans="1:8" x14ac:dyDescent="0.25">
      <c r="A763" s="73">
        <v>43504</v>
      </c>
      <c r="B763" s="72" t="s">
        <v>45</v>
      </c>
      <c r="C763" s="74">
        <v>43539</v>
      </c>
      <c r="D763" s="72" t="s">
        <v>109</v>
      </c>
      <c r="E763" s="72" t="s">
        <v>72</v>
      </c>
      <c r="F763" s="72">
        <v>-22800</v>
      </c>
      <c r="G763" s="72" t="s">
        <v>44</v>
      </c>
      <c r="H763" s="72"/>
    </row>
    <row r="764" spans="1:8" x14ac:dyDescent="0.25">
      <c r="A764" s="73">
        <v>43524</v>
      </c>
      <c r="B764" s="72" t="s">
        <v>45</v>
      </c>
      <c r="C764" s="74">
        <v>43524</v>
      </c>
      <c r="D764" s="72" t="s">
        <v>109</v>
      </c>
      <c r="E764" s="72" t="s">
        <v>65</v>
      </c>
      <c r="F764" s="72">
        <v>-3541.78</v>
      </c>
      <c r="G764" s="72" t="s">
        <v>44</v>
      </c>
      <c r="H764" s="72" t="s">
        <v>1</v>
      </c>
    </row>
    <row r="765" spans="1:8" x14ac:dyDescent="0.25">
      <c r="A765" s="73">
        <v>43481</v>
      </c>
      <c r="B765" s="72" t="s">
        <v>42</v>
      </c>
      <c r="C765" s="74">
        <v>43481</v>
      </c>
      <c r="D765" s="72" t="s">
        <v>109</v>
      </c>
      <c r="E765" s="72" t="s">
        <v>46</v>
      </c>
      <c r="F765" s="72">
        <v>-6200</v>
      </c>
      <c r="G765" s="72" t="s">
        <v>44</v>
      </c>
      <c r="H765" s="72" t="s">
        <v>1</v>
      </c>
    </row>
    <row r="766" spans="1:8" x14ac:dyDescent="0.25">
      <c r="A766" s="73">
        <v>43532</v>
      </c>
      <c r="B766" s="72" t="s">
        <v>42</v>
      </c>
      <c r="C766" s="74">
        <v>43503</v>
      </c>
      <c r="D766" s="72" t="s">
        <v>109</v>
      </c>
      <c r="E766" s="72" t="s">
        <v>43</v>
      </c>
      <c r="F766" s="72">
        <v>-60</v>
      </c>
      <c r="G766" s="72" t="s">
        <v>44</v>
      </c>
      <c r="H766" s="72" t="s">
        <v>1</v>
      </c>
    </row>
    <row r="767" spans="1:8" x14ac:dyDescent="0.25">
      <c r="A767" s="73">
        <v>43556</v>
      </c>
      <c r="B767" s="72" t="s">
        <v>42</v>
      </c>
      <c r="C767" s="74">
        <v>43533</v>
      </c>
      <c r="D767" s="72" t="s">
        <v>109</v>
      </c>
      <c r="E767" s="72" t="s">
        <v>43</v>
      </c>
      <c r="F767" s="72">
        <v>-60</v>
      </c>
      <c r="G767" s="72"/>
      <c r="H767" s="72"/>
    </row>
    <row r="768" spans="1:8" x14ac:dyDescent="0.25">
      <c r="A768" s="73">
        <v>43524</v>
      </c>
      <c r="B768" s="72" t="s">
        <v>42</v>
      </c>
      <c r="C768" s="74">
        <v>43503</v>
      </c>
      <c r="D768" s="72" t="s">
        <v>109</v>
      </c>
      <c r="E768" s="72" t="s">
        <v>43</v>
      </c>
      <c r="F768" s="72">
        <v>-36.47</v>
      </c>
      <c r="G768" s="72" t="s">
        <v>44</v>
      </c>
      <c r="H768" s="72" t="s">
        <v>1</v>
      </c>
    </row>
    <row r="769" spans="1:8" x14ac:dyDescent="0.25">
      <c r="A769" s="73">
        <v>43556</v>
      </c>
      <c r="B769" s="72" t="s">
        <v>42</v>
      </c>
      <c r="C769" s="74">
        <v>43533</v>
      </c>
      <c r="D769" s="72" t="s">
        <v>109</v>
      </c>
      <c r="E769" s="72" t="s">
        <v>43</v>
      </c>
      <c r="F769" s="72">
        <v>-46.94</v>
      </c>
      <c r="G769" s="72"/>
      <c r="H769" s="72"/>
    </row>
    <row r="770" spans="1:8" x14ac:dyDescent="0.25">
      <c r="A770" s="73">
        <v>43506</v>
      </c>
      <c r="B770" s="72" t="s">
        <v>42</v>
      </c>
      <c r="C770" s="74">
        <v>43475</v>
      </c>
      <c r="D770" s="72" t="s">
        <v>109</v>
      </c>
      <c r="E770" s="72" t="s">
        <v>43</v>
      </c>
      <c r="F770" s="72">
        <v>-30</v>
      </c>
      <c r="G770" s="72" t="s">
        <v>44</v>
      </c>
      <c r="H770" s="72" t="s">
        <v>1</v>
      </c>
    </row>
    <row r="771" spans="1:8" x14ac:dyDescent="0.25">
      <c r="A771" s="73">
        <v>43531</v>
      </c>
      <c r="B771" s="72" t="s">
        <v>42</v>
      </c>
      <c r="C771" s="74">
        <v>43503</v>
      </c>
      <c r="D771" s="72" t="s">
        <v>109</v>
      </c>
      <c r="E771" s="72" t="s">
        <v>43</v>
      </c>
      <c r="F771" s="72">
        <v>-30</v>
      </c>
      <c r="G771" s="72" t="s">
        <v>44</v>
      </c>
      <c r="H771" s="72" t="s">
        <v>1</v>
      </c>
    </row>
    <row r="772" spans="1:8" x14ac:dyDescent="0.25">
      <c r="A772" s="73">
        <v>43556</v>
      </c>
      <c r="B772" s="72" t="s">
        <v>42</v>
      </c>
      <c r="C772" s="74">
        <v>43533</v>
      </c>
      <c r="D772" s="72" t="s">
        <v>109</v>
      </c>
      <c r="E772" s="72" t="s">
        <v>43</v>
      </c>
      <c r="F772" s="72">
        <v>-30</v>
      </c>
      <c r="G772" s="72"/>
      <c r="H772" s="72"/>
    </row>
    <row r="773" spans="1:8" x14ac:dyDescent="0.25">
      <c r="A773" s="73">
        <v>43534</v>
      </c>
      <c r="B773" s="72" t="s">
        <v>42</v>
      </c>
      <c r="C773" s="74">
        <v>43503</v>
      </c>
      <c r="D773" s="72" t="s">
        <v>109</v>
      </c>
      <c r="E773" s="72" t="s">
        <v>43</v>
      </c>
      <c r="F773" s="72">
        <v>-60</v>
      </c>
      <c r="G773" s="72"/>
      <c r="H773" s="72"/>
    </row>
    <row r="774" spans="1:8" x14ac:dyDescent="0.25">
      <c r="A774" s="73">
        <v>43556</v>
      </c>
      <c r="B774" s="72" t="s">
        <v>42</v>
      </c>
      <c r="C774" s="74">
        <v>43533</v>
      </c>
      <c r="D774" s="72" t="s">
        <v>109</v>
      </c>
      <c r="E774" s="72" t="s">
        <v>43</v>
      </c>
      <c r="F774" s="72">
        <v>-60</v>
      </c>
      <c r="G774" s="72"/>
      <c r="H774" s="72"/>
    </row>
    <row r="775" spans="1:8" x14ac:dyDescent="0.25">
      <c r="A775" s="73">
        <v>43534</v>
      </c>
      <c r="B775" s="72" t="s">
        <v>42</v>
      </c>
      <c r="C775" s="74">
        <v>43503</v>
      </c>
      <c r="D775" s="72" t="s">
        <v>109</v>
      </c>
      <c r="E775" s="72" t="s">
        <v>43</v>
      </c>
      <c r="F775" s="72">
        <v>-150</v>
      </c>
      <c r="G775" s="72"/>
      <c r="H775" s="72"/>
    </row>
    <row r="776" spans="1:8" x14ac:dyDescent="0.25">
      <c r="A776" s="73">
        <v>43556</v>
      </c>
      <c r="B776" s="72" t="s">
        <v>42</v>
      </c>
      <c r="C776" s="74">
        <v>43533</v>
      </c>
      <c r="D776" s="72" t="s">
        <v>109</v>
      </c>
      <c r="E776" s="72" t="s">
        <v>43</v>
      </c>
      <c r="F776" s="72">
        <v>-150</v>
      </c>
      <c r="G776" s="72"/>
      <c r="H776" s="72"/>
    </row>
    <row r="777" spans="1:8" x14ac:dyDescent="0.25">
      <c r="A777" s="73">
        <v>43534</v>
      </c>
      <c r="B777" s="72" t="s">
        <v>42</v>
      </c>
      <c r="C777" s="74">
        <v>43503</v>
      </c>
      <c r="D777" s="72" t="s">
        <v>109</v>
      </c>
      <c r="E777" s="72" t="s">
        <v>43</v>
      </c>
      <c r="F777" s="72">
        <v>-40</v>
      </c>
      <c r="G777" s="72"/>
      <c r="H777" s="72"/>
    </row>
    <row r="778" spans="1:8" x14ac:dyDescent="0.25">
      <c r="A778" s="73">
        <v>43556</v>
      </c>
      <c r="B778" s="72" t="s">
        <v>42</v>
      </c>
      <c r="C778" s="74">
        <v>43533</v>
      </c>
      <c r="D778" s="72" t="s">
        <v>109</v>
      </c>
      <c r="E778" s="72" t="s">
        <v>43</v>
      </c>
      <c r="F778" s="72">
        <v>-34.99</v>
      </c>
      <c r="G778" s="72"/>
      <c r="H778" s="72"/>
    </row>
    <row r="779" spans="1:8" x14ac:dyDescent="0.25">
      <c r="A779" s="73">
        <v>43506</v>
      </c>
      <c r="B779" s="72" t="s">
        <v>42</v>
      </c>
      <c r="C779" s="74">
        <v>43477</v>
      </c>
      <c r="D779" s="72" t="s">
        <v>109</v>
      </c>
      <c r="E779" s="72" t="s">
        <v>43</v>
      </c>
      <c r="F779" s="72">
        <v>-33.79</v>
      </c>
      <c r="G779" s="72" t="s">
        <v>44</v>
      </c>
      <c r="H779" s="72" t="s">
        <v>1</v>
      </c>
    </row>
    <row r="780" spans="1:8" x14ac:dyDescent="0.25">
      <c r="A780" s="73">
        <v>43534</v>
      </c>
      <c r="B780" s="72" t="s">
        <v>42</v>
      </c>
      <c r="C780" s="74">
        <v>43497</v>
      </c>
      <c r="D780" s="72" t="s">
        <v>109</v>
      </c>
      <c r="E780" s="72" t="s">
        <v>43</v>
      </c>
      <c r="F780" s="72">
        <v>-33.39</v>
      </c>
      <c r="G780" s="72" t="s">
        <v>44</v>
      </c>
      <c r="H780" s="72" t="s">
        <v>1</v>
      </c>
    </row>
    <row r="781" spans="1:8" x14ac:dyDescent="0.25">
      <c r="A781" s="73">
        <v>43556</v>
      </c>
      <c r="B781" s="72" t="s">
        <v>42</v>
      </c>
      <c r="C781" s="74">
        <v>43533</v>
      </c>
      <c r="D781" s="72" t="s">
        <v>109</v>
      </c>
      <c r="E781" s="72" t="s">
        <v>43</v>
      </c>
      <c r="F781" s="72">
        <v>-32.99</v>
      </c>
      <c r="G781" s="72"/>
      <c r="H781" s="72"/>
    </row>
    <row r="782" spans="1:8" x14ac:dyDescent="0.25">
      <c r="A782" s="73">
        <v>43534</v>
      </c>
      <c r="B782" s="72" t="s">
        <v>42</v>
      </c>
      <c r="C782" s="74">
        <v>43503</v>
      </c>
      <c r="D782" s="72" t="s">
        <v>109</v>
      </c>
      <c r="E782" s="72" t="s">
        <v>43</v>
      </c>
      <c r="F782" s="72">
        <v>-56.53</v>
      </c>
      <c r="G782" s="72"/>
      <c r="H782" s="72"/>
    </row>
    <row r="783" spans="1:8" x14ac:dyDescent="0.25">
      <c r="A783" s="73">
        <v>43556</v>
      </c>
      <c r="B783" s="72" t="s">
        <v>42</v>
      </c>
      <c r="C783" s="74">
        <v>43533</v>
      </c>
      <c r="D783" s="72" t="s">
        <v>109</v>
      </c>
      <c r="E783" s="72" t="s">
        <v>43</v>
      </c>
      <c r="F783" s="72">
        <v>-54.99</v>
      </c>
      <c r="G783" s="72"/>
      <c r="H783" s="72"/>
    </row>
    <row r="784" spans="1:8" x14ac:dyDescent="0.25">
      <c r="A784" s="73">
        <v>43530</v>
      </c>
      <c r="B784" s="72" t="s">
        <v>45</v>
      </c>
      <c r="C784" s="74">
        <v>43497</v>
      </c>
      <c r="D784" s="72" t="s">
        <v>109</v>
      </c>
      <c r="E784" s="72" t="s">
        <v>63</v>
      </c>
      <c r="F784" s="72">
        <v>-3427.2</v>
      </c>
      <c r="G784" s="72" t="s">
        <v>44</v>
      </c>
      <c r="H784" s="72"/>
    </row>
    <row r="785" spans="1:8" x14ac:dyDescent="0.25">
      <c r="A785" s="73">
        <v>43530</v>
      </c>
      <c r="B785" s="72" t="s">
        <v>45</v>
      </c>
      <c r="C785" s="74">
        <v>43497</v>
      </c>
      <c r="D785" s="72" t="s">
        <v>109</v>
      </c>
      <c r="E785" s="72" t="s">
        <v>63</v>
      </c>
      <c r="F785" s="72">
        <v>612</v>
      </c>
      <c r="G785" s="72" t="s">
        <v>47</v>
      </c>
      <c r="H785" s="72"/>
    </row>
    <row r="786" spans="1:8" x14ac:dyDescent="0.25">
      <c r="A786" s="73">
        <v>43539</v>
      </c>
      <c r="B786" s="72" t="s">
        <v>60</v>
      </c>
      <c r="C786" s="74">
        <v>43480</v>
      </c>
      <c r="D786" s="72" t="s">
        <v>109</v>
      </c>
      <c r="E786" s="72" t="s">
        <v>46</v>
      </c>
      <c r="F786" s="72">
        <v>4629.03</v>
      </c>
      <c r="G786" s="72" t="s">
        <v>47</v>
      </c>
      <c r="H786" s="72"/>
    </row>
    <row r="787" spans="1:8" x14ac:dyDescent="0.25">
      <c r="A787" s="73">
        <v>43539</v>
      </c>
      <c r="B787" s="72" t="s">
        <v>61</v>
      </c>
      <c r="C787" s="74">
        <v>43497</v>
      </c>
      <c r="D787" s="72" t="s">
        <v>109</v>
      </c>
      <c r="E787" s="72" t="s">
        <v>46</v>
      </c>
      <c r="F787" s="72">
        <v>132929.92000000001</v>
      </c>
      <c r="G787" s="72" t="s">
        <v>47</v>
      </c>
      <c r="H787" s="72"/>
    </row>
    <row r="788" spans="1:8" x14ac:dyDescent="0.25">
      <c r="A788" s="73">
        <v>43538</v>
      </c>
      <c r="B788" s="72" t="s">
        <v>58</v>
      </c>
      <c r="C788" s="74">
        <v>43497</v>
      </c>
      <c r="D788" s="72" t="s">
        <v>109</v>
      </c>
      <c r="E788" s="72" t="s">
        <v>46</v>
      </c>
      <c r="F788" s="72">
        <v>19015.57</v>
      </c>
      <c r="G788" s="72" t="s">
        <v>47</v>
      </c>
      <c r="H788" s="72"/>
    </row>
    <row r="789" spans="1:8" x14ac:dyDescent="0.25">
      <c r="A789" s="73">
        <v>43539</v>
      </c>
      <c r="B789" s="72" t="s">
        <v>60</v>
      </c>
      <c r="C789" s="74">
        <v>43484</v>
      </c>
      <c r="D789" s="72" t="s">
        <v>109</v>
      </c>
      <c r="E789" s="72" t="s">
        <v>46</v>
      </c>
      <c r="F789" s="72">
        <v>423.6</v>
      </c>
      <c r="G789" s="72" t="s">
        <v>47</v>
      </c>
      <c r="H789" s="72"/>
    </row>
    <row r="790" spans="1:8" x14ac:dyDescent="0.25">
      <c r="A790" s="73">
        <v>43522</v>
      </c>
      <c r="B790" s="72" t="s">
        <v>76</v>
      </c>
      <c r="C790" s="74">
        <v>43497</v>
      </c>
      <c r="D790" s="72" t="s">
        <v>109</v>
      </c>
      <c r="E790" s="72" t="s">
        <v>46</v>
      </c>
      <c r="F790" s="72">
        <v>124.9</v>
      </c>
      <c r="G790" s="72" t="s">
        <v>47</v>
      </c>
      <c r="H790" s="72" t="s">
        <v>1</v>
      </c>
    </row>
    <row r="791" spans="1:8" x14ac:dyDescent="0.25">
      <c r="A791" s="73">
        <v>43479</v>
      </c>
      <c r="B791" s="72" t="s">
        <v>45</v>
      </c>
      <c r="C791" s="74">
        <v>43479</v>
      </c>
      <c r="D791" s="72" t="s">
        <v>109</v>
      </c>
      <c r="E791" s="72" t="s">
        <v>80</v>
      </c>
      <c r="F791" s="72">
        <v>-3337.92</v>
      </c>
      <c r="G791" s="72" t="s">
        <v>44</v>
      </c>
      <c r="H791" s="72"/>
    </row>
    <row r="792" spans="1:8" x14ac:dyDescent="0.25">
      <c r="A792" s="73">
        <v>43539</v>
      </c>
      <c r="B792" s="72" t="s">
        <v>60</v>
      </c>
      <c r="C792" s="74">
        <v>43487</v>
      </c>
      <c r="D792" s="72" t="s">
        <v>109</v>
      </c>
      <c r="E792" s="72" t="s">
        <v>46</v>
      </c>
      <c r="F792" s="72">
        <v>5117.46</v>
      </c>
      <c r="G792" s="72" t="s">
        <v>47</v>
      </c>
      <c r="H792" s="72"/>
    </row>
    <row r="793" spans="1:8" x14ac:dyDescent="0.25">
      <c r="A793" s="73">
        <v>43530</v>
      </c>
      <c r="B793" s="72" t="s">
        <v>76</v>
      </c>
      <c r="C793" s="74">
        <v>43525</v>
      </c>
      <c r="D793" s="72" t="s">
        <v>109</v>
      </c>
      <c r="E793" s="72" t="s">
        <v>46</v>
      </c>
      <c r="F793" s="72">
        <v>169.69</v>
      </c>
      <c r="G793" s="72" t="s">
        <v>47</v>
      </c>
      <c r="H793" s="72" t="s">
        <v>1</v>
      </c>
    </row>
    <row r="794" spans="1:8" x14ac:dyDescent="0.25">
      <c r="A794" s="73">
        <v>43538</v>
      </c>
      <c r="B794" s="72" t="s">
        <v>58</v>
      </c>
      <c r="C794" s="74">
        <v>43497</v>
      </c>
      <c r="D794" s="72" t="s">
        <v>109</v>
      </c>
      <c r="E794" s="72" t="s">
        <v>46</v>
      </c>
      <c r="F794" s="72">
        <v>126133.37</v>
      </c>
      <c r="G794" s="72" t="s">
        <v>47</v>
      </c>
      <c r="H794" s="72"/>
    </row>
    <row r="795" spans="1:8" x14ac:dyDescent="0.25">
      <c r="A795" s="73">
        <v>43535</v>
      </c>
      <c r="B795" s="72" t="s">
        <v>60</v>
      </c>
      <c r="C795" s="74">
        <v>43475</v>
      </c>
      <c r="D795" s="72" t="s">
        <v>109</v>
      </c>
      <c r="E795" s="72" t="s">
        <v>46</v>
      </c>
      <c r="F795" s="72">
        <v>693.11</v>
      </c>
      <c r="G795" s="72" t="s">
        <v>47</v>
      </c>
      <c r="H795" s="72"/>
    </row>
    <row r="796" spans="1:8" x14ac:dyDescent="0.25">
      <c r="A796" s="73">
        <v>43539</v>
      </c>
      <c r="B796" s="72" t="s">
        <v>42</v>
      </c>
      <c r="C796" s="74">
        <v>43539</v>
      </c>
      <c r="D796" s="72" t="s">
        <v>109</v>
      </c>
      <c r="E796" s="72" t="s">
        <v>63</v>
      </c>
      <c r="F796" s="72">
        <v>-44905</v>
      </c>
      <c r="G796" s="72"/>
      <c r="H796" s="72"/>
    </row>
    <row r="797" spans="1:8" x14ac:dyDescent="0.25">
      <c r="A797" s="73">
        <v>43517</v>
      </c>
      <c r="B797" s="72" t="s">
        <v>42</v>
      </c>
      <c r="C797" s="74">
        <v>43486</v>
      </c>
      <c r="D797" s="72" t="s">
        <v>109</v>
      </c>
      <c r="E797" s="72" t="s">
        <v>55</v>
      </c>
      <c r="F797" s="72">
        <v>-2248</v>
      </c>
      <c r="G797" s="72" t="s">
        <v>44</v>
      </c>
      <c r="H797" s="72" t="s">
        <v>1</v>
      </c>
    </row>
    <row r="798" spans="1:8" x14ac:dyDescent="0.25">
      <c r="A798" s="73">
        <v>43539</v>
      </c>
      <c r="B798" s="72" t="s">
        <v>42</v>
      </c>
      <c r="C798" s="74">
        <v>43511</v>
      </c>
      <c r="D798" s="72" t="s">
        <v>109</v>
      </c>
      <c r="E798" s="72" t="s">
        <v>55</v>
      </c>
      <c r="F798" s="72">
        <v>-2073</v>
      </c>
      <c r="G798" s="72"/>
      <c r="H798" s="72"/>
    </row>
    <row r="799" spans="1:8" x14ac:dyDescent="0.25">
      <c r="A799" s="73">
        <v>43575</v>
      </c>
      <c r="B799" s="72" t="s">
        <v>42</v>
      </c>
      <c r="C799" s="74">
        <v>43544</v>
      </c>
      <c r="D799" s="72" t="s">
        <v>109</v>
      </c>
      <c r="E799" s="72" t="s">
        <v>55</v>
      </c>
      <c r="F799" s="72">
        <v>-2100</v>
      </c>
      <c r="G799" s="72"/>
      <c r="H799" s="72"/>
    </row>
    <row r="800" spans="1:8" x14ac:dyDescent="0.25">
      <c r="A800" s="73">
        <v>43524</v>
      </c>
      <c r="B800" s="72" t="s">
        <v>42</v>
      </c>
      <c r="C800" s="74">
        <v>43490</v>
      </c>
      <c r="D800" s="72" t="s">
        <v>109</v>
      </c>
      <c r="E800" s="72" t="s">
        <v>31</v>
      </c>
      <c r="F800" s="72">
        <v>-55244</v>
      </c>
      <c r="G800" s="72" t="s">
        <v>44</v>
      </c>
      <c r="H800" s="72" t="s">
        <v>1</v>
      </c>
    </row>
    <row r="801" spans="1:8" x14ac:dyDescent="0.25">
      <c r="A801" s="73">
        <v>43549</v>
      </c>
      <c r="B801" s="72" t="s">
        <v>42</v>
      </c>
      <c r="C801" s="74">
        <v>43521</v>
      </c>
      <c r="D801" s="72" t="s">
        <v>109</v>
      </c>
      <c r="E801" s="72" t="s">
        <v>31</v>
      </c>
      <c r="F801" s="72">
        <v>-42000</v>
      </c>
      <c r="G801" s="72"/>
      <c r="H801" s="72"/>
    </row>
    <row r="802" spans="1:8" x14ac:dyDescent="0.25">
      <c r="A802" s="73">
        <v>43580</v>
      </c>
      <c r="B802" s="72" t="s">
        <v>42</v>
      </c>
      <c r="C802" s="74">
        <v>43549</v>
      </c>
      <c r="D802" s="72" t="s">
        <v>109</v>
      </c>
      <c r="E802" s="72" t="s">
        <v>31</v>
      </c>
      <c r="F802" s="72">
        <v>-47000</v>
      </c>
      <c r="G802" s="72"/>
      <c r="H802" s="72"/>
    </row>
    <row r="803" spans="1:8" x14ac:dyDescent="0.25">
      <c r="A803" s="73">
        <v>43538</v>
      </c>
      <c r="B803" s="72" t="s">
        <v>58</v>
      </c>
      <c r="C803" s="74">
        <v>43497</v>
      </c>
      <c r="D803" s="72" t="s">
        <v>109</v>
      </c>
      <c r="E803" s="72" t="s">
        <v>46</v>
      </c>
      <c r="F803" s="72">
        <v>38955.730000000003</v>
      </c>
      <c r="G803" s="72" t="s">
        <v>47</v>
      </c>
      <c r="H803" s="72"/>
    </row>
    <row r="804" spans="1:8" x14ac:dyDescent="0.25">
      <c r="A804" s="73">
        <v>43517</v>
      </c>
      <c r="B804" s="72" t="s">
        <v>67</v>
      </c>
      <c r="C804" s="74">
        <v>43517</v>
      </c>
      <c r="D804" s="72" t="s">
        <v>109</v>
      </c>
      <c r="E804" s="72" t="s">
        <v>78</v>
      </c>
      <c r="F804" s="72">
        <v>-6589</v>
      </c>
      <c r="G804" s="72" t="s">
        <v>44</v>
      </c>
      <c r="H804" s="72" t="s">
        <v>1</v>
      </c>
    </row>
    <row r="805" spans="1:8" x14ac:dyDescent="0.25">
      <c r="A805" s="73">
        <v>43517</v>
      </c>
      <c r="B805" s="72" t="s">
        <v>67</v>
      </c>
      <c r="C805" s="74">
        <v>43517</v>
      </c>
      <c r="D805" s="72" t="s">
        <v>109</v>
      </c>
      <c r="E805" s="72" t="s">
        <v>78</v>
      </c>
      <c r="F805" s="72">
        <v>-10580</v>
      </c>
      <c r="G805" s="72" t="s">
        <v>44</v>
      </c>
      <c r="H805" s="72" t="s">
        <v>1</v>
      </c>
    </row>
    <row r="806" spans="1:8" x14ac:dyDescent="0.25">
      <c r="A806" s="73">
        <v>43517</v>
      </c>
      <c r="B806" s="72" t="s">
        <v>67</v>
      </c>
      <c r="C806" s="74">
        <v>43517</v>
      </c>
      <c r="D806" s="72" t="s">
        <v>109</v>
      </c>
      <c r="E806" s="72" t="s">
        <v>78</v>
      </c>
      <c r="F806" s="72">
        <v>-13505</v>
      </c>
      <c r="G806" s="72" t="s">
        <v>44</v>
      </c>
      <c r="H806" s="72" t="s">
        <v>1</v>
      </c>
    </row>
    <row r="807" spans="1:8" x14ac:dyDescent="0.25">
      <c r="A807" s="73">
        <v>43511</v>
      </c>
      <c r="B807" s="72" t="s">
        <v>42</v>
      </c>
      <c r="C807" s="74">
        <v>43480</v>
      </c>
      <c r="D807" s="72" t="s">
        <v>109</v>
      </c>
      <c r="E807" s="72" t="s">
        <v>63</v>
      </c>
      <c r="F807" s="72">
        <v>-36880</v>
      </c>
      <c r="G807" s="72" t="s">
        <v>44</v>
      </c>
      <c r="H807" s="72" t="s">
        <v>1</v>
      </c>
    </row>
    <row r="808" spans="1:8" x14ac:dyDescent="0.25">
      <c r="A808" s="73">
        <v>43539</v>
      </c>
      <c r="B808" s="72" t="s">
        <v>42</v>
      </c>
      <c r="C808" s="74">
        <v>43511</v>
      </c>
      <c r="D808" s="72" t="s">
        <v>109</v>
      </c>
      <c r="E808" s="72" t="s">
        <v>63</v>
      </c>
      <c r="F808" s="72">
        <v>-36975</v>
      </c>
      <c r="G808" s="72"/>
      <c r="H808" s="72"/>
    </row>
    <row r="809" spans="1:8" x14ac:dyDescent="0.25">
      <c r="A809" s="73">
        <v>43570</v>
      </c>
      <c r="B809" s="72" t="s">
        <v>42</v>
      </c>
      <c r="C809" s="74">
        <v>43539</v>
      </c>
      <c r="D809" s="72" t="s">
        <v>109</v>
      </c>
      <c r="E809" s="72" t="s">
        <v>63</v>
      </c>
      <c r="F809" s="72">
        <v>-37000</v>
      </c>
      <c r="G809" s="72"/>
      <c r="H809" s="72"/>
    </row>
    <row r="810" spans="1:8" x14ac:dyDescent="0.25">
      <c r="A810" s="73">
        <v>43536</v>
      </c>
      <c r="B810" s="72" t="s">
        <v>60</v>
      </c>
      <c r="C810" s="74">
        <v>43491</v>
      </c>
      <c r="D810" s="72" t="s">
        <v>109</v>
      </c>
      <c r="E810" s="72" t="s">
        <v>46</v>
      </c>
      <c r="F810" s="72">
        <v>1192.5</v>
      </c>
      <c r="G810" s="72" t="s">
        <v>47</v>
      </c>
      <c r="H810" s="72"/>
    </row>
    <row r="811" spans="1:8" x14ac:dyDescent="0.25">
      <c r="A811" s="73">
        <v>43539</v>
      </c>
      <c r="B811" s="72" t="s">
        <v>60</v>
      </c>
      <c r="C811" s="74">
        <v>43494</v>
      </c>
      <c r="D811" s="72" t="s">
        <v>109</v>
      </c>
      <c r="E811" s="72" t="s">
        <v>46</v>
      </c>
      <c r="F811" s="72">
        <v>399.61</v>
      </c>
      <c r="G811" s="72" t="s">
        <v>47</v>
      </c>
      <c r="H811" s="72"/>
    </row>
    <row r="812" spans="1:8" x14ac:dyDescent="0.25">
      <c r="A812" s="73">
        <v>43525</v>
      </c>
      <c r="B812" s="72" t="s">
        <v>76</v>
      </c>
      <c r="C812" s="74">
        <v>43497</v>
      </c>
      <c r="D812" s="72" t="s">
        <v>109</v>
      </c>
      <c r="E812" s="72" t="s">
        <v>46</v>
      </c>
      <c r="F812" s="72">
        <v>47.64</v>
      </c>
      <c r="G812" s="72" t="s">
        <v>47</v>
      </c>
      <c r="H812" s="72" t="s">
        <v>1</v>
      </c>
    </row>
    <row r="813" spans="1:8" x14ac:dyDescent="0.25">
      <c r="A813" s="73">
        <v>43510</v>
      </c>
      <c r="B813" s="72" t="s">
        <v>45</v>
      </c>
      <c r="C813" s="74">
        <v>43517</v>
      </c>
      <c r="D813" s="72" t="s">
        <v>109</v>
      </c>
      <c r="E813" s="72" t="s">
        <v>78</v>
      </c>
      <c r="F813" s="72">
        <v>11800.06</v>
      </c>
      <c r="G813" s="72" t="s">
        <v>47</v>
      </c>
      <c r="H813" s="72" t="s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994406B-CF94-44D2-9EF4-A3EE073642A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2018</vt:lpstr>
      <vt:lpstr>janvier</vt:lpstr>
      <vt:lpstr>Février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Demaria</dc:creator>
  <cp:lastModifiedBy>Valérie Demaria</cp:lastModifiedBy>
  <dcterms:created xsi:type="dcterms:W3CDTF">2015-06-05T18:19:34Z</dcterms:created>
  <dcterms:modified xsi:type="dcterms:W3CDTF">2019-03-21T13:46:13Z</dcterms:modified>
</cp:coreProperties>
</file>