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f601044\Documents\IEV jean DOLE\IEV_DATASHEET\"/>
    </mc:Choice>
  </mc:AlternateContent>
  <bookViews>
    <workbookView xWindow="0" yWindow="0" windowWidth="20490" windowHeight="7755" firstSheet="2" activeTab="3"/>
  </bookViews>
  <sheets>
    <sheet name="tableau souhaité" sheetId="2" r:id="rId1"/>
    <sheet name="Tableau manuelle" sheetId="3" r:id="rId2"/>
    <sheet name="donnée" sheetId="5" r:id="rId3"/>
    <sheet name="entrée" sheetId="4" r:id="rId4"/>
    <sheet name="ALU calcul caché" sheetId="9" r:id="rId5"/>
    <sheet name="INOX calcul caché" sheetId="6" r:id="rId6"/>
    <sheet name="composite calcul caché" sheetId="10" r:id="rId7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2" i="10" l="1"/>
  <c r="U3" i="10"/>
  <c r="U4" i="10"/>
  <c r="U5" i="10"/>
  <c r="U6" i="10"/>
  <c r="U7" i="10"/>
  <c r="U8" i="10"/>
  <c r="U9" i="10"/>
  <c r="U10" i="10"/>
  <c r="U11" i="10"/>
  <c r="U12" i="10"/>
  <c r="R2" i="10"/>
  <c r="R3" i="10"/>
  <c r="R4" i="10"/>
  <c r="R5" i="10"/>
  <c r="R6" i="10"/>
  <c r="R7" i="10"/>
  <c r="R8" i="10"/>
  <c r="R9" i="10"/>
  <c r="R10" i="10"/>
  <c r="R11" i="10"/>
  <c r="R12" i="10"/>
  <c r="Q2" i="10"/>
  <c r="Q3" i="10"/>
  <c r="Q4" i="10"/>
  <c r="Q5" i="10"/>
  <c r="Q6" i="10"/>
  <c r="Q7" i="10"/>
  <c r="Q8" i="10"/>
  <c r="Q9" i="10"/>
  <c r="Q10" i="10"/>
  <c r="Q11" i="10"/>
  <c r="Q12" i="10"/>
  <c r="P2" i="10"/>
  <c r="P3" i="10"/>
  <c r="P4" i="10"/>
  <c r="P5" i="10"/>
  <c r="P6" i="10"/>
  <c r="P7" i="10"/>
  <c r="P8" i="10"/>
  <c r="P9" i="10"/>
  <c r="P10" i="10"/>
  <c r="P11" i="10"/>
  <c r="P12" i="10"/>
  <c r="J2" i="10"/>
  <c r="J3" i="10"/>
  <c r="J4" i="10"/>
  <c r="J5" i="10"/>
  <c r="J6" i="10"/>
  <c r="J7" i="10"/>
  <c r="J8" i="10"/>
  <c r="J9" i="10"/>
  <c r="J10" i="10"/>
  <c r="J11" i="10"/>
  <c r="J12" i="10"/>
  <c r="H2" i="10"/>
  <c r="H3" i="10"/>
  <c r="H4" i="10"/>
  <c r="H5" i="10"/>
  <c r="H6" i="10"/>
  <c r="H7" i="10"/>
  <c r="H8" i="10"/>
  <c r="H9" i="10"/>
  <c r="H10" i="10"/>
  <c r="H11" i="10"/>
  <c r="H12" i="10"/>
  <c r="G2" i="10"/>
  <c r="G3" i="10"/>
  <c r="G4" i="10"/>
  <c r="G5" i="10"/>
  <c r="G6" i="10"/>
  <c r="G7" i="10"/>
  <c r="G8" i="10"/>
  <c r="G9" i="10"/>
  <c r="G10" i="10"/>
  <c r="G11" i="10"/>
  <c r="G12" i="10"/>
  <c r="F2" i="10"/>
  <c r="F3" i="10"/>
  <c r="F4" i="10"/>
  <c r="F5" i="10"/>
  <c r="F6" i="10"/>
  <c r="F7" i="10"/>
  <c r="F8" i="10"/>
  <c r="F9" i="10"/>
  <c r="F10" i="10"/>
  <c r="F11" i="10"/>
  <c r="F12" i="10"/>
  <c r="U2" i="6"/>
  <c r="U3" i="6"/>
  <c r="U4" i="6"/>
  <c r="U5" i="6"/>
  <c r="U6" i="6"/>
  <c r="U7" i="6"/>
  <c r="U8" i="6"/>
  <c r="U9" i="6"/>
  <c r="U10" i="6"/>
  <c r="U11" i="6"/>
  <c r="U12" i="6"/>
  <c r="R2" i="6"/>
  <c r="R3" i="6"/>
  <c r="R4" i="6"/>
  <c r="R5" i="6"/>
  <c r="R6" i="6"/>
  <c r="R7" i="6"/>
  <c r="R8" i="6"/>
  <c r="R9" i="6"/>
  <c r="R10" i="6"/>
  <c r="R11" i="6"/>
  <c r="R12" i="6"/>
  <c r="Q2" i="6"/>
  <c r="Q3" i="6"/>
  <c r="Q4" i="6"/>
  <c r="Q5" i="6"/>
  <c r="Q6" i="6"/>
  <c r="Q7" i="6"/>
  <c r="Q8" i="6"/>
  <c r="Q9" i="6"/>
  <c r="Q10" i="6"/>
  <c r="Q11" i="6"/>
  <c r="Q12" i="6"/>
  <c r="P2" i="6"/>
  <c r="J2" i="6"/>
  <c r="J3" i="6"/>
  <c r="J4" i="6"/>
  <c r="J5" i="6"/>
  <c r="J6" i="6"/>
  <c r="J7" i="6"/>
  <c r="J8" i="6"/>
  <c r="J9" i="6"/>
  <c r="J10" i="6"/>
  <c r="J11" i="6"/>
  <c r="J12" i="6"/>
  <c r="H2" i="6"/>
  <c r="H3" i="6"/>
  <c r="H4" i="6"/>
  <c r="H5" i="6"/>
  <c r="H6" i="6"/>
  <c r="H7" i="6"/>
  <c r="H8" i="6"/>
  <c r="H9" i="6"/>
  <c r="H10" i="6"/>
  <c r="H11" i="6"/>
  <c r="H12" i="6"/>
  <c r="G2" i="6"/>
  <c r="G3" i="6"/>
  <c r="G4" i="6"/>
  <c r="G5" i="6"/>
  <c r="G6" i="6"/>
  <c r="G7" i="6"/>
  <c r="G8" i="6"/>
  <c r="G9" i="6"/>
  <c r="G10" i="6"/>
  <c r="G11" i="6"/>
  <c r="G12" i="6"/>
  <c r="F2" i="6"/>
  <c r="F3" i="6"/>
  <c r="F4" i="6"/>
  <c r="F5" i="6"/>
  <c r="F6" i="6"/>
  <c r="F7" i="6"/>
  <c r="F8" i="6"/>
  <c r="F9" i="6"/>
  <c r="F10" i="6"/>
  <c r="F11" i="6"/>
  <c r="F12" i="6"/>
  <c r="T37" i="10" l="1"/>
  <c r="R29" i="10"/>
  <c r="R37" i="10"/>
  <c r="P37" i="10"/>
  <c r="N29" i="10"/>
  <c r="N37" i="10"/>
  <c r="H37" i="10"/>
  <c r="F28" i="10"/>
  <c r="F37" i="10"/>
  <c r="D32" i="10"/>
  <c r="D37" i="10"/>
  <c r="B28" i="10"/>
  <c r="B37" i="10"/>
  <c r="N2" i="10"/>
  <c r="N3" i="10"/>
  <c r="V3" i="10" s="1"/>
  <c r="N4" i="10"/>
  <c r="N5" i="10"/>
  <c r="M29" i="10" s="1"/>
  <c r="N6" i="10"/>
  <c r="Q30" i="10" s="1"/>
  <c r="R30" i="10" s="1"/>
  <c r="N7" i="10"/>
  <c r="O31" i="10" s="1"/>
  <c r="P31" i="10" s="1"/>
  <c r="N8" i="10"/>
  <c r="N9" i="10"/>
  <c r="N10" i="10"/>
  <c r="N11" i="10"/>
  <c r="N12" i="10"/>
  <c r="D2" i="10"/>
  <c r="D3" i="10"/>
  <c r="G27" i="10" s="1"/>
  <c r="D4" i="10"/>
  <c r="A28" i="10" s="1"/>
  <c r="D5" i="10"/>
  <c r="D6" i="10"/>
  <c r="D7" i="10"/>
  <c r="A31" i="10" s="1"/>
  <c r="D8" i="10"/>
  <c r="C32" i="10" s="1"/>
  <c r="D9" i="10"/>
  <c r="C33" i="10" s="1"/>
  <c r="D10" i="10"/>
  <c r="D11" i="10"/>
  <c r="D12" i="10"/>
  <c r="C36" i="10" s="1"/>
  <c r="D36" i="10" s="1"/>
  <c r="S37" i="10"/>
  <c r="Q37" i="10"/>
  <c r="O37" i="10"/>
  <c r="M37" i="10"/>
  <c r="G37" i="10"/>
  <c r="E37" i="10"/>
  <c r="C37" i="10"/>
  <c r="A37" i="10"/>
  <c r="E31" i="10"/>
  <c r="F31" i="10" s="1"/>
  <c r="E30" i="10"/>
  <c r="F30" i="10" s="1"/>
  <c r="A30" i="10"/>
  <c r="B30" i="10" s="1"/>
  <c r="Q29" i="10"/>
  <c r="E28" i="10"/>
  <c r="O34" i="10"/>
  <c r="C34" i="10"/>
  <c r="V6" i="10"/>
  <c r="K6" i="10"/>
  <c r="V4" i="10"/>
  <c r="S26" i="10"/>
  <c r="G26" i="10"/>
  <c r="D2" i="6"/>
  <c r="D3" i="6"/>
  <c r="D4" i="6"/>
  <c r="D5" i="6"/>
  <c r="D6" i="6"/>
  <c r="D7" i="6"/>
  <c r="D8" i="6"/>
  <c r="D9" i="6"/>
  <c r="D10" i="6"/>
  <c r="D11" i="6"/>
  <c r="D12" i="6"/>
  <c r="B37" i="6"/>
  <c r="D37" i="6"/>
  <c r="F37" i="6"/>
  <c r="H37" i="6"/>
  <c r="T30" i="6"/>
  <c r="T34" i="6"/>
  <c r="T37" i="6"/>
  <c r="R30" i="6"/>
  <c r="R34" i="6"/>
  <c r="R37" i="6"/>
  <c r="P30" i="6"/>
  <c r="P6" i="6" s="1"/>
  <c r="P32" i="6"/>
  <c r="P8" i="6" s="1"/>
  <c r="P37" i="6"/>
  <c r="N2" i="6"/>
  <c r="N3" i="6"/>
  <c r="N4" i="6"/>
  <c r="N5" i="6"/>
  <c r="N6" i="6"/>
  <c r="Q30" i="6" s="1"/>
  <c r="N7" i="6"/>
  <c r="Q31" i="6" s="1"/>
  <c r="R31" i="6" s="1"/>
  <c r="N8" i="6"/>
  <c r="N9" i="6"/>
  <c r="N10" i="6"/>
  <c r="Q34" i="6" s="1"/>
  <c r="N11" i="6"/>
  <c r="Q35" i="6" s="1"/>
  <c r="R35" i="6" s="1"/>
  <c r="N12" i="6"/>
  <c r="S37" i="9"/>
  <c r="T37" i="9" s="1"/>
  <c r="Q37" i="9"/>
  <c r="R37" i="9" s="1"/>
  <c r="O37" i="9"/>
  <c r="P37" i="9" s="1"/>
  <c r="M37" i="9"/>
  <c r="N37" i="9" s="1"/>
  <c r="G37" i="9"/>
  <c r="H37" i="9" s="1"/>
  <c r="F37" i="9"/>
  <c r="E37" i="9"/>
  <c r="C37" i="9"/>
  <c r="D37" i="9" s="1"/>
  <c r="A37" i="9"/>
  <c r="B37" i="9" s="1"/>
  <c r="O34" i="9"/>
  <c r="P34" i="9" s="1"/>
  <c r="P10" i="9" s="1"/>
  <c r="O33" i="9"/>
  <c r="P33" i="9" s="1"/>
  <c r="Q31" i="9"/>
  <c r="R31" i="9" s="1"/>
  <c r="R7" i="9" s="1"/>
  <c r="Q29" i="9"/>
  <c r="R29" i="9" s="1"/>
  <c r="R5" i="9" s="1"/>
  <c r="O29" i="9"/>
  <c r="P29" i="9" s="1"/>
  <c r="P5" i="9" s="1"/>
  <c r="O27" i="9"/>
  <c r="P27" i="9" s="1"/>
  <c r="P3" i="9" s="1"/>
  <c r="A27" i="9"/>
  <c r="B27" i="9" s="1"/>
  <c r="F3" i="9" s="1"/>
  <c r="N12" i="9"/>
  <c r="D12" i="9"/>
  <c r="N11" i="9"/>
  <c r="D11" i="9"/>
  <c r="N10" i="9"/>
  <c r="V10" i="9" s="1"/>
  <c r="D10" i="9"/>
  <c r="P9" i="9"/>
  <c r="N9" i="9"/>
  <c r="V9" i="9" s="1"/>
  <c r="D9" i="9"/>
  <c r="N8" i="9"/>
  <c r="D8" i="9"/>
  <c r="N7" i="9"/>
  <c r="V7" i="9" s="1"/>
  <c r="D7" i="9"/>
  <c r="I7" i="9" s="1"/>
  <c r="N6" i="9"/>
  <c r="D6" i="9"/>
  <c r="N5" i="9"/>
  <c r="V5" i="9" s="1"/>
  <c r="D5" i="9"/>
  <c r="N4" i="9"/>
  <c r="D4" i="9"/>
  <c r="I4" i="9" s="1"/>
  <c r="N3" i="9"/>
  <c r="K3" i="9"/>
  <c r="D3" i="9"/>
  <c r="V2" i="9"/>
  <c r="N2" i="9"/>
  <c r="K2" i="9"/>
  <c r="D2" i="9"/>
  <c r="A26" i="9" s="1"/>
  <c r="B26" i="9" s="1"/>
  <c r="F2" i="9" s="1"/>
  <c r="S27" i="6"/>
  <c r="T27" i="6" s="1"/>
  <c r="S30" i="6"/>
  <c r="S31" i="6"/>
  <c r="T31" i="6" s="1"/>
  <c r="S34" i="6"/>
  <c r="S35" i="6"/>
  <c r="T35" i="6" s="1"/>
  <c r="S37" i="6"/>
  <c r="Q29" i="6"/>
  <c r="R29" i="6" s="1"/>
  <c r="Q37" i="6"/>
  <c r="O27" i="6"/>
  <c r="P27" i="6" s="1"/>
  <c r="P3" i="6" s="1"/>
  <c r="O28" i="6"/>
  <c r="P28" i="6" s="1"/>
  <c r="P4" i="6" s="1"/>
  <c r="O30" i="6"/>
  <c r="O31" i="6"/>
  <c r="P31" i="6" s="1"/>
  <c r="P7" i="6" s="1"/>
  <c r="O32" i="6"/>
  <c r="O34" i="6"/>
  <c r="P34" i="6" s="1"/>
  <c r="P10" i="6" s="1"/>
  <c r="O37" i="6"/>
  <c r="N37" i="6"/>
  <c r="M33" i="6"/>
  <c r="N33" i="6" s="1"/>
  <c r="M36" i="6"/>
  <c r="N36" i="6" s="1"/>
  <c r="M37" i="6"/>
  <c r="V8" i="9" l="1"/>
  <c r="Q32" i="9"/>
  <c r="R32" i="9" s="1"/>
  <c r="R8" i="9" s="1"/>
  <c r="V11" i="9"/>
  <c r="Q35" i="9"/>
  <c r="R35" i="9" s="1"/>
  <c r="R11" i="9" s="1"/>
  <c r="O35" i="9"/>
  <c r="P35" i="9" s="1"/>
  <c r="P11" i="9" s="1"/>
  <c r="O32" i="9"/>
  <c r="P32" i="9" s="1"/>
  <c r="P8" i="9" s="1"/>
  <c r="O33" i="6"/>
  <c r="P33" i="6" s="1"/>
  <c r="P9" i="6" s="1"/>
  <c r="Q33" i="6"/>
  <c r="R33" i="6" s="1"/>
  <c r="S33" i="6"/>
  <c r="T33" i="6" s="1"/>
  <c r="O29" i="6"/>
  <c r="P29" i="6" s="1"/>
  <c r="P5" i="6" s="1"/>
  <c r="S29" i="6"/>
  <c r="T29" i="6" s="1"/>
  <c r="M29" i="6"/>
  <c r="N29" i="6" s="1"/>
  <c r="P34" i="10"/>
  <c r="Q36" i="6"/>
  <c r="R36" i="6" s="1"/>
  <c r="S36" i="6"/>
  <c r="T36" i="6" s="1"/>
  <c r="O36" i="6"/>
  <c r="P36" i="6" s="1"/>
  <c r="P12" i="6" s="1"/>
  <c r="M32" i="6"/>
  <c r="N32" i="6" s="1"/>
  <c r="S32" i="6"/>
  <c r="T32" i="6" s="1"/>
  <c r="Q28" i="6"/>
  <c r="R28" i="6" s="1"/>
  <c r="S28" i="6"/>
  <c r="T28" i="6" s="1"/>
  <c r="M28" i="6"/>
  <c r="N28" i="6" s="1"/>
  <c r="D33" i="10"/>
  <c r="A29" i="10"/>
  <c r="E29" i="10"/>
  <c r="F29" i="10" s="1"/>
  <c r="Q28" i="10"/>
  <c r="M28" i="10"/>
  <c r="Q32" i="6"/>
  <c r="R32" i="6" s="1"/>
  <c r="V4" i="9"/>
  <c r="Q28" i="9"/>
  <c r="R28" i="9" s="1"/>
  <c r="R4" i="9" s="1"/>
  <c r="O28" i="9"/>
  <c r="P28" i="9" s="1"/>
  <c r="P4" i="9" s="1"/>
  <c r="H26" i="10"/>
  <c r="V6" i="9"/>
  <c r="Q30" i="9"/>
  <c r="R30" i="9" s="1"/>
  <c r="R6" i="9" s="1"/>
  <c r="O30" i="9"/>
  <c r="P30" i="9" s="1"/>
  <c r="P6" i="9" s="1"/>
  <c r="Q27" i="6"/>
  <c r="R27" i="6" s="1"/>
  <c r="T26" i="10"/>
  <c r="B31" i="10"/>
  <c r="H27" i="10"/>
  <c r="O35" i="6"/>
  <c r="P35" i="6" s="1"/>
  <c r="P11" i="6" s="1"/>
  <c r="V12" i="9"/>
  <c r="Q36" i="9"/>
  <c r="R36" i="9" s="1"/>
  <c r="R12" i="9" s="1"/>
  <c r="O31" i="9"/>
  <c r="P31" i="9" s="1"/>
  <c r="P7" i="9" s="1"/>
  <c r="Q33" i="9"/>
  <c r="R33" i="9" s="1"/>
  <c r="R9" i="9" s="1"/>
  <c r="O36" i="9"/>
  <c r="P36" i="9" s="1"/>
  <c r="P12" i="9" s="1"/>
  <c r="D34" i="10"/>
  <c r="M30" i="10"/>
  <c r="N30" i="10" s="1"/>
  <c r="Q34" i="9"/>
  <c r="R34" i="9" s="1"/>
  <c r="R10" i="9" s="1"/>
  <c r="V5" i="10"/>
  <c r="K4" i="10"/>
  <c r="K5" i="10"/>
  <c r="C31" i="10"/>
  <c r="V8" i="10"/>
  <c r="T8" i="10"/>
  <c r="V9" i="10"/>
  <c r="T9" i="10"/>
  <c r="K11" i="10"/>
  <c r="I11" i="10"/>
  <c r="V11" i="10"/>
  <c r="T11" i="10"/>
  <c r="V12" i="10"/>
  <c r="T12" i="10"/>
  <c r="A26" i="10"/>
  <c r="M26" i="10"/>
  <c r="A27" i="10"/>
  <c r="M27" i="10"/>
  <c r="M31" i="10"/>
  <c r="A32" i="10"/>
  <c r="M32" i="10"/>
  <c r="A33" i="10"/>
  <c r="M33" i="10"/>
  <c r="A34" i="10"/>
  <c r="M34" i="10"/>
  <c r="A35" i="10"/>
  <c r="M35" i="10"/>
  <c r="A36" i="10"/>
  <c r="M36" i="10"/>
  <c r="I2" i="10"/>
  <c r="T2" i="10"/>
  <c r="I3" i="10"/>
  <c r="T3" i="10"/>
  <c r="T4" i="10"/>
  <c r="T5" i="10"/>
  <c r="T6" i="10"/>
  <c r="C26" i="10"/>
  <c r="O26" i="10"/>
  <c r="C27" i="10"/>
  <c r="O27" i="10"/>
  <c r="C28" i="10"/>
  <c r="O28" i="10"/>
  <c r="C29" i="10"/>
  <c r="O29" i="10"/>
  <c r="C30" i="10"/>
  <c r="O30" i="10"/>
  <c r="O32" i="10"/>
  <c r="O33" i="10"/>
  <c r="C35" i="10"/>
  <c r="O35" i="10"/>
  <c r="O36" i="10"/>
  <c r="V7" i="10"/>
  <c r="T7" i="10"/>
  <c r="K8" i="10"/>
  <c r="I8" i="10"/>
  <c r="K9" i="10"/>
  <c r="I9" i="10"/>
  <c r="K10" i="10"/>
  <c r="I10" i="10"/>
  <c r="V10" i="10"/>
  <c r="T10" i="10"/>
  <c r="K12" i="10"/>
  <c r="I12" i="10"/>
  <c r="E26" i="10"/>
  <c r="Q26" i="10"/>
  <c r="E27" i="10"/>
  <c r="Q27" i="10"/>
  <c r="Q31" i="10"/>
  <c r="E32" i="10"/>
  <c r="Q32" i="10"/>
  <c r="E33" i="10"/>
  <c r="Q33" i="10"/>
  <c r="E34" i="10"/>
  <c r="Q34" i="10"/>
  <c r="E35" i="10"/>
  <c r="Q35" i="10"/>
  <c r="E36" i="10"/>
  <c r="Q36" i="10"/>
  <c r="K2" i="10"/>
  <c r="V2" i="10"/>
  <c r="K3" i="10"/>
  <c r="I4" i="10"/>
  <c r="I5" i="10"/>
  <c r="I6" i="10"/>
  <c r="K7" i="10"/>
  <c r="I7" i="10"/>
  <c r="S27" i="10"/>
  <c r="G28" i="10"/>
  <c r="S28" i="10"/>
  <c r="G29" i="10"/>
  <c r="S29" i="10"/>
  <c r="G30" i="10"/>
  <c r="S30" i="10"/>
  <c r="G31" i="10"/>
  <c r="S31" i="10"/>
  <c r="G32" i="10"/>
  <c r="S32" i="10"/>
  <c r="G33" i="10"/>
  <c r="S33" i="10"/>
  <c r="G34" i="10"/>
  <c r="S34" i="10"/>
  <c r="G35" i="10"/>
  <c r="S35" i="10"/>
  <c r="G36" i="10"/>
  <c r="S36" i="10"/>
  <c r="M35" i="6"/>
  <c r="N35" i="6" s="1"/>
  <c r="M31" i="6"/>
  <c r="M27" i="6"/>
  <c r="M34" i="6"/>
  <c r="N34" i="6" s="1"/>
  <c r="M30" i="6"/>
  <c r="N30" i="6" s="1"/>
  <c r="K6" i="9"/>
  <c r="E30" i="9"/>
  <c r="F30" i="9" s="1"/>
  <c r="H6" i="9" s="1"/>
  <c r="C30" i="9"/>
  <c r="D30" i="9" s="1"/>
  <c r="G6" i="9" s="1"/>
  <c r="G30" i="9"/>
  <c r="H30" i="9" s="1"/>
  <c r="J6" i="9" s="1"/>
  <c r="K5" i="9"/>
  <c r="E29" i="9"/>
  <c r="F29" i="9" s="1"/>
  <c r="H5" i="9" s="1"/>
  <c r="C29" i="9"/>
  <c r="D29" i="9" s="1"/>
  <c r="G5" i="9" s="1"/>
  <c r="G29" i="9"/>
  <c r="H29" i="9" s="1"/>
  <c r="J5" i="9" s="1"/>
  <c r="K8" i="9"/>
  <c r="E32" i="9"/>
  <c r="F32" i="9" s="1"/>
  <c r="H8" i="9" s="1"/>
  <c r="C32" i="9"/>
  <c r="D32" i="9" s="1"/>
  <c r="G8" i="9" s="1"/>
  <c r="G32" i="9"/>
  <c r="H32" i="9" s="1"/>
  <c r="J8" i="9" s="1"/>
  <c r="K9" i="9"/>
  <c r="E33" i="9"/>
  <c r="F33" i="9" s="1"/>
  <c r="H9" i="9" s="1"/>
  <c r="C33" i="9"/>
  <c r="D33" i="9" s="1"/>
  <c r="G9" i="9" s="1"/>
  <c r="G33" i="9"/>
  <c r="H33" i="9" s="1"/>
  <c r="J9" i="9" s="1"/>
  <c r="K10" i="9"/>
  <c r="E34" i="9"/>
  <c r="F34" i="9" s="1"/>
  <c r="H10" i="9" s="1"/>
  <c r="C34" i="9"/>
  <c r="D34" i="9" s="1"/>
  <c r="G10" i="9" s="1"/>
  <c r="G34" i="9"/>
  <c r="H34" i="9" s="1"/>
  <c r="J10" i="9" s="1"/>
  <c r="K11" i="9"/>
  <c r="E35" i="9"/>
  <c r="F35" i="9" s="1"/>
  <c r="H11" i="9" s="1"/>
  <c r="C35" i="9"/>
  <c r="D35" i="9" s="1"/>
  <c r="G11" i="9" s="1"/>
  <c r="G35" i="9"/>
  <c r="H35" i="9" s="1"/>
  <c r="J11" i="9" s="1"/>
  <c r="K12" i="9"/>
  <c r="E36" i="9"/>
  <c r="F36" i="9" s="1"/>
  <c r="H12" i="9" s="1"/>
  <c r="C36" i="9"/>
  <c r="D36" i="9" s="1"/>
  <c r="G12" i="9" s="1"/>
  <c r="G36" i="9"/>
  <c r="H36" i="9" s="1"/>
  <c r="J12" i="9" s="1"/>
  <c r="K4" i="9"/>
  <c r="E28" i="9"/>
  <c r="F28" i="9" s="1"/>
  <c r="H4" i="9" s="1"/>
  <c r="C28" i="9"/>
  <c r="D28" i="9" s="1"/>
  <c r="G4" i="9" s="1"/>
  <c r="G28" i="9"/>
  <c r="H28" i="9" s="1"/>
  <c r="J4" i="9" s="1"/>
  <c r="I6" i="9"/>
  <c r="I8" i="9"/>
  <c r="I9" i="9"/>
  <c r="I10" i="9"/>
  <c r="I11" i="9"/>
  <c r="I12" i="9"/>
  <c r="E26" i="9"/>
  <c r="F26" i="9" s="1"/>
  <c r="H2" i="9" s="1"/>
  <c r="C26" i="9"/>
  <c r="D26" i="9" s="1"/>
  <c r="G2" i="9" s="1"/>
  <c r="I2" i="9"/>
  <c r="G26" i="9"/>
  <c r="H26" i="9" s="1"/>
  <c r="J2" i="9" s="1"/>
  <c r="S26" i="9"/>
  <c r="T26" i="9" s="1"/>
  <c r="U2" i="9" s="1"/>
  <c r="M26" i="9"/>
  <c r="N26" i="9" s="1"/>
  <c r="Q2" i="9" s="1"/>
  <c r="T2" i="9"/>
  <c r="Q26" i="9"/>
  <c r="R26" i="9" s="1"/>
  <c r="R2" i="9" s="1"/>
  <c r="E27" i="9"/>
  <c r="F27" i="9" s="1"/>
  <c r="H3" i="9" s="1"/>
  <c r="C27" i="9"/>
  <c r="D27" i="9" s="1"/>
  <c r="G3" i="9" s="1"/>
  <c r="I3" i="9"/>
  <c r="G27" i="9"/>
  <c r="H27" i="9" s="1"/>
  <c r="J3" i="9" s="1"/>
  <c r="V3" i="9"/>
  <c r="S27" i="9"/>
  <c r="T27" i="9" s="1"/>
  <c r="U3" i="9" s="1"/>
  <c r="M27" i="9"/>
  <c r="N27" i="9" s="1"/>
  <c r="Q3" i="9" s="1"/>
  <c r="T3" i="9"/>
  <c r="O3" i="9" s="1"/>
  <c r="D3" i="4" s="1"/>
  <c r="Q27" i="9"/>
  <c r="R27" i="9" s="1"/>
  <c r="R3" i="9" s="1"/>
  <c r="I5" i="9"/>
  <c r="K7" i="9"/>
  <c r="E31" i="9"/>
  <c r="F31" i="9" s="1"/>
  <c r="H7" i="9" s="1"/>
  <c r="C31" i="9"/>
  <c r="D31" i="9" s="1"/>
  <c r="G7" i="9" s="1"/>
  <c r="G31" i="9"/>
  <c r="H31" i="9" s="1"/>
  <c r="J7" i="9" s="1"/>
  <c r="O26" i="9"/>
  <c r="P26" i="9" s="1"/>
  <c r="P2" i="9" s="1"/>
  <c r="A28" i="9"/>
  <c r="B28" i="9" s="1"/>
  <c r="F4" i="9" s="1"/>
  <c r="E4" i="9" s="1"/>
  <c r="A29" i="9"/>
  <c r="B29" i="9" s="1"/>
  <c r="F5" i="9" s="1"/>
  <c r="A30" i="9"/>
  <c r="B30" i="9" s="1"/>
  <c r="F6" i="9" s="1"/>
  <c r="A31" i="9"/>
  <c r="B31" i="9" s="1"/>
  <c r="F7" i="9" s="1"/>
  <c r="A32" i="9"/>
  <c r="B32" i="9" s="1"/>
  <c r="F8" i="9" s="1"/>
  <c r="E8" i="9" s="1"/>
  <c r="A33" i="9"/>
  <c r="B33" i="9" s="1"/>
  <c r="F9" i="9" s="1"/>
  <c r="A34" i="9"/>
  <c r="B34" i="9" s="1"/>
  <c r="F10" i="9" s="1"/>
  <c r="A35" i="9"/>
  <c r="B35" i="9" s="1"/>
  <c r="F11" i="9" s="1"/>
  <c r="A36" i="9"/>
  <c r="B36" i="9" s="1"/>
  <c r="F12" i="9" s="1"/>
  <c r="E12" i="9" s="1"/>
  <c r="T4" i="9"/>
  <c r="T5" i="9"/>
  <c r="T6" i="9"/>
  <c r="T7" i="9"/>
  <c r="T8" i="9"/>
  <c r="T9" i="9"/>
  <c r="T10" i="9"/>
  <c r="T11" i="9"/>
  <c r="T12" i="9"/>
  <c r="M28" i="9"/>
  <c r="N28" i="9" s="1"/>
  <c r="Q4" i="9" s="1"/>
  <c r="M29" i="9"/>
  <c r="N29" i="9" s="1"/>
  <c r="Q5" i="9" s="1"/>
  <c r="M30" i="9"/>
  <c r="N30" i="9" s="1"/>
  <c r="Q6" i="9" s="1"/>
  <c r="O6" i="9" s="1"/>
  <c r="D6" i="4" s="1"/>
  <c r="M31" i="9"/>
  <c r="N31" i="9" s="1"/>
  <c r="Q7" i="9" s="1"/>
  <c r="M32" i="9"/>
  <c r="N32" i="9" s="1"/>
  <c r="Q8" i="9" s="1"/>
  <c r="M33" i="9"/>
  <c r="N33" i="9" s="1"/>
  <c r="Q9" i="9" s="1"/>
  <c r="M34" i="9"/>
  <c r="N34" i="9" s="1"/>
  <c r="Q10" i="9" s="1"/>
  <c r="O10" i="9" s="1"/>
  <c r="M35" i="9"/>
  <c r="N35" i="9" s="1"/>
  <c r="Q11" i="9" s="1"/>
  <c r="M36" i="9"/>
  <c r="N36" i="9" s="1"/>
  <c r="Q12" i="9" s="1"/>
  <c r="S28" i="9"/>
  <c r="T28" i="9" s="1"/>
  <c r="U4" i="9" s="1"/>
  <c r="S29" i="9"/>
  <c r="T29" i="9" s="1"/>
  <c r="U5" i="9" s="1"/>
  <c r="O5" i="9" s="1"/>
  <c r="S30" i="9"/>
  <c r="T30" i="9" s="1"/>
  <c r="U6" i="9" s="1"/>
  <c r="S31" i="9"/>
  <c r="T31" i="9" s="1"/>
  <c r="U7" i="9" s="1"/>
  <c r="S32" i="9"/>
  <c r="T32" i="9" s="1"/>
  <c r="U8" i="9" s="1"/>
  <c r="S33" i="9"/>
  <c r="T33" i="9" s="1"/>
  <c r="U9" i="9" s="1"/>
  <c r="S34" i="9"/>
  <c r="T34" i="9" s="1"/>
  <c r="U10" i="9" s="1"/>
  <c r="S35" i="9"/>
  <c r="T35" i="9" s="1"/>
  <c r="U11" i="9" s="1"/>
  <c r="S36" i="9"/>
  <c r="T36" i="9" s="1"/>
  <c r="U12" i="9" s="1"/>
  <c r="V9" i="6"/>
  <c r="T9" i="6"/>
  <c r="V3" i="6"/>
  <c r="T4" i="6"/>
  <c r="V5" i="6"/>
  <c r="V6" i="6"/>
  <c r="V7" i="6"/>
  <c r="V8" i="6"/>
  <c r="V10" i="6"/>
  <c r="V11" i="6"/>
  <c r="V12" i="6"/>
  <c r="V2" i="6"/>
  <c r="N27" i="6" l="1"/>
  <c r="H36" i="10"/>
  <c r="H34" i="10"/>
  <c r="H32" i="10"/>
  <c r="H30" i="10"/>
  <c r="H28" i="10"/>
  <c r="R35" i="10"/>
  <c r="R33" i="10"/>
  <c r="R31" i="10"/>
  <c r="F26" i="10"/>
  <c r="P33" i="10"/>
  <c r="P29" i="10"/>
  <c r="O5" i="10" s="1"/>
  <c r="P27" i="10"/>
  <c r="B36" i="10"/>
  <c r="E12" i="10" s="1"/>
  <c r="B34" i="10"/>
  <c r="B32" i="10"/>
  <c r="E8" i="10" s="1"/>
  <c r="N26" i="10"/>
  <c r="D31" i="10"/>
  <c r="E7" i="10" s="1"/>
  <c r="R28" i="10"/>
  <c r="O4" i="9"/>
  <c r="O9" i="9"/>
  <c r="E3" i="9"/>
  <c r="C3" i="4" s="1"/>
  <c r="N31" i="6"/>
  <c r="T35" i="10"/>
  <c r="T33" i="10"/>
  <c r="T31" i="10"/>
  <c r="T29" i="10"/>
  <c r="T27" i="10"/>
  <c r="F35" i="10"/>
  <c r="F33" i="10"/>
  <c r="R27" i="10"/>
  <c r="P36" i="10"/>
  <c r="P32" i="10"/>
  <c r="O8" i="10" s="1"/>
  <c r="D29" i="10"/>
  <c r="D27" i="10"/>
  <c r="N35" i="10"/>
  <c r="O11" i="10" s="1"/>
  <c r="N33" i="10"/>
  <c r="N31" i="10"/>
  <c r="O7" i="10" s="1"/>
  <c r="B26" i="10"/>
  <c r="O12" i="9"/>
  <c r="O8" i="9"/>
  <c r="E2" i="9"/>
  <c r="C2" i="4" s="1"/>
  <c r="H35" i="10"/>
  <c r="H33" i="10"/>
  <c r="H31" i="10"/>
  <c r="H29" i="10"/>
  <c r="R36" i="10"/>
  <c r="R34" i="10"/>
  <c r="R32" i="10"/>
  <c r="F27" i="10"/>
  <c r="P35" i="10"/>
  <c r="P30" i="10"/>
  <c r="O6" i="10" s="1"/>
  <c r="P28" i="10"/>
  <c r="P26" i="10"/>
  <c r="E11" i="10"/>
  <c r="B35" i="10"/>
  <c r="B33" i="10"/>
  <c r="N27" i="10"/>
  <c r="B29" i="10"/>
  <c r="O11" i="9"/>
  <c r="O7" i="9"/>
  <c r="T36" i="10"/>
  <c r="T34" i="10"/>
  <c r="T32" i="10"/>
  <c r="T30" i="10"/>
  <c r="T28" i="10"/>
  <c r="F36" i="10"/>
  <c r="F34" i="10"/>
  <c r="F32" i="10"/>
  <c r="R26" i="10"/>
  <c r="D35" i="10"/>
  <c r="D30" i="10"/>
  <c r="E6" i="10" s="1"/>
  <c r="E4" i="10"/>
  <c r="D28" i="10"/>
  <c r="D26" i="10"/>
  <c r="N36" i="10"/>
  <c r="N34" i="10"/>
  <c r="N32" i="10"/>
  <c r="B27" i="10"/>
  <c r="E3" i="10" s="1"/>
  <c r="N28" i="10"/>
  <c r="E11" i="9"/>
  <c r="E7" i="9"/>
  <c r="O2" i="9"/>
  <c r="D2" i="4" s="1"/>
  <c r="E10" i="9"/>
  <c r="E6" i="9"/>
  <c r="C6" i="4" s="1"/>
  <c r="E9" i="9"/>
  <c r="E5" i="9"/>
  <c r="O26" i="6"/>
  <c r="P26" i="6" s="1"/>
  <c r="Q26" i="6"/>
  <c r="S26" i="6"/>
  <c r="M26" i="6"/>
  <c r="T5" i="6"/>
  <c r="T11" i="6"/>
  <c r="T7" i="6"/>
  <c r="T10" i="6"/>
  <c r="T6" i="6"/>
  <c r="T12" i="6"/>
  <c r="T8" i="6"/>
  <c r="T2" i="6"/>
  <c r="V4" i="6"/>
  <c r="T3" i="6"/>
  <c r="I12" i="6"/>
  <c r="K12" i="6"/>
  <c r="I11" i="6"/>
  <c r="K11" i="6"/>
  <c r="I10" i="6"/>
  <c r="K10" i="6"/>
  <c r="I9" i="6"/>
  <c r="K9" i="6"/>
  <c r="I8" i="6"/>
  <c r="K8" i="6"/>
  <c r="G27" i="6"/>
  <c r="G28" i="6"/>
  <c r="G29" i="6"/>
  <c r="G30" i="6"/>
  <c r="G31" i="6"/>
  <c r="G32" i="6"/>
  <c r="G33" i="6"/>
  <c r="G34" i="6"/>
  <c r="G35" i="6"/>
  <c r="G36" i="6"/>
  <c r="G37" i="6"/>
  <c r="E27" i="6"/>
  <c r="E28" i="6"/>
  <c r="E29" i="6"/>
  <c r="E30" i="6"/>
  <c r="E31" i="6"/>
  <c r="E32" i="6"/>
  <c r="E33" i="6"/>
  <c r="E34" i="6"/>
  <c r="E35" i="6"/>
  <c r="E36" i="6"/>
  <c r="E37" i="6"/>
  <c r="C27" i="6"/>
  <c r="C28" i="6"/>
  <c r="C29" i="6"/>
  <c r="C30" i="6"/>
  <c r="C31" i="6"/>
  <c r="C32" i="6"/>
  <c r="C33" i="6"/>
  <c r="C34" i="6"/>
  <c r="C35" i="6"/>
  <c r="C36" i="6"/>
  <c r="C37" i="6"/>
  <c r="A27" i="6"/>
  <c r="A28" i="6"/>
  <c r="A29" i="6"/>
  <c r="A30" i="6"/>
  <c r="A31" i="6"/>
  <c r="A32" i="6"/>
  <c r="A33" i="6"/>
  <c r="A34" i="6"/>
  <c r="A35" i="6"/>
  <c r="A36" i="6"/>
  <c r="A37" i="6"/>
  <c r="I7" i="6"/>
  <c r="K7" i="6"/>
  <c r="I6" i="6"/>
  <c r="K6" i="6"/>
  <c r="I5" i="6"/>
  <c r="K5" i="6"/>
  <c r="I4" i="6"/>
  <c r="K4" i="6"/>
  <c r="I3" i="6"/>
  <c r="K3" i="6"/>
  <c r="O2" i="10" l="1"/>
  <c r="O12" i="10"/>
  <c r="E10" i="10"/>
  <c r="O9" i="10"/>
  <c r="E9" i="10"/>
  <c r="E2" i="10"/>
  <c r="O10" i="10"/>
  <c r="E5" i="10"/>
  <c r="O4" i="10"/>
  <c r="O3" i="10"/>
  <c r="T26" i="6"/>
  <c r="R26" i="6"/>
  <c r="N26" i="6"/>
  <c r="B34" i="6"/>
  <c r="D33" i="6"/>
  <c r="F32" i="6"/>
  <c r="H31" i="6"/>
  <c r="B33" i="6"/>
  <c r="B29" i="6"/>
  <c r="D36" i="6"/>
  <c r="D32" i="6"/>
  <c r="D28" i="6"/>
  <c r="F35" i="6"/>
  <c r="F31" i="6"/>
  <c r="F27" i="6"/>
  <c r="H34" i="6"/>
  <c r="H30" i="6"/>
  <c r="B30" i="6"/>
  <c r="D29" i="6"/>
  <c r="F36" i="6"/>
  <c r="F28" i="6"/>
  <c r="H35" i="6"/>
  <c r="H27" i="6"/>
  <c r="B36" i="6"/>
  <c r="B32" i="6"/>
  <c r="B28" i="6"/>
  <c r="D35" i="6"/>
  <c r="D31" i="6"/>
  <c r="D27" i="6"/>
  <c r="F34" i="6"/>
  <c r="F30" i="6"/>
  <c r="H33" i="6"/>
  <c r="H29" i="6"/>
  <c r="B35" i="6"/>
  <c r="B31" i="6"/>
  <c r="E7" i="6" s="1"/>
  <c r="B27" i="6"/>
  <c r="D34" i="6"/>
  <c r="D30" i="6"/>
  <c r="F33" i="6"/>
  <c r="F29" i="6"/>
  <c r="H36" i="6"/>
  <c r="H32" i="6"/>
  <c r="H28" i="6"/>
  <c r="E11" i="6" l="1"/>
  <c r="E4" i="6"/>
  <c r="C4" i="4" s="1"/>
  <c r="E6" i="6"/>
  <c r="E8" i="6"/>
  <c r="E5" i="6"/>
  <c r="C5" i="4" s="1"/>
  <c r="E3" i="6"/>
  <c r="E12" i="6"/>
  <c r="E9" i="6"/>
  <c r="E10" i="6"/>
  <c r="E26" i="6"/>
  <c r="A26" i="6"/>
  <c r="G26" i="6"/>
  <c r="C26" i="6"/>
  <c r="I2" i="6"/>
  <c r="K2" i="6"/>
  <c r="C6" i="2"/>
  <c r="C10" i="2"/>
  <c r="C14" i="2"/>
  <c r="B3" i="2"/>
  <c r="B7" i="2"/>
  <c r="B11" i="2"/>
  <c r="B15" i="2"/>
  <c r="C3" i="3"/>
  <c r="C3" i="2" s="1"/>
  <c r="C4" i="3"/>
  <c r="C4" i="2" s="1"/>
  <c r="C5" i="3"/>
  <c r="C5" i="2" s="1"/>
  <c r="C6" i="3"/>
  <c r="C7" i="3"/>
  <c r="C7" i="2" s="1"/>
  <c r="C8" i="3"/>
  <c r="C8" i="2" s="1"/>
  <c r="C9" i="3"/>
  <c r="C9" i="2" s="1"/>
  <c r="C10" i="3"/>
  <c r="C11" i="3"/>
  <c r="C11" i="2" s="1"/>
  <c r="C12" i="3"/>
  <c r="C12" i="2" s="1"/>
  <c r="C13" i="3"/>
  <c r="C13" i="2" s="1"/>
  <c r="C14" i="3"/>
  <c r="C15" i="3"/>
  <c r="C15" i="2" s="1"/>
  <c r="C16" i="3"/>
  <c r="C16" i="2" s="1"/>
  <c r="C2" i="3"/>
  <c r="C2" i="2" s="1"/>
  <c r="B3" i="3"/>
  <c r="B4" i="3"/>
  <c r="B4" i="2" s="1"/>
  <c r="B5" i="3"/>
  <c r="B5" i="2" s="1"/>
  <c r="B6" i="3"/>
  <c r="B6" i="2" s="1"/>
  <c r="B7" i="3"/>
  <c r="B8" i="3"/>
  <c r="B8" i="2" s="1"/>
  <c r="B9" i="3"/>
  <c r="B9" i="2" s="1"/>
  <c r="B10" i="3"/>
  <c r="B10" i="2" s="1"/>
  <c r="B11" i="3"/>
  <c r="B12" i="3"/>
  <c r="B12" i="2" s="1"/>
  <c r="B13" i="3"/>
  <c r="B13" i="2" s="1"/>
  <c r="B14" i="3"/>
  <c r="B14" i="2" s="1"/>
  <c r="B15" i="3"/>
  <c r="B16" i="3"/>
  <c r="B16" i="2" s="1"/>
  <c r="B2" i="3"/>
  <c r="B2" i="2" s="1"/>
  <c r="H26" i="6" l="1"/>
  <c r="B26" i="6"/>
  <c r="F26" i="6"/>
  <c r="D26" i="6"/>
  <c r="O3" i="6"/>
  <c r="O11" i="6"/>
  <c r="O4" i="6"/>
  <c r="D4" i="4" s="1"/>
  <c r="O10" i="6"/>
  <c r="O9" i="6"/>
  <c r="O6" i="6"/>
  <c r="O7" i="6"/>
  <c r="O5" i="6"/>
  <c r="D5" i="4" s="1"/>
  <c r="O8" i="6"/>
  <c r="O12" i="6"/>
  <c r="O2" i="6"/>
  <c r="E2" i="6" l="1"/>
</calcChain>
</file>

<file path=xl/sharedStrings.xml><?xml version="1.0" encoding="utf-8"?>
<sst xmlns="http://schemas.openxmlformats.org/spreadsheetml/2006/main" count="624" uniqueCount="107">
  <si>
    <t>Ref fab</t>
  </si>
  <si>
    <t>type de connecteur</t>
  </si>
  <si>
    <t>8D7-11K35PN</t>
  </si>
  <si>
    <t>8D7-13K35SN</t>
  </si>
  <si>
    <t>8D7-15K35SA</t>
  </si>
  <si>
    <t>8D7-15K35SN</t>
  </si>
  <si>
    <t>801-007-26M8-28SA</t>
  </si>
  <si>
    <t>8D5-09W35SN</t>
  </si>
  <si>
    <t>8D7-11W35PN</t>
  </si>
  <si>
    <t>8D7-13W35SN</t>
  </si>
  <si>
    <t>8D7-15W35SA</t>
  </si>
  <si>
    <t>8D7-15W35SN</t>
  </si>
  <si>
    <t>8D5-09F35SN</t>
  </si>
  <si>
    <t>8D7-11F35PN</t>
  </si>
  <si>
    <t>8D7-13F35SN</t>
  </si>
  <si>
    <t>8D7-15F35SA</t>
  </si>
  <si>
    <t>8D7-15F35SN</t>
  </si>
  <si>
    <t>A</t>
  </si>
  <si>
    <t>K</t>
  </si>
  <si>
    <t>8D5-09K35SN</t>
  </si>
  <si>
    <t>S</t>
  </si>
  <si>
    <t>N</t>
  </si>
  <si>
    <t>26</t>
  </si>
  <si>
    <t>24</t>
  </si>
  <si>
    <t>M</t>
  </si>
  <si>
    <t>W</t>
  </si>
  <si>
    <t>B</t>
  </si>
  <si>
    <t>C</t>
  </si>
  <si>
    <t>D</t>
  </si>
  <si>
    <t>35</t>
  </si>
  <si>
    <t>P</t>
  </si>
  <si>
    <t>F</t>
  </si>
  <si>
    <t>ref norme MIL-DTL-38999</t>
  </si>
  <si>
    <t>ref norme EN3645</t>
  </si>
  <si>
    <t>SHELL STYLE MIL</t>
  </si>
  <si>
    <t>PLATING MIL</t>
  </si>
  <si>
    <t>SHELL SIZE MIL</t>
  </si>
  <si>
    <t>LAYOUT MIL</t>
  </si>
  <si>
    <t>CONTACT TYPE MIL</t>
  </si>
  <si>
    <t>ORIENTATION MIL</t>
  </si>
  <si>
    <t>PLATING EN</t>
  </si>
  <si>
    <t>SHELL STYLE EN</t>
  </si>
  <si>
    <t>SHELL SIZE EN</t>
  </si>
  <si>
    <t>GROUNDING</t>
  </si>
  <si>
    <t>CONTACT LAYOUT EN</t>
  </si>
  <si>
    <t>CONTACT TYPE EN</t>
  </si>
  <si>
    <t>ORIENTATION EN</t>
  </si>
  <si>
    <t>6</t>
  </si>
  <si>
    <t>7</t>
  </si>
  <si>
    <t>EN3645</t>
  </si>
  <si>
    <t>métaux</t>
  </si>
  <si>
    <t>ref fab</t>
  </si>
  <si>
    <t>square flange receptacle</t>
  </si>
  <si>
    <t>in line receptacle</t>
  </si>
  <si>
    <t>jam nut receptacle</t>
  </si>
  <si>
    <t>plug with RFI shielding</t>
  </si>
  <si>
    <t>connector part numbers</t>
  </si>
  <si>
    <t>shell style</t>
  </si>
  <si>
    <t>MIL-DTL-38999</t>
  </si>
  <si>
    <t>plating</t>
  </si>
  <si>
    <t>shell size</t>
  </si>
  <si>
    <t>E</t>
  </si>
  <si>
    <t>G</t>
  </si>
  <si>
    <t>H</t>
  </si>
  <si>
    <t>J</t>
  </si>
  <si>
    <t>black zinc nickel</t>
  </si>
  <si>
    <t>olive drab cadmium</t>
  </si>
  <si>
    <t>nickel</t>
  </si>
  <si>
    <t>green zinc cobalt</t>
  </si>
  <si>
    <t>Z</t>
  </si>
  <si>
    <t>ZC</t>
  </si>
  <si>
    <t>contact type</t>
  </si>
  <si>
    <t>connector supplied less socket contact</t>
  </si>
  <si>
    <t>connector supplied less pin contact</t>
  </si>
  <si>
    <t>Socket</t>
  </si>
  <si>
    <t>Pin</t>
  </si>
  <si>
    <t>ref_fab</t>
  </si>
  <si>
    <t>ALUMINIUM</t>
  </si>
  <si>
    <t>Shell style</t>
  </si>
  <si>
    <t>Shell size</t>
  </si>
  <si>
    <t>Plating</t>
  </si>
  <si>
    <t>COMPOSITE</t>
  </si>
  <si>
    <t>Nickel</t>
  </si>
  <si>
    <t>without plating</t>
  </si>
  <si>
    <t>X</t>
  </si>
  <si>
    <t>Pin (500 mating/unmating)</t>
  </si>
  <si>
    <t>Pin (1500 mating/unmating)</t>
  </si>
  <si>
    <t xml:space="preserve">connector supplied less pin contact or with specific contact </t>
  </si>
  <si>
    <t>Socket (500 mating/unmating)</t>
  </si>
  <si>
    <t>Socket (1500 mating/unmating)</t>
  </si>
  <si>
    <t xml:space="preserve">connector supplied less socket contact or with specific contact </t>
  </si>
  <si>
    <t>INOX (Stainless Steel Series)</t>
  </si>
  <si>
    <t>passivated</t>
  </si>
  <si>
    <t>PIN</t>
  </si>
  <si>
    <t xml:space="preserve">Connector supplied less pin contact or with specific contact </t>
  </si>
  <si>
    <t>socket</t>
  </si>
  <si>
    <t xml:space="preserve">Connector supplied less socket contact or with specific contact </t>
  </si>
  <si>
    <t>Shell_style_calcul</t>
  </si>
  <si>
    <t>CHOIX</t>
  </si>
  <si>
    <t>INOX</t>
  </si>
  <si>
    <t>inox</t>
  </si>
  <si>
    <t>INOX pour ref MIL N° de ligne fonction INDEX</t>
  </si>
  <si>
    <t>INOX pour ref EN3645 N° de ligne fonction INDEX</t>
  </si>
  <si>
    <t>ALUMINIUM pour ref MIL  N° de ligne fonction INDEX</t>
  </si>
  <si>
    <t>ALUMINIUM pour ref EN3645 N° de ligne fonction INDEX</t>
  </si>
  <si>
    <t>COMPOSITE pour ref MIL N° de ligne fonction INDEX</t>
  </si>
  <si>
    <t>COMPOSITE pour ref EN3645 N° de ligne fonction INDEX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</si>
</sst>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9" tint="0.59999389629810485"/>
        <bgColor indexed="64"/>
      </patternFill>
    </fill>
  </fills>
  <borders count="12">
    <border>
      <left/>
      <right/>
      <top/>
      <bottom/>
      <diagonal/>
    </border>
    <border>
      <left/>
      <right style="medium">
        <color rgb="FFFFFFFF"/>
      </right>
      <top/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/>
      <bottom style="medium">
        <color rgb="FFFFFFFF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0" borderId="0" xfId="0" applyNumberFormat="1"/>
    <xf numFmtId="49" fontId="0" fillId="0" borderId="0" xfId="0" applyNumberFormat="1" applyAlignment="1">
      <alignment horizontal="left"/>
    </xf>
    <xf numFmtId="49" fontId="1" fillId="0" borderId="0" xfId="0" applyNumberFormat="1" applyFont="1" applyAlignment="1">
      <alignment horizontal="left"/>
    </xf>
    <xf numFmtId="0" fontId="0" fillId="2" borderId="0" xfId="0" applyFill="1"/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49" fontId="3" fillId="0" borderId="2" xfId="0" applyNumberFormat="1" applyFont="1" applyFill="1" applyBorder="1" applyAlignment="1">
      <alignment horizontal="left"/>
    </xf>
    <xf numFmtId="49" fontId="2" fillId="0" borderId="1" xfId="0" applyNumberFormat="1" applyFont="1" applyFill="1" applyBorder="1" applyAlignment="1">
      <alignment horizontal="left"/>
    </xf>
    <xf numFmtId="49" fontId="3" fillId="0" borderId="1" xfId="0" applyNumberFormat="1" applyFont="1" applyFill="1" applyBorder="1" applyAlignment="1">
      <alignment horizontal="left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ill="1"/>
    <xf numFmtId="0" fontId="0" fillId="0" borderId="0" xfId="0" applyAlignment="1"/>
    <xf numFmtId="2" fontId="0" fillId="0" borderId="0" xfId="0" applyNumberFormat="1"/>
    <xf numFmtId="1" fontId="0" fillId="0" borderId="0" xfId="0" applyNumberFormat="1"/>
    <xf numFmtId="0" fontId="0" fillId="0" borderId="0" xfId="0" applyNumberFormat="1"/>
    <xf numFmtId="0" fontId="0" fillId="0" borderId="0" xfId="0" applyNumberFormat="1" applyAlignment="1"/>
    <xf numFmtId="0" fontId="0" fillId="0" borderId="3" xfId="0" applyBorder="1"/>
    <xf numFmtId="0" fontId="0" fillId="0" borderId="0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8" xfId="0" applyNumberFormat="1" applyBorder="1"/>
    <xf numFmtId="0" fontId="0" fillId="0" borderId="11" xfId="0" applyNumberFormat="1" applyBorder="1"/>
    <xf numFmtId="0" fontId="0" fillId="6" borderId="0" xfId="0" applyFill="1"/>
    <xf numFmtId="0" fontId="0" fillId="6" borderId="0" xfId="0" applyFill="1" applyAlignment="1"/>
    <xf numFmtId="0" fontId="0" fillId="3" borderId="0" xfId="0" applyFill="1" applyAlignment="1">
      <alignment horizontal="center" vertical="center"/>
    </xf>
    <xf numFmtId="0" fontId="0" fillId="4" borderId="4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4" fillId="5" borderId="0" xfId="0" applyFont="1" applyFill="1" applyAlignment="1">
      <alignment horizontal="center" vertical="center" textRotation="90"/>
    </xf>
    <xf numFmtId="0" fontId="0" fillId="4" borderId="7" xfId="0" applyFill="1" applyBorder="1" applyAlignment="1">
      <alignment horizontal="center"/>
    </xf>
  </cellXfs>
  <cellStyles count="1">
    <cellStyle name="Normal" xfId="0" builtinId="0"/>
  </cellStyles>
  <dxfs count="73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30" formatCode="@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30" formatCode="@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30" formatCode="@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9" tint="0.59999389629810485"/>
        </patternFill>
      </fill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30" formatCode="@"/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medium">
          <color rgb="FFFFFFFF"/>
        </left>
        <right style="medium">
          <color rgb="FFFFFFFF"/>
        </right>
        <top/>
        <bottom style="medium">
          <color rgb="FFFFFFFF"/>
        </bottom>
        <vertical/>
        <horizontal/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alignment horizontal="left" vertical="bottom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medium">
          <color rgb="FFFFFFFF"/>
        </left>
        <right style="medium">
          <color rgb="FFFFFFFF"/>
        </right>
        <top/>
        <bottom style="medium">
          <color rgb="FFFFFFFF"/>
        </bottom>
      </border>
    </dxf>
    <dxf>
      <numFmt numFmtId="0" formatCode="General"/>
      <alignment horizontal="left" vertical="bottom" textRotation="0" indent="0" justifyLastLine="0" shrinkToFit="0" readingOrder="0"/>
    </dxf>
    <dxf>
      <numFmt numFmtId="0" formatCode="General"/>
      <alignment horizontal="left" vertical="bottom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medium">
          <color rgb="FFFFFFFF"/>
        </right>
        <top/>
        <bottom style="medium">
          <color rgb="FFFFFFFF"/>
        </bottom>
      </border>
    </dxf>
    <dxf>
      <numFmt numFmtId="30" formatCode="@"/>
      <alignment horizontal="left" vertical="bottom" textRotation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33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id="4" name="Tableau4" displayName="Tableau4" ref="A1:D16" totalsRowShown="0" headerRowDxfId="72" dataDxfId="71">
  <autoFilter ref="A1:D16"/>
  <tableColumns count="4">
    <tableColumn id="1" name="Ref fab" dataDxfId="70"/>
    <tableColumn id="2" name="ref norme MIL-DTL-38999" dataDxfId="69">
      <calculatedColumnFormula>Tableau_ref_manuel[[#This Row],[ref norme MIL-DTL-38999]]</calculatedColumnFormula>
    </tableColumn>
    <tableColumn id="14" name="ref norme EN3645" dataDxfId="68">
      <calculatedColumnFormula>Tableau_ref_manuel[[#This Row],[ref norme EN3645]]</calculatedColumnFormula>
    </tableColumn>
    <tableColumn id="3" name="type de connecteur" dataDxfId="6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_ref_manuel" displayName="Tableau_ref_manuel" ref="A1:Q16" totalsRowShown="0" headerRowDxfId="66" dataDxfId="65">
  <autoFilter ref="A1:Q16"/>
  <tableColumns count="17">
    <tableColumn id="1" name="Ref fab"/>
    <tableColumn id="2" name="ref norme MIL-DTL-38999" dataDxfId="64">
      <calculatedColumnFormula>"D38999/"&amp;CONCATENATE(E2,F2,G2,H2,I2,J2)</calculatedColumnFormula>
    </tableColumn>
    <tableColumn id="3" name="ref norme EN3645" dataDxfId="63">
      <calculatedColumnFormula>"EN3645"&amp;CONCATENATE(K2,L2,M2,N2,O2,P2,Q2)</calculatedColumnFormula>
    </tableColumn>
    <tableColumn id="4" name="type de connecteur" dataDxfId="62"/>
    <tableColumn id="5" name="SHELL STYLE MIL" dataDxfId="61"/>
    <tableColumn id="6" name="PLATING MIL" dataDxfId="60"/>
    <tableColumn id="7" name="SHELL SIZE MIL" dataDxfId="59"/>
    <tableColumn id="8" name="LAYOUT MIL" dataDxfId="58"/>
    <tableColumn id="9" name="CONTACT TYPE MIL" dataDxfId="57"/>
    <tableColumn id="10" name="ORIENTATION MIL" dataDxfId="56"/>
    <tableColumn id="11" name="PLATING EN" dataDxfId="55"/>
    <tableColumn id="12" name="SHELL STYLE EN" dataDxfId="54"/>
    <tableColumn id="13" name="SHELL SIZE EN" dataDxfId="53"/>
    <tableColumn id="14" name="GROUNDING" dataDxfId="52"/>
    <tableColumn id="15" name="CONTACT LAYOUT EN" dataDxfId="51"/>
    <tableColumn id="16" name="CONTACT TYPE EN" dataDxfId="50"/>
    <tableColumn id="17" name="ORIENTATION EN" dataDxfId="4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shell_style_ALU" displayName="shell_style_ALU" ref="A12:D16" totalsRowShown="0">
  <autoFilter ref="A12:D16"/>
  <tableColumns count="4">
    <tableColumn id="1" name="shell style"/>
    <tableColumn id="2" name="connector part numbers" dataDxfId="48"/>
    <tableColumn id="3" name="MIL-DTL-38999" dataDxfId="47"/>
    <tableColumn id="4" name="EN3645" dataDxfId="4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shell_size_ALU" displayName="shell_size_ALU" ref="A18:D27" totalsRowShown="0">
  <autoFilter ref="A18:D27"/>
  <tableColumns count="4">
    <tableColumn id="1" name="shell size"/>
    <tableColumn id="2" name="connector part numbers" dataDxfId="45"/>
    <tableColumn id="3" name="MIL-DTL-38999"/>
    <tableColumn id="4" name="EN364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Plating_ALU" displayName="Plating_ALU" ref="A29:D33" totalsRowShown="0">
  <autoFilter ref="A29:D33"/>
  <tableColumns count="4">
    <tableColumn id="1" name="plating"/>
    <tableColumn id="2" name="connector part numbers"/>
    <tableColumn id="3" name="MIL-DTL-38999"/>
    <tableColumn id="4" name="EN3645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contact_type_ALU" displayName="contact_type_ALU" ref="A35:D39" totalsRowShown="0">
  <autoFilter ref="A35:D39"/>
  <tableColumns count="4">
    <tableColumn id="1" name="contact type"/>
    <tableColumn id="2" name="connector part numbers"/>
    <tableColumn id="3" name="MIL-DTL-38999"/>
    <tableColumn id="4" name="EN3645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Shell_style_composite" displayName="Shell_style_composite" ref="F12:I14" totalsRowShown="0">
  <autoFilter ref="F12:I14"/>
  <tableColumns count="4">
    <tableColumn id="1" name="Shell style"/>
    <tableColumn id="2" name="connector part numbers"/>
    <tableColumn id="3" name="MIL-DTL-38999"/>
    <tableColumn id="4" name="EN3645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8" name="Shell_size_composite" displayName="Shell_size_composite" ref="F18:I27" totalsRowShown="0">
  <autoFilter ref="F18:I27"/>
  <tableColumns count="4">
    <tableColumn id="1" name="Shell size"/>
    <tableColumn id="2" name="connector part numbers"/>
    <tableColumn id="3" name="MIL-DTL-38999"/>
    <tableColumn id="4" name="EN3645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9" name="Plating_composite" displayName="Plating_composite" ref="F29:I32" totalsRowShown="0">
  <autoFilter ref="F29:I32"/>
  <tableColumns count="4">
    <tableColumn id="1" name="Plating"/>
    <tableColumn id="2" name="connector part numbers"/>
    <tableColumn id="3" name="MIL-DTL-38999"/>
    <tableColumn id="4" name="EN3645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0" name="Contact_type_composite" displayName="Contact_type_composite" ref="F35:I41" totalsRowShown="0">
  <autoFilter ref="F35:I41"/>
  <tableColumns count="4">
    <tableColumn id="1" name="contact type"/>
    <tableColumn id="2" name="connector part numbers"/>
    <tableColumn id="3" name="MIL-DTL-38999"/>
    <tableColumn id="4" name="EN3645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1" name="Shell_style_inox" displayName="Shell_style_inox" ref="K12:N15" totalsRowShown="0">
  <autoFilter ref="K12:N15"/>
  <tableColumns count="4">
    <tableColumn id="1" name="Shell style"/>
    <tableColumn id="2" name="connector part numbers"/>
    <tableColumn id="3" name="MIL-DTL-38999"/>
    <tableColumn id="4" name="EN3645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2" name="shell_size_inox" displayName="shell_size_inox" ref="K18:N27" totalsRowShown="0">
  <autoFilter ref="K18:N27"/>
  <tableColumns count="4">
    <tableColumn id="1" name="Shell size"/>
    <tableColumn id="2" name="connector part numbers"/>
    <tableColumn id="3" name="MIL-DTL-38999"/>
    <tableColumn id="4" name="EN3645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3" name="Plating_inox" displayName="Plating_inox" ref="K29:N31" totalsRowShown="0">
  <autoFilter ref="K29:N31"/>
  <tableColumns count="4">
    <tableColumn id="1" name="Plating"/>
    <tableColumn id="2" name="connector part numbers"/>
    <tableColumn id="3" name="MIL-DTL-38999"/>
    <tableColumn id="4" name="EN3645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4" name="Contact_type_inox" displayName="Contact_type_inox" ref="K35:N39" totalsRowShown="0">
  <autoFilter ref="K35:N39"/>
  <tableColumns count="4">
    <tableColumn id="1" name="contact type"/>
    <tableColumn id="2" name="connector part numbers"/>
    <tableColumn id="3" name="MIL-DTL-38999"/>
    <tableColumn id="4" name="EN3645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18" name="Tableau_entrée" displayName="Tableau_entrée" ref="A1:D6" totalsRowShown="0">
  <autoFilter ref="A1:D6"/>
  <tableColumns count="4">
    <tableColumn id="1" name="métaux" dataDxfId="44"/>
    <tableColumn id="2" name="ref fab" dataDxfId="43"/>
    <tableColumn id="3" name="ref norme MIL-DTL-38999" dataDxfId="42">
      <calculatedColumnFormula>IF($B2=ref_INOX_MIL[[#This Row],[ref_fab]],ref_INOX_MIL[[#This Row],[ref norme MIL-DTL-38999]],IF(B2=ref_alu_MIL18[[#This Row],[ref_fab]],ref_alu_MIL18[[#This Row],[ref norme MIL-DTL-38999]],ref_COMPOSITE_MIL1821[[#This Row],[ref norme MIL-DTL-38999]]))</calculatedColumnFormula>
    </tableColumn>
    <tableColumn id="4" name="ref norme EN3645" dataDxfId="41">
      <calculatedColumnFormula>IF(Tableau_entrée[[#This Row],[ref fab]]=ref_INOX_EN3645[[#This Row],[ref_fab]],ref_INOX_EN3645[[#This Row],[ref norme EN3645]],IF(Tableau_entrée[[#This Row],[ref fab]]=ref_alu_EN364520[[#This Row],[ref_fab]],ref_alu_EN364520[[#This Row],[ref norme EN3645]],ref_COMPOSITE_EN36452022[[#This Row],[ref norme EN3645]]))</calculatedColumnFormula>
    </tableColumn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17" name="ref_alu_MIL18" displayName="ref_alu_MIL18" ref="D1:K12" totalsRowShown="0">
  <autoFilter ref="D1:K12"/>
  <tableColumns count="8">
    <tableColumn id="1" name="ref_fab" dataDxfId="33">
      <calculatedColumnFormula>IF(OR(entrée!A2="alu",entrée!A2="aluminium"),entrée!B2,"")</calculatedColumnFormula>
    </tableColumn>
    <tableColumn id="2" name="ref norme MIL-DTL-38999">
      <calculatedColumnFormula>"D38999/"&amp;CONCATENATE(F2,G2,H2,I2,J2,K2)</calculatedColumnFormula>
    </tableColumn>
    <tableColumn id="3" name="SHELL STYLE MIL" dataDxfId="32">
      <calculatedColumnFormula>IFERROR(INDEX(shell_style_ALU[#All],B26,3),"")</calculatedColumnFormula>
    </tableColumn>
    <tableColumn id="4" name="PLATING MIL" dataDxfId="31">
      <calculatedColumnFormula>IFERROR(INDEX(Plating_ALU[#All],D26,3),"")</calculatedColumnFormula>
    </tableColumn>
    <tableColumn id="5" name="SHELL SIZE MIL" dataDxfId="30">
      <calculatedColumnFormula>IFERROR(INDEX(shell_size_ALU[#All],F26,3),"")</calculatedColumnFormula>
    </tableColumn>
    <tableColumn id="6" name="LAYOUT MIL">
      <calculatedColumnFormula>MID(D2,8,2)</calculatedColumnFormula>
    </tableColumn>
    <tableColumn id="7" name="CONTACT TYPE MIL" dataDxfId="29">
      <calculatedColumnFormula>IFERROR(INDEX(contact_type_ALU[#All],H26,3),"")</calculatedColumnFormula>
    </tableColumn>
    <tableColumn id="8" name="ORIENTATION MIL">
      <calculatedColumnFormula>MID(D2,11,1)</calculatedColumnFormula>
    </tableColumn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19" name="ref_alu_EN364520" displayName="ref_alu_EN364520" ref="N1:V12" totalsRowShown="0">
  <autoFilter ref="N1:V12"/>
  <tableColumns count="9">
    <tableColumn id="1" name="ref_fab">
      <calculatedColumnFormula>IF(entrée!A2="ALUMINIUM",entrée!B2,"")</calculatedColumnFormula>
    </tableColumn>
    <tableColumn id="2" name="ref norme EN3645" dataDxfId="28">
      <calculatedColumnFormula>"EN3645"&amp;CONCATENATE(ref_alu_EN364520[[#This Row],[PLATING EN]],ref_alu_EN364520[[#This Row],[SHELL STYLE EN]],ref_alu_EN364520[[#This Row],[SHELL SIZE EN]],ref_alu_EN364520[[#This Row],[GROUNDING]],ref_alu_EN364520[[#This Row],[CONTACT LAYOUT EN]],ref_alu_EN364520[[#This Row],[CONTACT TYPE EN]])</calculatedColumnFormula>
    </tableColumn>
    <tableColumn id="3" name="PLATING EN" dataDxfId="27">
      <calculatedColumnFormula>IFERROR(INDEX(Plating_ALU[#All],P26,4),"")</calculatedColumnFormula>
    </tableColumn>
    <tableColumn id="4" name="SHELL STYLE EN" dataDxfId="26">
      <calculatedColumnFormula>IFERROR(INDEX(shell_style_ALU[#All],N26,4),"")</calculatedColumnFormula>
    </tableColumn>
    <tableColumn id="5" name="SHELL SIZE EN" dataDxfId="25">
      <calculatedColumnFormula>IFERROR(INDEX(shell_size_ALU[#All],R26,4),"")</calculatedColumnFormula>
    </tableColumn>
    <tableColumn id="6" name="GROUNDING" dataDxfId="24"/>
    <tableColumn id="7" name="CONTACT LAYOUT EN" dataDxfId="23">
      <calculatedColumnFormula>IFERROR(MID(ref_alu_EN364520[[#This Row],[ref_fab]],8,2),"")</calculatedColumnFormula>
    </tableColumn>
    <tableColumn id="8" name="CONTACT TYPE EN" dataDxfId="22">
      <calculatedColumnFormula>IFERROR(INDEX(contact_type_ALU[#All],T26,4),"")</calculatedColumnFormula>
    </tableColumn>
    <tableColumn id="9" name="ORIENTATION EN" dataDxfId="21">
      <calculatedColumnFormula>IFERROR(MID(ref_alu_EN364520[[#This Row],[ref_fab]],11,1),"")</calculatedColumnFormula>
    </tableColumn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id="16" name="ref_INOX_MIL" displayName="ref_INOX_MIL" ref="D1:K12" totalsRowShown="0">
  <autoFilter ref="D1:K12"/>
  <tableColumns count="8">
    <tableColumn id="1" name="ref_fab" dataDxfId="40">
      <calculatedColumnFormula>IF(entrée!A2="INOX",entrée!B2,"")</calculatedColumnFormula>
    </tableColumn>
    <tableColumn id="2" name="ref norme MIL-DTL-38999">
      <calculatedColumnFormula>"D38999/"&amp;CONCATENATE(F2,G2,H2,I2,J2,K2)</calculatedColumnFormula>
    </tableColumn>
    <tableColumn id="3" name="SHELL STYLE MIL" dataDxfId="14">
      <calculatedColumnFormula>IFERROR(INDEX(Shell_style_inox[#All],B26,3),"")</calculatedColumnFormula>
    </tableColumn>
    <tableColumn id="4" name="PLATING MIL" dataDxfId="13">
      <calculatedColumnFormula>IFERROR(INDEX(Plating_inox[#All],D26,3),"")</calculatedColumnFormula>
    </tableColumn>
    <tableColumn id="5" name="SHELL SIZE MIL" dataDxfId="12">
      <calculatedColumnFormula>IFERROR(INDEX(shell_size_inox[#All],F26,3),"")</calculatedColumnFormula>
    </tableColumn>
    <tableColumn id="6" name="LAYOUT MIL">
      <calculatedColumnFormula>MID(D2,8,2)</calculatedColumnFormula>
    </tableColumn>
    <tableColumn id="7" name="CONTACT TYPE MIL" dataDxfId="11">
      <calculatedColumnFormula>IFERROR(INDEX(Contact_type_inox[#All],H26,3),"")</calculatedColumnFormula>
    </tableColumn>
    <tableColumn id="8" name="ORIENTATION MIL">
      <calculatedColumnFormula>MID(D2,11,1)</calculatedColumnFormula>
    </tableColumn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id="15" name="ref_INOX_EN3645" displayName="ref_INOX_EN3645" ref="N1:V12" totalsRowShown="0">
  <autoFilter ref="N1:V12"/>
  <tableColumns count="9">
    <tableColumn id="1" name="ref_fab" dataDxfId="39">
      <calculatedColumnFormula>IF(entrée!A2="INOX",entrée!B2,"")</calculatedColumnFormula>
    </tableColumn>
    <tableColumn id="2" name="ref norme EN3645" dataDxfId="38">
      <calculatedColumnFormula>"EN3645"&amp;CONCATENATE(ref_INOX_EN3645[[#This Row],[PLATING EN]],ref_INOX_EN3645[[#This Row],[SHELL STYLE EN]],ref_INOX_EN3645[[#This Row],[SHELL SIZE EN]],ref_INOX_EN3645[[#This Row],[GROUNDING]],ref_INOX_EN3645[[#This Row],[CONTACT LAYOUT EN]],ref_INOX_EN3645[[#This Row],[CONTACT TYPE EN]])</calculatedColumnFormula>
    </tableColumn>
    <tableColumn id="3" name="PLATING EN" dataDxfId="37">
      <calculatedColumnFormula>IFERROR(INDEX(Plating_inox[#All],P26,4),"")</calculatedColumnFormula>
    </tableColumn>
    <tableColumn id="4" name="SHELL STYLE EN" dataDxfId="10">
      <calculatedColumnFormula>IFERROR(INDEX(Shell_style_inox[#All],N26,4),"")</calculatedColumnFormula>
    </tableColumn>
    <tableColumn id="5" name="SHELL SIZE EN" dataDxfId="9">
      <calculatedColumnFormula>IFERROR(INDEX(shell_size_inox[#All],R26,4),"")</calculatedColumnFormula>
    </tableColumn>
    <tableColumn id="6" name="GROUNDING" dataDxfId="36"/>
    <tableColumn id="7" name="CONTACT LAYOUT EN" dataDxfId="35">
      <calculatedColumnFormula>IFERROR(MID(ref_INOX_EN3645[[#This Row],[ref_fab]],8,2),"")</calculatedColumnFormula>
    </tableColumn>
    <tableColumn id="8" name="CONTACT TYPE EN" dataDxfId="8">
      <calculatedColumnFormula>IFERROR(INDEX(Contact_type_inox[#All],T26,4),"")</calculatedColumnFormula>
    </tableColumn>
    <tableColumn id="9" name="ORIENTATION EN" dataDxfId="34">
      <calculatedColumnFormula>IFERROR(MID(ref_INOX_EN3645[[#This Row],[ref_fab]],11,1),"")</calculatedColumnFormula>
    </tableColumn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id="20" name="ref_COMPOSITE_MIL1821" displayName="ref_COMPOSITE_MIL1821" ref="D1:K12" totalsRowShown="0">
  <autoFilter ref="D1:K12"/>
  <tableColumns count="8">
    <tableColumn id="1" name="ref_fab" dataDxfId="20">
      <calculatedColumnFormula>IF(entrée!A2="composite",entrée!B2,"")</calculatedColumnFormula>
    </tableColumn>
    <tableColumn id="2" name="ref norme MIL-DTL-38999">
      <calculatedColumnFormula>"D38999/"&amp;CONCATENATE(F2,G2,H2,I2,J2,K2)</calculatedColumnFormula>
    </tableColumn>
    <tableColumn id="3" name="SHELL STYLE MIL" dataDxfId="7">
      <calculatedColumnFormula>IFERROR(INDEX(Shell_style_composite[#All],B26,3),"")</calculatedColumnFormula>
    </tableColumn>
    <tableColumn id="4" name="PLATING MIL" dataDxfId="6">
      <calculatedColumnFormula>IFERROR(INDEX(Plating_composite[#All],D26,3),"")</calculatedColumnFormula>
    </tableColumn>
    <tableColumn id="5" name="SHELL SIZE MIL" dataDxfId="5">
      <calculatedColumnFormula>IFERROR(INDEX(Shell_size_composite[#All],F26,3),"")</calculatedColumnFormula>
    </tableColumn>
    <tableColumn id="6" name="LAYOUT MIL">
      <calculatedColumnFormula>MID(D2,8,2)</calculatedColumnFormula>
    </tableColumn>
    <tableColumn id="7" name="CONTACT TYPE MIL" dataDxfId="4">
      <calculatedColumnFormula>IFERROR(INDEX(Contact_type_composite[#All],H26,3),"")</calculatedColumnFormula>
    </tableColumn>
    <tableColumn id="8" name="ORIENTATION MIL">
      <calculatedColumnFormula>MID(D2,11,1)</calculatedColumnFormula>
    </tableColumn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id="21" name="ref_COMPOSITE_EN36452022" displayName="ref_COMPOSITE_EN36452022" ref="N1:V12" totalsRowShown="0">
  <autoFilter ref="N1:V12"/>
  <tableColumns count="9">
    <tableColumn id="1" name="ref_fab" dataDxfId="19">
      <calculatedColumnFormula>IF(entrée!A2="composite",entrée!B2,"")</calculatedColumnFormula>
    </tableColumn>
    <tableColumn id="2" name="ref norme EN3645" dataDxfId="18">
      <calculatedColumnFormula>"EN3645"&amp;CONCATENATE(ref_COMPOSITE_EN36452022[[#This Row],[PLATING EN]],ref_COMPOSITE_EN36452022[[#This Row],[SHELL STYLE EN]],ref_COMPOSITE_EN36452022[[#This Row],[SHELL SIZE EN]],ref_COMPOSITE_EN36452022[[#This Row],[GROUNDING]],ref_COMPOSITE_EN36452022[[#This Row],[CONTACT LAYOUT EN]],ref_COMPOSITE_EN36452022[[#This Row],[CONTACT TYPE EN]])</calculatedColumnFormula>
    </tableColumn>
    <tableColumn id="3" name="PLATING EN" dataDxfId="3">
      <calculatedColumnFormula>IFERROR(INDEX(Plating_composite[#All],P26,4),"")</calculatedColumnFormula>
    </tableColumn>
    <tableColumn id="4" name="SHELL STYLE EN" dataDxfId="2">
      <calculatedColumnFormula>IFERROR(INDEX(Shell_style_composite[#All],N26,4),"")</calculatedColumnFormula>
    </tableColumn>
    <tableColumn id="5" name="SHELL SIZE EN" dataDxfId="1">
      <calculatedColumnFormula>IFERROR(INDEX(Shell_size_composite[#All],R26,4),"")</calculatedColumnFormula>
    </tableColumn>
    <tableColumn id="6" name="GROUNDING" dataDxfId="17"/>
    <tableColumn id="7" name="CONTACT LAYOUT EN" dataDxfId="16">
      <calculatedColumnFormula>IFERROR(MID(ref_COMPOSITE_EN36452022[[#This Row],[ref_fab]],8,2),"")</calculatedColumnFormula>
    </tableColumn>
    <tableColumn id="8" name="CONTACT TYPE EN" dataDxfId="0">
      <calculatedColumnFormula>IFERROR(INDEX(Contact_type_composite[#All],T26,4),"")</calculatedColumnFormula>
    </tableColumn>
    <tableColumn id="9" name="ORIENTATION EN" dataDxfId="15">
      <calculatedColumnFormula>IFERROR(MID(ref_COMPOSITE_EN36452022[[#This Row],[ref_fab]],11,1),"")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13" Type="http://schemas.openxmlformats.org/officeDocument/2006/relationships/table" Target="../tables/table14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12" Type="http://schemas.openxmlformats.org/officeDocument/2006/relationships/table" Target="../tables/table13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7.xml"/><Relationship Id="rId11" Type="http://schemas.openxmlformats.org/officeDocument/2006/relationships/table" Target="../tables/table12.xml"/><Relationship Id="rId5" Type="http://schemas.openxmlformats.org/officeDocument/2006/relationships/table" Target="../tables/table6.xml"/><Relationship Id="rId10" Type="http://schemas.openxmlformats.org/officeDocument/2006/relationships/table" Target="../tables/table11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7.xml"/><Relationship Id="rId2" Type="http://schemas.openxmlformats.org/officeDocument/2006/relationships/table" Target="../tables/table16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9.xml"/><Relationship Id="rId2" Type="http://schemas.openxmlformats.org/officeDocument/2006/relationships/table" Target="../tables/table18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1.xml"/><Relationship Id="rId2" Type="http://schemas.openxmlformats.org/officeDocument/2006/relationships/table" Target="../tables/table20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Q18"/>
  <sheetViews>
    <sheetView zoomScaleNormal="100" workbookViewId="0">
      <selection activeCell="C25" sqref="C25"/>
    </sheetView>
  </sheetViews>
  <sheetFormatPr baseColWidth="10" defaultRowHeight="15" x14ac:dyDescent="0.25"/>
  <cols>
    <col min="1" max="1" width="19.5703125" bestFit="1" customWidth="1"/>
    <col min="2" max="2" width="22.85546875" bestFit="1" customWidth="1"/>
    <col min="3" max="3" width="21.42578125" bestFit="1" customWidth="1"/>
    <col min="4" max="4" width="26.5703125" bestFit="1" customWidth="1"/>
    <col min="6" max="6" width="11" customWidth="1"/>
    <col min="8" max="8" width="22" bestFit="1" customWidth="1"/>
    <col min="11" max="11" width="57.42578125" customWidth="1"/>
    <col min="12" max="12" width="17.5703125" style="1" bestFit="1" customWidth="1"/>
    <col min="13" max="13" width="14.7109375" style="1" bestFit="1" customWidth="1"/>
    <col min="14" max="14" width="16.140625" style="1" bestFit="1" customWidth="1"/>
    <col min="15" max="15" width="14.140625" style="1" bestFit="1" customWidth="1"/>
    <col min="16" max="16" width="20.28515625" style="1" bestFit="1" customWidth="1"/>
    <col min="17" max="17" width="19.42578125" style="1" bestFit="1" customWidth="1"/>
    <col min="18" max="18" width="13.85546875" bestFit="1" customWidth="1"/>
    <col min="19" max="19" width="16.5703125" bestFit="1" customWidth="1"/>
    <col min="20" max="20" width="15.140625" bestFit="1" customWidth="1"/>
    <col min="21" max="21" width="14.85546875" bestFit="1" customWidth="1"/>
    <col min="22" max="22" width="22.28515625" bestFit="1" customWidth="1"/>
    <col min="23" max="23" width="19.42578125" bestFit="1" customWidth="1"/>
    <col min="24" max="24" width="18.5703125" bestFit="1" customWidth="1"/>
  </cols>
  <sheetData>
    <row r="1" spans="1:17" s="12" customFormat="1" ht="30" x14ac:dyDescent="0.25">
      <c r="A1" s="10" t="s">
        <v>0</v>
      </c>
      <c r="B1" s="11" t="s">
        <v>32</v>
      </c>
      <c r="C1" s="11" t="s">
        <v>33</v>
      </c>
      <c r="D1" s="10" t="s">
        <v>1</v>
      </c>
    </row>
    <row r="2" spans="1:17" x14ac:dyDescent="0.25">
      <c r="A2" s="2" t="s">
        <v>19</v>
      </c>
      <c r="B2" s="5" t="str">
        <f>Tableau_ref_manuel[[#This Row],[ref norme MIL-DTL-38999]]</f>
        <v>D38999/26KA35SN</v>
      </c>
      <c r="C2" s="5" t="str">
        <f>Tableau_ref_manuel[[#This Row],[ref norme EN3645]]</f>
        <v>EN3645K6A35FN</v>
      </c>
      <c r="D2" s="3" t="s">
        <v>99</v>
      </c>
      <c r="E2" s="1"/>
      <c r="F2" s="1"/>
      <c r="G2" s="1"/>
      <c r="H2" s="1"/>
      <c r="I2" s="1"/>
      <c r="J2" s="1"/>
      <c r="L2"/>
      <c r="M2"/>
      <c r="N2"/>
      <c r="O2"/>
      <c r="P2"/>
      <c r="Q2"/>
    </row>
    <row r="3" spans="1:17" ht="15.75" thickBot="1" x14ac:dyDescent="0.3">
      <c r="A3" s="3" t="s">
        <v>2</v>
      </c>
      <c r="B3" s="5" t="str">
        <f>Tableau_ref_manuel[[#This Row],[ref norme MIL-DTL-38999]]</f>
        <v>D38999/24KB35PN</v>
      </c>
      <c r="C3" s="5" t="str">
        <f>Tableau_ref_manuel[[#This Row],[ref norme EN3645]]</f>
        <v>EN3645K7B35MN</v>
      </c>
      <c r="D3" s="7" t="s">
        <v>99</v>
      </c>
      <c r="E3" s="1"/>
      <c r="F3" s="1"/>
      <c r="G3" s="1"/>
      <c r="H3" s="1"/>
      <c r="I3" s="1"/>
      <c r="J3" s="1"/>
      <c r="L3"/>
      <c r="M3"/>
      <c r="N3"/>
      <c r="O3"/>
      <c r="P3"/>
      <c r="Q3"/>
    </row>
    <row r="4" spans="1:17" ht="15.75" thickBot="1" x14ac:dyDescent="0.3">
      <c r="A4" s="3" t="s">
        <v>3</v>
      </c>
      <c r="B4" s="5" t="str">
        <f>Tableau_ref_manuel[[#This Row],[ref norme MIL-DTL-38999]]</f>
        <v>D38999/24KC35SN</v>
      </c>
      <c r="C4" s="5" t="str">
        <f>Tableau_ref_manuel[[#This Row],[ref norme EN3645]]</f>
        <v>EN3645K7C35FN</v>
      </c>
      <c r="D4" s="7" t="s">
        <v>99</v>
      </c>
      <c r="E4" s="1"/>
      <c r="F4" s="1"/>
      <c r="G4" s="1"/>
      <c r="H4" s="1"/>
      <c r="I4" s="1"/>
      <c r="J4" s="1"/>
      <c r="L4"/>
      <c r="M4"/>
      <c r="N4"/>
      <c r="O4"/>
      <c r="P4"/>
      <c r="Q4"/>
    </row>
    <row r="5" spans="1:17" ht="15.75" thickBot="1" x14ac:dyDescent="0.3">
      <c r="A5" s="2" t="s">
        <v>4</v>
      </c>
      <c r="B5" s="5" t="str">
        <f>Tableau_ref_manuel[[#This Row],[ref norme MIL-DTL-38999]]</f>
        <v>D38999/24KD35SA</v>
      </c>
      <c r="C5" s="5" t="str">
        <f>Tableau_ref_manuel[[#This Row],[ref norme EN3645]]</f>
        <v>EN3645K7D35FA</v>
      </c>
      <c r="D5" s="7" t="s">
        <v>99</v>
      </c>
      <c r="E5" s="1"/>
      <c r="F5" s="1"/>
      <c r="G5" s="1"/>
      <c r="H5" s="1"/>
      <c r="I5" s="1"/>
      <c r="J5" s="1"/>
      <c r="L5"/>
      <c r="M5"/>
      <c r="N5"/>
      <c r="O5"/>
      <c r="P5"/>
      <c r="Q5"/>
    </row>
    <row r="6" spans="1:17" ht="15.75" thickBot="1" x14ac:dyDescent="0.3">
      <c r="A6" s="8" t="s">
        <v>5</v>
      </c>
      <c r="B6" s="5" t="str">
        <f>Tableau_ref_manuel[[#This Row],[ref norme MIL-DTL-38999]]</f>
        <v>D38999/24KD35SN</v>
      </c>
      <c r="C6" s="5" t="str">
        <f>Tableau_ref_manuel[[#This Row],[ref norme EN3645]]</f>
        <v>EN3645K7D35FN</v>
      </c>
      <c r="D6" s="7" t="s">
        <v>99</v>
      </c>
      <c r="E6" s="1"/>
      <c r="F6" s="1"/>
      <c r="G6" s="1"/>
      <c r="H6" s="1"/>
      <c r="I6" s="1"/>
      <c r="J6" s="1"/>
      <c r="L6"/>
      <c r="M6"/>
      <c r="N6"/>
      <c r="O6"/>
      <c r="P6"/>
      <c r="Q6"/>
    </row>
    <row r="7" spans="1:17" ht="15.75" thickBot="1" x14ac:dyDescent="0.3">
      <c r="A7" s="9" t="s">
        <v>7</v>
      </c>
      <c r="B7" s="6" t="str">
        <f>Tableau_ref_manuel[[#This Row],[ref norme MIL-DTL-38999]]</f>
        <v>D38999/26WA35SN</v>
      </c>
      <c r="C7" s="5" t="str">
        <f>Tableau_ref_manuel[[#This Row],[ref norme EN3645]]</f>
        <v>EN3645W6A35FN</v>
      </c>
      <c r="D7" s="7" t="s">
        <v>77</v>
      </c>
      <c r="E7" s="1"/>
      <c r="F7" s="1"/>
      <c r="G7" s="1"/>
      <c r="H7" s="1"/>
      <c r="I7" s="1"/>
      <c r="J7" s="1"/>
      <c r="L7"/>
      <c r="M7"/>
      <c r="N7"/>
      <c r="O7"/>
      <c r="P7"/>
      <c r="Q7"/>
    </row>
    <row r="8" spans="1:17" ht="15.75" thickBot="1" x14ac:dyDescent="0.3">
      <c r="A8" s="9" t="s">
        <v>8</v>
      </c>
      <c r="B8" s="5" t="str">
        <f>Tableau_ref_manuel[[#This Row],[ref norme MIL-DTL-38999]]</f>
        <v>D38999/24WB35PN</v>
      </c>
      <c r="C8" s="5" t="str">
        <f>Tableau_ref_manuel[[#This Row],[ref norme EN3645]]</f>
        <v>EN3645W7B35MN</v>
      </c>
      <c r="D8" s="7" t="s">
        <v>77</v>
      </c>
      <c r="E8" s="1"/>
      <c r="F8" s="1"/>
      <c r="G8" s="1"/>
      <c r="H8" s="1"/>
      <c r="I8" s="1"/>
      <c r="J8" s="1"/>
      <c r="L8"/>
      <c r="M8"/>
      <c r="N8"/>
      <c r="O8"/>
      <c r="P8"/>
      <c r="Q8"/>
    </row>
    <row r="9" spans="1:17" ht="15.75" thickBot="1" x14ac:dyDescent="0.3">
      <c r="A9" s="9" t="s">
        <v>9</v>
      </c>
      <c r="B9" s="5" t="str">
        <f>Tableau_ref_manuel[[#This Row],[ref norme MIL-DTL-38999]]</f>
        <v>D38999/24WC35SN</v>
      </c>
      <c r="C9" s="5" t="str">
        <f>Tableau_ref_manuel[[#This Row],[ref norme EN3645]]</f>
        <v>EN3645W7C35FN</v>
      </c>
      <c r="D9" s="7" t="s">
        <v>77</v>
      </c>
      <c r="E9" s="1"/>
      <c r="F9" s="1"/>
      <c r="G9" s="1"/>
      <c r="H9" s="1"/>
      <c r="I9" s="1"/>
      <c r="J9" s="1"/>
      <c r="L9"/>
      <c r="M9"/>
      <c r="N9"/>
      <c r="O9"/>
      <c r="P9"/>
      <c r="Q9"/>
    </row>
    <row r="10" spans="1:17" ht="15.75" thickBot="1" x14ac:dyDescent="0.3">
      <c r="A10" s="8" t="s">
        <v>10</v>
      </c>
      <c r="B10" s="5" t="str">
        <f>Tableau_ref_manuel[[#This Row],[ref norme MIL-DTL-38999]]</f>
        <v>D38999/24WD35SA</v>
      </c>
      <c r="C10" s="5" t="str">
        <f>Tableau_ref_manuel[[#This Row],[ref norme EN3645]]</f>
        <v>EN3645W7D35FA</v>
      </c>
      <c r="D10" s="7" t="s">
        <v>77</v>
      </c>
      <c r="E10" s="1"/>
      <c r="F10" s="1"/>
      <c r="G10" s="1"/>
      <c r="H10" s="1"/>
      <c r="I10" s="1"/>
      <c r="J10" s="1"/>
      <c r="L10"/>
      <c r="M10"/>
      <c r="N10"/>
      <c r="O10"/>
      <c r="P10"/>
      <c r="Q10"/>
    </row>
    <row r="11" spans="1:17" ht="15.75" thickBot="1" x14ac:dyDescent="0.3">
      <c r="A11" s="8" t="s">
        <v>11</v>
      </c>
      <c r="B11" s="5" t="str">
        <f>Tableau_ref_manuel[[#This Row],[ref norme MIL-DTL-38999]]</f>
        <v>D38999/24WD35SN</v>
      </c>
      <c r="C11" s="5" t="str">
        <f>Tableau_ref_manuel[[#This Row],[ref norme EN3645]]</f>
        <v>EN3645W7D35FN</v>
      </c>
      <c r="D11" s="7" t="s">
        <v>77</v>
      </c>
      <c r="E11" s="1"/>
      <c r="F11" s="1"/>
      <c r="G11" s="1"/>
      <c r="H11" s="1"/>
      <c r="I11" s="1"/>
      <c r="J11" s="1"/>
      <c r="L11"/>
      <c r="M11"/>
      <c r="N11"/>
      <c r="O11"/>
      <c r="P11"/>
      <c r="Q11"/>
    </row>
    <row r="12" spans="1:17" ht="15.75" thickBot="1" x14ac:dyDescent="0.3">
      <c r="A12" s="9" t="s">
        <v>12</v>
      </c>
      <c r="B12" s="5" t="str">
        <f>Tableau_ref_manuel[[#This Row],[ref norme MIL-DTL-38999]]</f>
        <v>D38999/26FA35SN</v>
      </c>
      <c r="C12" s="5" t="str">
        <f>Tableau_ref_manuel[[#This Row],[ref norme EN3645]]</f>
        <v>EN3645F6A35FN</v>
      </c>
      <c r="D12" s="7" t="s">
        <v>77</v>
      </c>
      <c r="E12" s="1"/>
      <c r="F12" s="1"/>
      <c r="G12" s="1"/>
      <c r="H12" s="1"/>
      <c r="I12" s="1"/>
      <c r="J12" s="1"/>
      <c r="L12"/>
      <c r="M12"/>
      <c r="N12"/>
      <c r="O12"/>
      <c r="P12"/>
      <c r="Q12"/>
    </row>
    <row r="13" spans="1:17" ht="15.75" thickBot="1" x14ac:dyDescent="0.3">
      <c r="A13" s="9" t="s">
        <v>13</v>
      </c>
      <c r="B13" s="5" t="str">
        <f>Tableau_ref_manuel[[#This Row],[ref norme MIL-DTL-38999]]</f>
        <v>D38999/24FB35PN</v>
      </c>
      <c r="C13" s="5" t="str">
        <f>Tableau_ref_manuel[[#This Row],[ref norme EN3645]]</f>
        <v>EN3645F7B35MN</v>
      </c>
      <c r="D13" s="7" t="s">
        <v>77</v>
      </c>
      <c r="E13" s="1"/>
      <c r="F13" s="1"/>
      <c r="G13" s="1"/>
      <c r="H13" s="1"/>
      <c r="I13" s="1"/>
      <c r="J13" s="1"/>
      <c r="L13"/>
      <c r="M13"/>
      <c r="N13"/>
      <c r="O13"/>
      <c r="P13"/>
      <c r="Q13"/>
    </row>
    <row r="14" spans="1:17" ht="15.75" thickBot="1" x14ac:dyDescent="0.3">
      <c r="A14" s="9" t="s">
        <v>14</v>
      </c>
      <c r="B14" s="5" t="str">
        <f>Tableau_ref_manuel[[#This Row],[ref norme MIL-DTL-38999]]</f>
        <v>D38999/24FC35SN</v>
      </c>
      <c r="C14" s="5" t="str">
        <f>Tableau_ref_manuel[[#This Row],[ref norme EN3645]]</f>
        <v>EN3645F7C35FN</v>
      </c>
      <c r="D14" s="7" t="s">
        <v>77</v>
      </c>
      <c r="E14" s="1"/>
      <c r="F14" s="1"/>
      <c r="G14" s="1"/>
      <c r="H14" s="1"/>
      <c r="I14" s="1"/>
      <c r="J14" s="1"/>
      <c r="L14"/>
      <c r="M14"/>
      <c r="N14"/>
      <c r="O14"/>
      <c r="P14"/>
      <c r="Q14"/>
    </row>
    <row r="15" spans="1:17" ht="15.75" thickBot="1" x14ac:dyDescent="0.3">
      <c r="A15" s="9" t="s">
        <v>15</v>
      </c>
      <c r="B15" s="5" t="str">
        <f>Tableau_ref_manuel[[#This Row],[ref norme MIL-DTL-38999]]</f>
        <v>D38999/24FD35SA</v>
      </c>
      <c r="C15" s="5" t="str">
        <f>Tableau_ref_manuel[[#This Row],[ref norme EN3645]]</f>
        <v>EN3645F7D35FA</v>
      </c>
      <c r="D15" s="7" t="s">
        <v>77</v>
      </c>
      <c r="E15" s="1"/>
      <c r="F15" s="1"/>
      <c r="G15" s="1"/>
      <c r="H15" s="1"/>
      <c r="I15" s="1"/>
      <c r="J15" s="1"/>
      <c r="L15"/>
      <c r="M15"/>
      <c r="N15"/>
      <c r="O15"/>
      <c r="P15"/>
      <c r="Q15"/>
    </row>
    <row r="16" spans="1:17" ht="15.75" thickBot="1" x14ac:dyDescent="0.3">
      <c r="A16" s="9" t="s">
        <v>16</v>
      </c>
      <c r="B16" s="5" t="str">
        <f>Tableau_ref_manuel[[#This Row],[ref norme MIL-DTL-38999]]</f>
        <v>D38999/24FD35SN</v>
      </c>
      <c r="C16" s="5" t="str">
        <f>Tableau_ref_manuel[[#This Row],[ref norme EN3645]]</f>
        <v>EN3645F7D35FN</v>
      </c>
      <c r="D16" s="7" t="s">
        <v>77</v>
      </c>
      <c r="E16" s="1"/>
      <c r="F16" s="1"/>
      <c r="G16" s="1"/>
      <c r="H16" s="1"/>
      <c r="I16" s="1"/>
      <c r="J16" s="1"/>
      <c r="L16"/>
      <c r="M16"/>
      <c r="N16"/>
      <c r="O16"/>
      <c r="P16"/>
      <c r="Q16"/>
    </row>
    <row r="17" spans="5:17" x14ac:dyDescent="0.25">
      <c r="E17" s="1"/>
      <c r="F17" s="1"/>
      <c r="G17" s="1"/>
      <c r="H17" s="1"/>
      <c r="I17" s="1"/>
      <c r="J17" s="1"/>
      <c r="L17"/>
      <c r="M17"/>
      <c r="N17"/>
      <c r="O17"/>
      <c r="P17"/>
      <c r="Q17"/>
    </row>
    <row r="18" spans="5:17" x14ac:dyDescent="0.25">
      <c r="E18" s="1"/>
      <c r="F18" s="1"/>
      <c r="G18" s="1"/>
      <c r="H18" s="1"/>
      <c r="I18" s="1"/>
      <c r="J18" s="1"/>
      <c r="L18"/>
      <c r="M18"/>
      <c r="N18"/>
      <c r="O18"/>
      <c r="P18"/>
      <c r="Q18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Q16"/>
  <sheetViews>
    <sheetView workbookViewId="0">
      <selection activeCell="B10" sqref="B10"/>
    </sheetView>
  </sheetViews>
  <sheetFormatPr baseColWidth="10" defaultRowHeight="15" x14ac:dyDescent="0.25"/>
  <cols>
    <col min="1" max="1" width="18.28515625" bestFit="1" customWidth="1"/>
    <col min="2" max="2" width="25.28515625" style="13" customWidth="1"/>
    <col min="3" max="3" width="19.140625" style="13" bestFit="1" customWidth="1"/>
    <col min="4" max="4" width="20.5703125" bestFit="1" customWidth="1"/>
    <col min="5" max="5" width="19.7109375" bestFit="1" customWidth="1"/>
    <col min="6" max="6" width="17" bestFit="1" customWidth="1"/>
    <col min="7" max="7" width="18.28515625" bestFit="1" customWidth="1"/>
    <col min="8" max="8" width="16.42578125" bestFit="1" customWidth="1"/>
    <col min="9" max="9" width="20" customWidth="1"/>
    <col min="10" max="10" width="21.7109375" bestFit="1" customWidth="1"/>
    <col min="11" max="11" width="16.140625" bestFit="1" customWidth="1"/>
    <col min="12" max="12" width="18.85546875" bestFit="1" customWidth="1"/>
    <col min="13" max="13" width="17.42578125" bestFit="1" customWidth="1"/>
    <col min="14" max="14" width="17.140625" bestFit="1" customWidth="1"/>
    <col min="15" max="15" width="24.5703125" bestFit="1" customWidth="1"/>
    <col min="16" max="16" width="21.7109375" bestFit="1" customWidth="1"/>
    <col min="17" max="17" width="20.85546875" bestFit="1" customWidth="1"/>
  </cols>
  <sheetData>
    <row r="1" spans="1:17" x14ac:dyDescent="0.25">
      <c r="A1" t="s">
        <v>0</v>
      </c>
      <c r="B1" s="13" t="s">
        <v>32</v>
      </c>
      <c r="C1" s="13" t="s">
        <v>33</v>
      </c>
      <c r="D1" t="s">
        <v>1</v>
      </c>
      <c r="E1" s="10" t="s">
        <v>34</v>
      </c>
      <c r="F1" s="10" t="s">
        <v>35</v>
      </c>
      <c r="G1" s="10" t="s">
        <v>36</v>
      </c>
      <c r="H1" s="10" t="s">
        <v>37</v>
      </c>
      <c r="I1" s="10" t="s">
        <v>38</v>
      </c>
      <c r="J1" s="10" t="s">
        <v>39</v>
      </c>
      <c r="K1" s="10" t="s">
        <v>40</v>
      </c>
      <c r="L1" s="10" t="s">
        <v>41</v>
      </c>
      <c r="M1" s="10" t="s">
        <v>42</v>
      </c>
      <c r="N1" s="10" t="s">
        <v>43</v>
      </c>
      <c r="O1" s="10" t="s">
        <v>44</v>
      </c>
      <c r="P1" s="10" t="s">
        <v>45</v>
      </c>
      <c r="Q1" s="10" t="s">
        <v>46</v>
      </c>
    </row>
    <row r="2" spans="1:17" x14ac:dyDescent="0.25">
      <c r="A2" t="s">
        <v>19</v>
      </c>
      <c r="B2" s="13" t="str">
        <f>"D38999/"&amp;CONCATENATE(E2,F2,G2,H2,I2,J2)</f>
        <v>D38999/26KA35SN</v>
      </c>
      <c r="C2" s="13" t="str">
        <f>"EN3645"&amp;CONCATENATE(K2,L2,M2,N2,O2,P2,Q2)</f>
        <v>EN3645K6A35FN</v>
      </c>
      <c r="D2" s="3" t="s">
        <v>99</v>
      </c>
      <c r="E2" s="2">
        <v>26</v>
      </c>
      <c r="F2" s="2" t="s">
        <v>18</v>
      </c>
      <c r="G2" s="2" t="s">
        <v>17</v>
      </c>
      <c r="H2" s="2">
        <v>35</v>
      </c>
      <c r="I2" s="2" t="s">
        <v>20</v>
      </c>
      <c r="J2" s="2" t="s">
        <v>21</v>
      </c>
      <c r="K2" s="2" t="s">
        <v>18</v>
      </c>
      <c r="L2" s="2" t="s">
        <v>47</v>
      </c>
      <c r="M2" s="2" t="s">
        <v>17</v>
      </c>
      <c r="N2" s="2"/>
      <c r="O2" s="2" t="s">
        <v>29</v>
      </c>
      <c r="P2" s="2" t="s">
        <v>31</v>
      </c>
      <c r="Q2" s="2" t="s">
        <v>21</v>
      </c>
    </row>
    <row r="3" spans="1:17" ht="15.75" thickBot="1" x14ac:dyDescent="0.3">
      <c r="A3" t="s">
        <v>2</v>
      </c>
      <c r="B3" s="13" t="str">
        <f t="shared" ref="B3:B16" si="0">"D38999/"&amp;CONCATENATE(E3,F3,G3,H3,I3,J3)</f>
        <v>D38999/24KB35PN</v>
      </c>
      <c r="C3" s="13" t="str">
        <f t="shared" ref="C3:C16" si="1">"EN3645"&amp;CONCATENATE(K3,L3,M3,N3,O3,P3,Q3)</f>
        <v>EN3645K7B35MN</v>
      </c>
      <c r="D3" s="7" t="s">
        <v>99</v>
      </c>
      <c r="E3" s="2" t="s">
        <v>23</v>
      </c>
      <c r="F3" s="2" t="s">
        <v>18</v>
      </c>
      <c r="G3" s="2" t="s">
        <v>26</v>
      </c>
      <c r="H3" s="2" t="s">
        <v>29</v>
      </c>
      <c r="I3" s="2" t="s">
        <v>30</v>
      </c>
      <c r="J3" s="2" t="s">
        <v>21</v>
      </c>
      <c r="K3" s="2" t="s">
        <v>18</v>
      </c>
      <c r="L3" s="2" t="s">
        <v>48</v>
      </c>
      <c r="M3" s="2" t="s">
        <v>26</v>
      </c>
      <c r="N3" s="2"/>
      <c r="O3" s="2" t="s">
        <v>29</v>
      </c>
      <c r="P3" s="2" t="s">
        <v>24</v>
      </c>
      <c r="Q3" s="2" t="s">
        <v>21</v>
      </c>
    </row>
    <row r="4" spans="1:17" ht="15.75" thickBot="1" x14ac:dyDescent="0.3">
      <c r="A4" t="s">
        <v>3</v>
      </c>
      <c r="B4" s="13" t="str">
        <f t="shared" si="0"/>
        <v>D38999/24KC35SN</v>
      </c>
      <c r="C4" s="13" t="str">
        <f t="shared" si="1"/>
        <v>EN3645K7C35FN</v>
      </c>
      <c r="D4" s="7" t="s">
        <v>99</v>
      </c>
      <c r="E4" s="2" t="s">
        <v>23</v>
      </c>
      <c r="F4" s="2" t="s">
        <v>18</v>
      </c>
      <c r="G4" s="2" t="s">
        <v>27</v>
      </c>
      <c r="H4" s="2" t="s">
        <v>29</v>
      </c>
      <c r="I4" s="2" t="s">
        <v>20</v>
      </c>
      <c r="J4" s="2" t="s">
        <v>21</v>
      </c>
      <c r="K4" s="2" t="s">
        <v>18</v>
      </c>
      <c r="L4" s="2" t="s">
        <v>48</v>
      </c>
      <c r="M4" s="2" t="s">
        <v>27</v>
      </c>
      <c r="N4" s="2"/>
      <c r="O4" s="2" t="s">
        <v>29</v>
      </c>
      <c r="P4" s="2" t="s">
        <v>31</v>
      </c>
      <c r="Q4" s="2" t="s">
        <v>21</v>
      </c>
    </row>
    <row r="5" spans="1:17" ht="15.75" thickBot="1" x14ac:dyDescent="0.3">
      <c r="A5" t="s">
        <v>4</v>
      </c>
      <c r="B5" s="13" t="str">
        <f t="shared" si="0"/>
        <v>D38999/24KD35SA</v>
      </c>
      <c r="C5" s="13" t="str">
        <f t="shared" si="1"/>
        <v>EN3645K7D35FA</v>
      </c>
      <c r="D5" s="7" t="s">
        <v>99</v>
      </c>
      <c r="E5" s="2" t="s">
        <v>23</v>
      </c>
      <c r="F5" s="2" t="s">
        <v>18</v>
      </c>
      <c r="G5" s="2" t="s">
        <v>28</v>
      </c>
      <c r="H5" s="2" t="s">
        <v>29</v>
      </c>
      <c r="I5" s="2" t="s">
        <v>20</v>
      </c>
      <c r="J5" s="2" t="s">
        <v>17</v>
      </c>
      <c r="K5" s="2" t="s">
        <v>18</v>
      </c>
      <c r="L5" s="2" t="s">
        <v>48</v>
      </c>
      <c r="M5" s="2" t="s">
        <v>28</v>
      </c>
      <c r="N5" s="2"/>
      <c r="O5" s="2" t="s">
        <v>29</v>
      </c>
      <c r="P5" s="2" t="s">
        <v>31</v>
      </c>
      <c r="Q5" s="2" t="s">
        <v>17</v>
      </c>
    </row>
    <row r="6" spans="1:17" ht="15.75" thickBot="1" x14ac:dyDescent="0.3">
      <c r="A6" t="s">
        <v>5</v>
      </c>
      <c r="B6" s="13" t="str">
        <f t="shared" si="0"/>
        <v>D38999/24KD35SN</v>
      </c>
      <c r="C6" s="13" t="str">
        <f t="shared" si="1"/>
        <v>EN3645K7D35FN</v>
      </c>
      <c r="D6" s="7" t="s">
        <v>99</v>
      </c>
      <c r="E6" s="2" t="s">
        <v>23</v>
      </c>
      <c r="F6" s="2" t="s">
        <v>18</v>
      </c>
      <c r="G6" s="2" t="s">
        <v>28</v>
      </c>
      <c r="H6" s="2" t="s">
        <v>29</v>
      </c>
      <c r="I6" s="2" t="s">
        <v>20</v>
      </c>
      <c r="J6" s="2" t="s">
        <v>21</v>
      </c>
      <c r="K6" s="2" t="s">
        <v>18</v>
      </c>
      <c r="L6" s="2" t="s">
        <v>48</v>
      </c>
      <c r="M6" s="2" t="s">
        <v>28</v>
      </c>
      <c r="N6" s="2"/>
      <c r="O6" s="2" t="s">
        <v>29</v>
      </c>
      <c r="P6" s="2" t="s">
        <v>31</v>
      </c>
      <c r="Q6" s="2" t="s">
        <v>21</v>
      </c>
    </row>
    <row r="7" spans="1:17" ht="15.75" thickBot="1" x14ac:dyDescent="0.3">
      <c r="A7" t="s">
        <v>6</v>
      </c>
      <c r="B7" s="13" t="str">
        <f t="shared" si="0"/>
        <v>D38999/26WA35SN</v>
      </c>
      <c r="C7" s="13" t="str">
        <f t="shared" si="1"/>
        <v>EN3645W6A35FN</v>
      </c>
      <c r="D7" s="7" t="s">
        <v>77</v>
      </c>
      <c r="E7" s="2" t="s">
        <v>22</v>
      </c>
      <c r="F7" s="2" t="s">
        <v>25</v>
      </c>
      <c r="G7" s="2" t="s">
        <v>17</v>
      </c>
      <c r="H7" s="2" t="s">
        <v>29</v>
      </c>
      <c r="I7" s="2" t="s">
        <v>20</v>
      </c>
      <c r="J7" s="2" t="s">
        <v>21</v>
      </c>
      <c r="K7" s="2" t="s">
        <v>25</v>
      </c>
      <c r="L7" s="2" t="s">
        <v>47</v>
      </c>
      <c r="M7" s="2" t="s">
        <v>17</v>
      </c>
      <c r="N7" s="2"/>
      <c r="O7" s="2" t="s">
        <v>29</v>
      </c>
      <c r="P7" s="2" t="s">
        <v>31</v>
      </c>
      <c r="Q7" s="2" t="s">
        <v>21</v>
      </c>
    </row>
    <row r="8" spans="1:17" ht="15.75" thickBot="1" x14ac:dyDescent="0.3">
      <c r="A8" t="s">
        <v>8</v>
      </c>
      <c r="B8" s="13" t="str">
        <f t="shared" si="0"/>
        <v>D38999/24WB35PN</v>
      </c>
      <c r="C8" s="13" t="str">
        <f t="shared" si="1"/>
        <v>EN3645W7B35MN</v>
      </c>
      <c r="D8" s="7" t="s">
        <v>77</v>
      </c>
      <c r="E8" s="2" t="s">
        <v>23</v>
      </c>
      <c r="F8" s="2" t="s">
        <v>25</v>
      </c>
      <c r="G8" s="2" t="s">
        <v>26</v>
      </c>
      <c r="H8" s="2" t="s">
        <v>29</v>
      </c>
      <c r="I8" s="2" t="s">
        <v>30</v>
      </c>
      <c r="J8" s="2" t="s">
        <v>21</v>
      </c>
      <c r="K8" s="2" t="s">
        <v>25</v>
      </c>
      <c r="L8" s="2" t="s">
        <v>48</v>
      </c>
      <c r="M8" s="2" t="s">
        <v>26</v>
      </c>
      <c r="N8" s="2"/>
      <c r="O8" s="2" t="s">
        <v>29</v>
      </c>
      <c r="P8" s="2" t="s">
        <v>24</v>
      </c>
      <c r="Q8" s="2" t="s">
        <v>21</v>
      </c>
    </row>
    <row r="9" spans="1:17" ht="15.75" thickBot="1" x14ac:dyDescent="0.3">
      <c r="A9" t="s">
        <v>9</v>
      </c>
      <c r="B9" s="13" t="str">
        <f t="shared" si="0"/>
        <v>D38999/24WC35SN</v>
      </c>
      <c r="C9" s="13" t="str">
        <f t="shared" si="1"/>
        <v>EN3645W7C35FN</v>
      </c>
      <c r="D9" s="7" t="s">
        <v>77</v>
      </c>
      <c r="E9" s="2" t="s">
        <v>23</v>
      </c>
      <c r="F9" s="2" t="s">
        <v>25</v>
      </c>
      <c r="G9" s="2" t="s">
        <v>27</v>
      </c>
      <c r="H9" s="2" t="s">
        <v>29</v>
      </c>
      <c r="I9" s="2" t="s">
        <v>20</v>
      </c>
      <c r="J9" s="2" t="s">
        <v>21</v>
      </c>
      <c r="K9" s="2" t="s">
        <v>25</v>
      </c>
      <c r="L9" s="2" t="s">
        <v>48</v>
      </c>
      <c r="M9" s="2" t="s">
        <v>27</v>
      </c>
      <c r="N9" s="2"/>
      <c r="O9" s="2" t="s">
        <v>29</v>
      </c>
      <c r="P9" s="2" t="s">
        <v>31</v>
      </c>
      <c r="Q9" s="2" t="s">
        <v>21</v>
      </c>
    </row>
    <row r="10" spans="1:17" ht="15.75" thickBot="1" x14ac:dyDescent="0.3">
      <c r="A10" t="s">
        <v>10</v>
      </c>
      <c r="B10" s="13" t="str">
        <f t="shared" si="0"/>
        <v>D38999/24WD35SA</v>
      </c>
      <c r="C10" s="13" t="str">
        <f t="shared" si="1"/>
        <v>EN3645W7D35FA</v>
      </c>
      <c r="D10" s="7" t="s">
        <v>77</v>
      </c>
      <c r="E10" s="2" t="s">
        <v>23</v>
      </c>
      <c r="F10" s="2" t="s">
        <v>25</v>
      </c>
      <c r="G10" s="2" t="s">
        <v>28</v>
      </c>
      <c r="H10" s="2" t="s">
        <v>29</v>
      </c>
      <c r="I10" s="2" t="s">
        <v>20</v>
      </c>
      <c r="J10" s="2" t="s">
        <v>17</v>
      </c>
      <c r="K10" s="2" t="s">
        <v>25</v>
      </c>
      <c r="L10" s="2" t="s">
        <v>48</v>
      </c>
      <c r="M10" s="2" t="s">
        <v>28</v>
      </c>
      <c r="N10" s="2"/>
      <c r="O10" s="2" t="s">
        <v>29</v>
      </c>
      <c r="P10" s="2" t="s">
        <v>31</v>
      </c>
      <c r="Q10" s="2" t="s">
        <v>17</v>
      </c>
    </row>
    <row r="11" spans="1:17" ht="15.75" thickBot="1" x14ac:dyDescent="0.3">
      <c r="A11" t="s">
        <v>11</v>
      </c>
      <c r="B11" s="13" t="str">
        <f t="shared" si="0"/>
        <v>D38999/24WD35SN</v>
      </c>
      <c r="C11" s="13" t="str">
        <f t="shared" si="1"/>
        <v>EN3645W7D35FN</v>
      </c>
      <c r="D11" s="7" t="s">
        <v>77</v>
      </c>
      <c r="E11" s="2" t="s">
        <v>23</v>
      </c>
      <c r="F11" s="2" t="s">
        <v>25</v>
      </c>
      <c r="G11" s="2" t="s">
        <v>28</v>
      </c>
      <c r="H11" s="2" t="s">
        <v>29</v>
      </c>
      <c r="I11" s="2" t="s">
        <v>20</v>
      </c>
      <c r="J11" s="2" t="s">
        <v>21</v>
      </c>
      <c r="K11" s="2" t="s">
        <v>25</v>
      </c>
      <c r="L11" s="2" t="s">
        <v>48</v>
      </c>
      <c r="M11" s="2" t="s">
        <v>28</v>
      </c>
      <c r="N11" s="2"/>
      <c r="O11" s="2" t="s">
        <v>29</v>
      </c>
      <c r="P11" s="2" t="s">
        <v>31</v>
      </c>
      <c r="Q11" s="2" t="s">
        <v>21</v>
      </c>
    </row>
    <row r="12" spans="1:17" ht="15.75" thickBot="1" x14ac:dyDescent="0.3">
      <c r="A12" t="s">
        <v>12</v>
      </c>
      <c r="B12" s="13" t="str">
        <f t="shared" si="0"/>
        <v>D38999/26FA35SN</v>
      </c>
      <c r="C12" s="13" t="str">
        <f t="shared" si="1"/>
        <v>EN3645F6A35FN</v>
      </c>
      <c r="D12" s="7" t="s">
        <v>77</v>
      </c>
      <c r="E12" s="2" t="s">
        <v>22</v>
      </c>
      <c r="F12" s="2" t="s">
        <v>31</v>
      </c>
      <c r="G12" s="2" t="s">
        <v>17</v>
      </c>
      <c r="H12" s="2" t="s">
        <v>29</v>
      </c>
      <c r="I12" s="2" t="s">
        <v>20</v>
      </c>
      <c r="J12" s="2" t="s">
        <v>21</v>
      </c>
      <c r="K12" s="2" t="s">
        <v>31</v>
      </c>
      <c r="L12" s="2" t="s">
        <v>47</v>
      </c>
      <c r="M12" s="2" t="s">
        <v>17</v>
      </c>
      <c r="N12" s="2"/>
      <c r="O12" s="2" t="s">
        <v>29</v>
      </c>
      <c r="P12" s="2" t="s">
        <v>31</v>
      </c>
      <c r="Q12" s="2" t="s">
        <v>21</v>
      </c>
    </row>
    <row r="13" spans="1:17" ht="15.75" thickBot="1" x14ac:dyDescent="0.3">
      <c r="A13" t="s">
        <v>13</v>
      </c>
      <c r="B13" s="13" t="str">
        <f t="shared" si="0"/>
        <v>D38999/24FB35PN</v>
      </c>
      <c r="C13" s="13" t="str">
        <f t="shared" si="1"/>
        <v>EN3645F7B35MN</v>
      </c>
      <c r="D13" s="7" t="s">
        <v>77</v>
      </c>
      <c r="E13" s="2" t="s">
        <v>23</v>
      </c>
      <c r="F13" s="2" t="s">
        <v>31</v>
      </c>
      <c r="G13" s="2" t="s">
        <v>26</v>
      </c>
      <c r="H13" s="2" t="s">
        <v>29</v>
      </c>
      <c r="I13" s="2" t="s">
        <v>30</v>
      </c>
      <c r="J13" s="2" t="s">
        <v>21</v>
      </c>
      <c r="K13" s="2" t="s">
        <v>31</v>
      </c>
      <c r="L13" s="2" t="s">
        <v>48</v>
      </c>
      <c r="M13" s="2" t="s">
        <v>26</v>
      </c>
      <c r="N13" s="2"/>
      <c r="O13" s="2" t="s">
        <v>29</v>
      </c>
      <c r="P13" s="2" t="s">
        <v>24</v>
      </c>
      <c r="Q13" s="2" t="s">
        <v>21</v>
      </c>
    </row>
    <row r="14" spans="1:17" ht="15.75" thickBot="1" x14ac:dyDescent="0.3">
      <c r="A14" t="s">
        <v>14</v>
      </c>
      <c r="B14" s="13" t="str">
        <f t="shared" si="0"/>
        <v>D38999/24FC35SN</v>
      </c>
      <c r="C14" s="13" t="str">
        <f t="shared" si="1"/>
        <v>EN3645F7C35FN</v>
      </c>
      <c r="D14" s="7" t="s">
        <v>77</v>
      </c>
      <c r="E14" s="2" t="s">
        <v>23</v>
      </c>
      <c r="F14" s="2" t="s">
        <v>31</v>
      </c>
      <c r="G14" s="2" t="s">
        <v>27</v>
      </c>
      <c r="H14" s="2" t="s">
        <v>29</v>
      </c>
      <c r="I14" s="2" t="s">
        <v>20</v>
      </c>
      <c r="J14" s="2" t="s">
        <v>21</v>
      </c>
      <c r="K14" s="2" t="s">
        <v>31</v>
      </c>
      <c r="L14" s="2" t="s">
        <v>48</v>
      </c>
      <c r="M14" s="2" t="s">
        <v>27</v>
      </c>
      <c r="N14" s="2"/>
      <c r="O14" s="2" t="s">
        <v>29</v>
      </c>
      <c r="P14" s="2" t="s">
        <v>31</v>
      </c>
      <c r="Q14" s="2" t="s">
        <v>21</v>
      </c>
    </row>
    <row r="15" spans="1:17" ht="15.75" thickBot="1" x14ac:dyDescent="0.3">
      <c r="A15" t="s">
        <v>15</v>
      </c>
      <c r="B15" s="13" t="str">
        <f t="shared" si="0"/>
        <v>D38999/24FD35SA</v>
      </c>
      <c r="C15" s="13" t="str">
        <f t="shared" si="1"/>
        <v>EN3645F7D35FA</v>
      </c>
      <c r="D15" s="7" t="s">
        <v>77</v>
      </c>
      <c r="E15" s="2" t="s">
        <v>23</v>
      </c>
      <c r="F15" s="2" t="s">
        <v>31</v>
      </c>
      <c r="G15" s="2" t="s">
        <v>28</v>
      </c>
      <c r="H15" s="2" t="s">
        <v>29</v>
      </c>
      <c r="I15" s="2" t="s">
        <v>20</v>
      </c>
      <c r="J15" s="2" t="s">
        <v>17</v>
      </c>
      <c r="K15" s="2" t="s">
        <v>31</v>
      </c>
      <c r="L15" s="2" t="s">
        <v>48</v>
      </c>
      <c r="M15" s="2" t="s">
        <v>28</v>
      </c>
      <c r="N15" s="2"/>
      <c r="O15" s="2" t="s">
        <v>29</v>
      </c>
      <c r="P15" s="2" t="s">
        <v>31</v>
      </c>
      <c r="Q15" s="2" t="s">
        <v>17</v>
      </c>
    </row>
    <row r="16" spans="1:17" ht="15.75" thickBot="1" x14ac:dyDescent="0.3">
      <c r="A16" t="s">
        <v>16</v>
      </c>
      <c r="B16" s="13" t="str">
        <f t="shared" si="0"/>
        <v>D38999/24FD35SN</v>
      </c>
      <c r="C16" s="13" t="str">
        <f t="shared" si="1"/>
        <v>EN3645F7D35FN</v>
      </c>
      <c r="D16" s="7" t="s">
        <v>77</v>
      </c>
      <c r="E16" s="2" t="s">
        <v>23</v>
      </c>
      <c r="F16" s="2" t="s">
        <v>31</v>
      </c>
      <c r="G16" s="2" t="s">
        <v>28</v>
      </c>
      <c r="H16" s="2" t="s">
        <v>29</v>
      </c>
      <c r="I16" s="2" t="s">
        <v>20</v>
      </c>
      <c r="J16" s="2" t="s">
        <v>21</v>
      </c>
      <c r="K16" s="2" t="s">
        <v>31</v>
      </c>
      <c r="L16" s="2" t="s">
        <v>48</v>
      </c>
      <c r="M16" s="2" t="s">
        <v>28</v>
      </c>
      <c r="N16" s="2"/>
      <c r="O16" s="2" t="s">
        <v>29</v>
      </c>
      <c r="P16" s="2" t="s">
        <v>31</v>
      </c>
      <c r="Q16" s="2" t="s">
        <v>21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N41"/>
  <sheetViews>
    <sheetView topLeftCell="A31" zoomScale="85" zoomScaleNormal="85" workbookViewId="0">
      <selection activeCell="B14" sqref="B14"/>
    </sheetView>
  </sheetViews>
  <sheetFormatPr baseColWidth="10" defaultRowHeight="15" x14ac:dyDescent="0.25"/>
  <cols>
    <col min="1" max="1" width="23" bestFit="1" customWidth="1"/>
    <col min="2" max="2" width="24.7109375" bestFit="1" customWidth="1"/>
    <col min="3" max="3" width="16.140625" bestFit="1" customWidth="1"/>
    <col min="4" max="4" width="9.7109375" bestFit="1" customWidth="1"/>
    <col min="5" max="5" width="17.140625" bestFit="1" customWidth="1"/>
    <col min="6" max="6" width="14.85546875" bestFit="1" customWidth="1"/>
    <col min="7" max="7" width="24.28515625" customWidth="1"/>
    <col min="8" max="8" width="16" customWidth="1"/>
    <col min="10" max="10" width="17.7109375" bestFit="1" customWidth="1"/>
    <col min="11" max="11" width="17" bestFit="1" customWidth="1"/>
    <col min="12" max="12" width="24.28515625" customWidth="1"/>
    <col min="13" max="13" width="16" customWidth="1"/>
  </cols>
  <sheetData>
    <row r="1" spans="1:14" x14ac:dyDescent="0.25">
      <c r="B1" t="s">
        <v>98</v>
      </c>
    </row>
    <row r="2" spans="1:14" x14ac:dyDescent="0.25">
      <c r="B2" t="s">
        <v>77</v>
      </c>
    </row>
    <row r="3" spans="1:14" x14ac:dyDescent="0.25">
      <c r="B3" t="s">
        <v>99</v>
      </c>
    </row>
    <row r="4" spans="1:14" x14ac:dyDescent="0.25">
      <c r="B4" t="s">
        <v>81</v>
      </c>
    </row>
    <row r="10" spans="1:14" x14ac:dyDescent="0.25">
      <c r="A10" s="30" t="s">
        <v>77</v>
      </c>
      <c r="B10" s="30"/>
      <c r="C10" s="30"/>
      <c r="D10" s="30"/>
      <c r="F10" s="30" t="s">
        <v>81</v>
      </c>
      <c r="G10" s="30"/>
      <c r="H10" s="30"/>
      <c r="I10" s="30"/>
      <c r="K10" s="30" t="s">
        <v>91</v>
      </c>
      <c r="L10" s="30"/>
      <c r="M10" s="30"/>
      <c r="N10" s="30"/>
    </row>
    <row r="12" spans="1:14" x14ac:dyDescent="0.25">
      <c r="A12" t="s">
        <v>57</v>
      </c>
      <c r="B12" t="s">
        <v>56</v>
      </c>
      <c r="C12" t="s">
        <v>58</v>
      </c>
      <c r="D12" t="s">
        <v>49</v>
      </c>
      <c r="F12" t="s">
        <v>78</v>
      </c>
      <c r="G12" t="s">
        <v>56</v>
      </c>
      <c r="H12" t="s">
        <v>58</v>
      </c>
      <c r="I12" t="s">
        <v>49</v>
      </c>
      <c r="K12" t="s">
        <v>78</v>
      </c>
      <c r="L12" t="s">
        <v>56</v>
      </c>
      <c r="M12" t="s">
        <v>58</v>
      </c>
      <c r="N12" t="s">
        <v>49</v>
      </c>
    </row>
    <row r="13" spans="1:14" x14ac:dyDescent="0.25">
      <c r="A13" t="s">
        <v>52</v>
      </c>
      <c r="B13" s="16">
        <v>0</v>
      </c>
      <c r="C13" s="16">
        <v>20</v>
      </c>
      <c r="D13" s="16">
        <v>0</v>
      </c>
      <c r="F13" t="s">
        <v>52</v>
      </c>
      <c r="G13">
        <v>0</v>
      </c>
      <c r="H13">
        <v>20</v>
      </c>
      <c r="I13">
        <v>0</v>
      </c>
      <c r="K13" t="s">
        <v>52</v>
      </c>
      <c r="L13">
        <v>0</v>
      </c>
      <c r="M13">
        <v>20</v>
      </c>
      <c r="N13">
        <v>0</v>
      </c>
    </row>
    <row r="14" spans="1:14" x14ac:dyDescent="0.25">
      <c r="A14" t="s">
        <v>53</v>
      </c>
      <c r="B14" s="16">
        <v>1</v>
      </c>
      <c r="C14" s="16"/>
      <c r="D14" s="16"/>
      <c r="F14" t="s">
        <v>55</v>
      </c>
      <c r="G14">
        <v>5</v>
      </c>
      <c r="H14">
        <v>26</v>
      </c>
      <c r="I14">
        <v>6</v>
      </c>
      <c r="K14" t="s">
        <v>54</v>
      </c>
      <c r="L14">
        <v>7</v>
      </c>
      <c r="M14">
        <v>24</v>
      </c>
      <c r="N14">
        <v>7</v>
      </c>
    </row>
    <row r="15" spans="1:14" x14ac:dyDescent="0.25">
      <c r="A15" t="s">
        <v>54</v>
      </c>
      <c r="B15" s="16">
        <v>7</v>
      </c>
      <c r="C15" s="16">
        <v>24</v>
      </c>
      <c r="D15" s="16">
        <v>7</v>
      </c>
      <c r="K15" t="s">
        <v>55</v>
      </c>
      <c r="L15">
        <v>5</v>
      </c>
      <c r="M15">
        <v>26</v>
      </c>
      <c r="N15">
        <v>6</v>
      </c>
    </row>
    <row r="16" spans="1:14" x14ac:dyDescent="0.25">
      <c r="A16" t="s">
        <v>55</v>
      </c>
      <c r="B16" s="16">
        <v>5</v>
      </c>
      <c r="C16" s="16">
        <v>26</v>
      </c>
      <c r="D16" s="16">
        <v>6</v>
      </c>
    </row>
    <row r="18" spans="1:14" x14ac:dyDescent="0.25">
      <c r="A18" t="s">
        <v>60</v>
      </c>
      <c r="B18" t="s">
        <v>56</v>
      </c>
      <c r="C18" t="s">
        <v>58</v>
      </c>
      <c r="D18" t="s">
        <v>49</v>
      </c>
      <c r="F18" t="s">
        <v>79</v>
      </c>
      <c r="G18" t="s">
        <v>56</v>
      </c>
      <c r="H18" t="s">
        <v>58</v>
      </c>
      <c r="I18" t="s">
        <v>49</v>
      </c>
      <c r="K18" t="s">
        <v>79</v>
      </c>
      <c r="L18" t="s">
        <v>56</v>
      </c>
      <c r="M18" t="s">
        <v>58</v>
      </c>
      <c r="N18" t="s">
        <v>49</v>
      </c>
    </row>
    <row r="19" spans="1:14" x14ac:dyDescent="0.25">
      <c r="A19" t="s">
        <v>17</v>
      </c>
      <c r="B19" s="16">
        <v>9</v>
      </c>
      <c r="C19" t="s">
        <v>17</v>
      </c>
      <c r="D19" t="s">
        <v>17</v>
      </c>
      <c r="F19" t="s">
        <v>17</v>
      </c>
      <c r="G19">
        <v>9</v>
      </c>
      <c r="H19" t="s">
        <v>17</v>
      </c>
      <c r="I19" t="s">
        <v>17</v>
      </c>
      <c r="K19" t="s">
        <v>17</v>
      </c>
      <c r="L19">
        <v>9</v>
      </c>
      <c r="M19" t="s">
        <v>17</v>
      </c>
      <c r="N19" t="s">
        <v>17</v>
      </c>
    </row>
    <row r="20" spans="1:14" x14ac:dyDescent="0.25">
      <c r="A20" t="s">
        <v>26</v>
      </c>
      <c r="B20" s="16">
        <v>11</v>
      </c>
      <c r="C20" t="s">
        <v>26</v>
      </c>
      <c r="D20" t="s">
        <v>26</v>
      </c>
      <c r="F20" t="s">
        <v>26</v>
      </c>
      <c r="G20">
        <v>11</v>
      </c>
      <c r="H20" t="s">
        <v>26</v>
      </c>
      <c r="I20" t="s">
        <v>26</v>
      </c>
      <c r="K20" t="s">
        <v>26</v>
      </c>
      <c r="L20">
        <v>11</v>
      </c>
      <c r="M20" t="s">
        <v>26</v>
      </c>
      <c r="N20" t="s">
        <v>26</v>
      </c>
    </row>
    <row r="21" spans="1:14" x14ac:dyDescent="0.25">
      <c r="A21" t="s">
        <v>27</v>
      </c>
      <c r="B21" s="16">
        <v>13</v>
      </c>
      <c r="C21" t="s">
        <v>27</v>
      </c>
      <c r="D21" t="s">
        <v>27</v>
      </c>
      <c r="F21" t="s">
        <v>27</v>
      </c>
      <c r="G21">
        <v>13</v>
      </c>
      <c r="H21" t="s">
        <v>27</v>
      </c>
      <c r="I21" t="s">
        <v>27</v>
      </c>
      <c r="K21" t="s">
        <v>27</v>
      </c>
      <c r="L21">
        <v>13</v>
      </c>
      <c r="M21" t="s">
        <v>27</v>
      </c>
      <c r="N21" t="s">
        <v>27</v>
      </c>
    </row>
    <row r="22" spans="1:14" x14ac:dyDescent="0.25">
      <c r="A22" t="s">
        <v>28</v>
      </c>
      <c r="B22" s="16">
        <v>15</v>
      </c>
      <c r="C22" t="s">
        <v>28</v>
      </c>
      <c r="D22" t="s">
        <v>28</v>
      </c>
      <c r="F22" t="s">
        <v>28</v>
      </c>
      <c r="G22">
        <v>15</v>
      </c>
      <c r="H22" t="s">
        <v>28</v>
      </c>
      <c r="I22" t="s">
        <v>28</v>
      </c>
      <c r="K22" t="s">
        <v>28</v>
      </c>
      <c r="L22">
        <v>15</v>
      </c>
      <c r="M22" t="s">
        <v>28</v>
      </c>
      <c r="N22" t="s">
        <v>28</v>
      </c>
    </row>
    <row r="23" spans="1:14" x14ac:dyDescent="0.25">
      <c r="A23" t="s">
        <v>61</v>
      </c>
      <c r="B23" s="16">
        <v>17</v>
      </c>
      <c r="C23" t="s">
        <v>61</v>
      </c>
      <c r="D23" t="s">
        <v>61</v>
      </c>
      <c r="F23" t="s">
        <v>61</v>
      </c>
      <c r="G23">
        <v>17</v>
      </c>
      <c r="H23" t="s">
        <v>61</v>
      </c>
      <c r="I23" t="s">
        <v>61</v>
      </c>
      <c r="K23" t="s">
        <v>61</v>
      </c>
      <c r="L23">
        <v>17</v>
      </c>
      <c r="M23" t="s">
        <v>61</v>
      </c>
      <c r="N23" t="s">
        <v>61</v>
      </c>
    </row>
    <row r="24" spans="1:14" x14ac:dyDescent="0.25">
      <c r="A24" t="s">
        <v>31</v>
      </c>
      <c r="B24" s="16">
        <v>19</v>
      </c>
      <c r="C24" t="s">
        <v>31</v>
      </c>
      <c r="D24" t="s">
        <v>31</v>
      </c>
      <c r="F24" t="s">
        <v>31</v>
      </c>
      <c r="G24">
        <v>19</v>
      </c>
      <c r="H24" t="s">
        <v>31</v>
      </c>
      <c r="I24" t="s">
        <v>31</v>
      </c>
      <c r="K24" t="s">
        <v>31</v>
      </c>
      <c r="L24">
        <v>19</v>
      </c>
      <c r="M24" t="s">
        <v>31</v>
      </c>
      <c r="N24" t="s">
        <v>31</v>
      </c>
    </row>
    <row r="25" spans="1:14" x14ac:dyDescent="0.25">
      <c r="A25" t="s">
        <v>62</v>
      </c>
      <c r="B25" s="16">
        <v>21</v>
      </c>
      <c r="C25" t="s">
        <v>62</v>
      </c>
      <c r="D25" t="s">
        <v>62</v>
      </c>
      <c r="F25" t="s">
        <v>62</v>
      </c>
      <c r="G25">
        <v>21</v>
      </c>
      <c r="H25" t="s">
        <v>62</v>
      </c>
      <c r="I25" t="s">
        <v>62</v>
      </c>
      <c r="K25" t="s">
        <v>62</v>
      </c>
      <c r="L25">
        <v>21</v>
      </c>
      <c r="M25" t="s">
        <v>62</v>
      </c>
      <c r="N25" t="s">
        <v>62</v>
      </c>
    </row>
    <row r="26" spans="1:14" x14ac:dyDescent="0.25">
      <c r="A26" t="s">
        <v>63</v>
      </c>
      <c r="B26" s="16">
        <v>23</v>
      </c>
      <c r="C26" t="s">
        <v>63</v>
      </c>
      <c r="D26" t="s">
        <v>63</v>
      </c>
      <c r="F26" t="s">
        <v>63</v>
      </c>
      <c r="G26">
        <v>23</v>
      </c>
      <c r="H26" t="s">
        <v>63</v>
      </c>
      <c r="I26" t="s">
        <v>63</v>
      </c>
      <c r="K26" t="s">
        <v>63</v>
      </c>
      <c r="L26">
        <v>23</v>
      </c>
      <c r="M26" t="s">
        <v>63</v>
      </c>
      <c r="N26" t="s">
        <v>63</v>
      </c>
    </row>
    <row r="27" spans="1:14" x14ac:dyDescent="0.25">
      <c r="A27" t="s">
        <v>64</v>
      </c>
      <c r="B27" s="16">
        <v>25</v>
      </c>
      <c r="C27" t="s">
        <v>64</v>
      </c>
      <c r="D27" t="s">
        <v>64</v>
      </c>
      <c r="F27" t="s">
        <v>64</v>
      </c>
      <c r="G27">
        <v>25</v>
      </c>
      <c r="H27" t="s">
        <v>64</v>
      </c>
      <c r="I27" t="s">
        <v>64</v>
      </c>
      <c r="K27" t="s">
        <v>64</v>
      </c>
      <c r="L27">
        <v>25</v>
      </c>
      <c r="M27" t="s">
        <v>64</v>
      </c>
      <c r="N27" t="s">
        <v>64</v>
      </c>
    </row>
    <row r="29" spans="1:14" x14ac:dyDescent="0.25">
      <c r="A29" t="s">
        <v>59</v>
      </c>
      <c r="B29" t="s">
        <v>56</v>
      </c>
      <c r="C29" t="s">
        <v>58</v>
      </c>
      <c r="D29" t="s">
        <v>49</v>
      </c>
      <c r="F29" t="s">
        <v>80</v>
      </c>
      <c r="G29" t="s">
        <v>56</v>
      </c>
      <c r="H29" t="s">
        <v>58</v>
      </c>
      <c r="I29" t="s">
        <v>49</v>
      </c>
      <c r="K29" t="s">
        <v>80</v>
      </c>
      <c r="L29" t="s">
        <v>56</v>
      </c>
      <c r="M29" t="s">
        <v>58</v>
      </c>
      <c r="N29" t="s">
        <v>49</v>
      </c>
    </row>
    <row r="30" spans="1:14" x14ac:dyDescent="0.25">
      <c r="A30" t="s">
        <v>65</v>
      </c>
      <c r="B30" t="s">
        <v>69</v>
      </c>
      <c r="C30" t="s">
        <v>69</v>
      </c>
      <c r="F30" t="s">
        <v>66</v>
      </c>
      <c r="G30" t="s">
        <v>64</v>
      </c>
      <c r="H30" t="s">
        <v>64</v>
      </c>
      <c r="I30" t="s">
        <v>64</v>
      </c>
      <c r="K30" t="s">
        <v>92</v>
      </c>
      <c r="L30" t="s">
        <v>18</v>
      </c>
      <c r="M30" t="s">
        <v>18</v>
      </c>
      <c r="N30" t="s">
        <v>18</v>
      </c>
    </row>
    <row r="31" spans="1:14" x14ac:dyDescent="0.25">
      <c r="A31" t="s">
        <v>66</v>
      </c>
      <c r="B31" t="s">
        <v>25</v>
      </c>
      <c r="C31" t="s">
        <v>25</v>
      </c>
      <c r="D31" t="s">
        <v>25</v>
      </c>
      <c r="F31" t="s">
        <v>82</v>
      </c>
      <c r="G31" t="s">
        <v>24</v>
      </c>
      <c r="H31" t="s">
        <v>24</v>
      </c>
      <c r="I31" t="s">
        <v>24</v>
      </c>
      <c r="K31" t="s">
        <v>67</v>
      </c>
      <c r="L31" t="s">
        <v>20</v>
      </c>
      <c r="M31" t="s">
        <v>20</v>
      </c>
    </row>
    <row r="32" spans="1:14" x14ac:dyDescent="0.25">
      <c r="A32" t="s">
        <v>67</v>
      </c>
      <c r="B32" t="s">
        <v>31</v>
      </c>
      <c r="C32" t="s">
        <v>31</v>
      </c>
      <c r="D32" t="s">
        <v>31</v>
      </c>
      <c r="F32" t="s">
        <v>83</v>
      </c>
      <c r="G32" t="s">
        <v>84</v>
      </c>
    </row>
    <row r="33" spans="1:14" x14ac:dyDescent="0.25">
      <c r="A33" t="s">
        <v>68</v>
      </c>
      <c r="B33" t="s">
        <v>70</v>
      </c>
    </row>
    <row r="35" spans="1:14" x14ac:dyDescent="0.25">
      <c r="A35" t="s">
        <v>71</v>
      </c>
      <c r="B35" t="s">
        <v>56</v>
      </c>
      <c r="C35" t="s">
        <v>58</v>
      </c>
      <c r="D35" t="s">
        <v>49</v>
      </c>
      <c r="F35" t="s">
        <v>71</v>
      </c>
      <c r="G35" t="s">
        <v>56</v>
      </c>
      <c r="H35" t="s">
        <v>58</v>
      </c>
      <c r="I35" t="s">
        <v>49</v>
      </c>
      <c r="K35" t="s">
        <v>71</v>
      </c>
      <c r="L35" t="s">
        <v>56</v>
      </c>
      <c r="M35" t="s">
        <v>58</v>
      </c>
      <c r="N35" t="s">
        <v>49</v>
      </c>
    </row>
    <row r="36" spans="1:14" x14ac:dyDescent="0.25">
      <c r="A36" t="s">
        <v>73</v>
      </c>
      <c r="B36" t="s">
        <v>17</v>
      </c>
      <c r="C36" t="s">
        <v>17</v>
      </c>
      <c r="D36" t="s">
        <v>17</v>
      </c>
      <c r="F36" t="s">
        <v>85</v>
      </c>
      <c r="G36" t="s">
        <v>30</v>
      </c>
      <c r="H36" t="s">
        <v>30</v>
      </c>
      <c r="I36" t="s">
        <v>24</v>
      </c>
      <c r="K36" t="s">
        <v>93</v>
      </c>
      <c r="L36" t="s">
        <v>30</v>
      </c>
      <c r="M36" t="s">
        <v>30</v>
      </c>
      <c r="N36" t="s">
        <v>24</v>
      </c>
    </row>
    <row r="37" spans="1:14" x14ac:dyDescent="0.25">
      <c r="A37" t="s">
        <v>72</v>
      </c>
      <c r="B37" t="s">
        <v>26</v>
      </c>
      <c r="C37" t="s">
        <v>26</v>
      </c>
      <c r="D37" t="s">
        <v>26</v>
      </c>
      <c r="F37" t="s">
        <v>86</v>
      </c>
      <c r="G37" t="s">
        <v>63</v>
      </c>
      <c r="H37" t="s">
        <v>63</v>
      </c>
      <c r="I37" t="s">
        <v>24</v>
      </c>
      <c r="K37" t="s">
        <v>94</v>
      </c>
      <c r="L37" t="s">
        <v>17</v>
      </c>
      <c r="M37" t="s">
        <v>17</v>
      </c>
      <c r="N37" t="s">
        <v>17</v>
      </c>
    </row>
    <row r="38" spans="1:14" x14ac:dyDescent="0.25">
      <c r="A38" t="s">
        <v>74</v>
      </c>
      <c r="B38" t="s">
        <v>20</v>
      </c>
      <c r="C38" t="s">
        <v>20</v>
      </c>
      <c r="D38" t="s">
        <v>31</v>
      </c>
      <c r="F38" t="s">
        <v>87</v>
      </c>
      <c r="G38" t="s">
        <v>17</v>
      </c>
      <c r="H38" t="s">
        <v>17</v>
      </c>
      <c r="I38" t="s">
        <v>17</v>
      </c>
      <c r="K38" t="s">
        <v>95</v>
      </c>
      <c r="L38" t="s">
        <v>20</v>
      </c>
      <c r="M38" t="s">
        <v>20</v>
      </c>
      <c r="N38" t="s">
        <v>31</v>
      </c>
    </row>
    <row r="39" spans="1:14" x14ac:dyDescent="0.25">
      <c r="A39" t="s">
        <v>75</v>
      </c>
      <c r="B39" t="s">
        <v>30</v>
      </c>
      <c r="C39" t="s">
        <v>30</v>
      </c>
      <c r="D39" t="s">
        <v>24</v>
      </c>
      <c r="F39" t="s">
        <v>88</v>
      </c>
      <c r="G39" t="s">
        <v>20</v>
      </c>
      <c r="H39" t="s">
        <v>20</v>
      </c>
      <c r="I39" t="s">
        <v>31</v>
      </c>
      <c r="K39" t="s">
        <v>96</v>
      </c>
      <c r="L39" t="s">
        <v>26</v>
      </c>
      <c r="M39" t="s">
        <v>26</v>
      </c>
      <c r="N39" t="s">
        <v>26</v>
      </c>
    </row>
    <row r="40" spans="1:14" x14ac:dyDescent="0.25">
      <c r="F40" t="s">
        <v>89</v>
      </c>
      <c r="G40" t="s">
        <v>64</v>
      </c>
      <c r="H40" t="s">
        <v>64</v>
      </c>
      <c r="I40" t="s">
        <v>31</v>
      </c>
    </row>
    <row r="41" spans="1:14" x14ac:dyDescent="0.25">
      <c r="F41" t="s">
        <v>90</v>
      </c>
      <c r="G41" t="s">
        <v>26</v>
      </c>
      <c r="H41" t="s">
        <v>26</v>
      </c>
      <c r="I41" t="s">
        <v>26</v>
      </c>
    </row>
  </sheetData>
  <mergeCells count="3">
    <mergeCell ref="K10:N10"/>
    <mergeCell ref="A10:D10"/>
    <mergeCell ref="F10:I10"/>
  </mergeCells>
  <pageMargins left="0.7" right="0.7" top="0.75" bottom="0.75" header="0.3" footer="0.3"/>
  <pageSetup paperSize="9" orientation="portrait" r:id="rId1"/>
  <tableParts count="12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6"/>
  <sheetViews>
    <sheetView tabSelected="1" workbookViewId="0">
      <selection activeCell="B4" sqref="B4"/>
    </sheetView>
  </sheetViews>
  <sheetFormatPr baseColWidth="10" defaultRowHeight="15" x14ac:dyDescent="0.25"/>
  <cols>
    <col min="2" max="2" width="12.42578125" bestFit="1" customWidth="1"/>
    <col min="3" max="3" width="25.28515625" customWidth="1"/>
    <col min="4" max="4" width="18.85546875" customWidth="1"/>
    <col min="5" max="5" width="16.85546875" customWidth="1"/>
  </cols>
  <sheetData>
    <row r="1" spans="1:4" x14ac:dyDescent="0.25">
      <c r="A1" t="s">
        <v>50</v>
      </c>
      <c r="B1" t="s">
        <v>51</v>
      </c>
      <c r="C1" t="s">
        <v>32</v>
      </c>
      <c r="D1" t="s">
        <v>33</v>
      </c>
    </row>
    <row r="2" spans="1:4" x14ac:dyDescent="0.25">
      <c r="A2" s="28" t="s">
        <v>77</v>
      </c>
      <c r="B2" s="29" t="s">
        <v>14</v>
      </c>
      <c r="C2" s="14" t="str">
        <f>IF($B2=ref_INOX_MIL[[#This Row],[ref_fab]],ref_INOX_MIL[[#This Row],[ref norme MIL-DTL-38999]],IF(B2=ref_alu_MIL18[[#This Row],[ref_fab]],ref_alu_MIL18[[#This Row],[ref norme MIL-DTL-38999]],ref_COMPOSITE_MIL1821[[#This Row],[ref norme MIL-DTL-38999]]))</f>
        <v>D38999/24FC35SN</v>
      </c>
      <c r="D2" s="14" t="str">
        <f>IF(Tableau_entrée[[#This Row],[ref fab]]=ref_INOX_EN3645[[#This Row],[ref_fab]],ref_INOX_EN3645[[#This Row],[ref norme EN3645]],IF(Tableau_entrée[[#This Row],[ref fab]]=ref_alu_EN364520[[#This Row],[ref_fab]],ref_alu_EN364520[[#This Row],[ref norme EN3645]],ref_COMPOSITE_EN36452022[[#This Row],[ref norme EN3645]]))</f>
        <v>EN3645F7CN35FN</v>
      </c>
    </row>
    <row r="3" spans="1:4" x14ac:dyDescent="0.25">
      <c r="A3" s="28" t="s">
        <v>77</v>
      </c>
      <c r="B3" s="28" t="s">
        <v>9</v>
      </c>
      <c r="C3" t="str">
        <f>IF($B3=ref_INOX_MIL[[#This Row],[ref_fab]],ref_INOX_MIL[[#This Row],[ref norme MIL-DTL-38999]],IF(B3=ref_alu_MIL18[[#This Row],[ref_fab]],ref_alu_MIL18[[#This Row],[ref norme MIL-DTL-38999]],ref_COMPOSITE_MIL1821[[#This Row],[ref norme MIL-DTL-38999]]))</f>
        <v>D38999/24WC35SN</v>
      </c>
      <c r="D3" t="str">
        <f>IF(Tableau_entrée[[#This Row],[ref fab]]=ref_INOX_EN3645[[#This Row],[ref_fab]],ref_INOX_EN3645[[#This Row],[ref norme EN3645]],IF(Tableau_entrée[[#This Row],[ref fab]]=ref_alu_EN364520[[#This Row],[ref_fab]],ref_alu_EN364520[[#This Row],[ref norme EN3645]],ref_COMPOSITE_EN36452022[[#This Row],[ref norme EN3645]]))</f>
        <v>EN3645W7CN35F</v>
      </c>
    </row>
    <row r="4" spans="1:4" x14ac:dyDescent="0.25">
      <c r="A4" s="28" t="s">
        <v>100</v>
      </c>
      <c r="B4" s="28" t="s">
        <v>19</v>
      </c>
      <c r="C4" t="str">
        <f>IF($B4=ref_INOX_MIL[[#This Row],[ref_fab]],ref_INOX_MIL[[#This Row],[ref norme MIL-DTL-38999]],IF(B4=ref_alu_MIL18[[#This Row],[ref_fab]],ref_alu_MIL18[[#This Row],[ref norme MIL-DTL-38999]],ref_COMPOSITE_MIL1821[[#This Row],[ref norme MIL-DTL-38999]]))</f>
        <v>D38999/26KA35SN</v>
      </c>
      <c r="D4" t="str">
        <f>IF(Tableau_entrée[[#This Row],[ref fab]]=ref_INOX_EN3645[[#This Row],[ref_fab]],ref_INOX_EN3645[[#This Row],[ref norme EN3645]],IF(Tableau_entrée[[#This Row],[ref fab]]=ref_alu_EN364520[[#This Row],[ref_fab]],ref_alu_EN364520[[#This Row],[ref norme EN3645]],ref_COMPOSITE_EN36452022[[#This Row],[ref norme EN3645]]))</f>
        <v>EN3645K6AN35F</v>
      </c>
    </row>
    <row r="5" spans="1:4" x14ac:dyDescent="0.25">
      <c r="A5" s="28" t="s">
        <v>100</v>
      </c>
      <c r="B5" s="28" t="s">
        <v>2</v>
      </c>
      <c r="C5" t="str">
        <f>IF($B5=ref_INOX_MIL[[#This Row],[ref_fab]],ref_INOX_MIL[[#This Row],[ref norme MIL-DTL-38999]],IF(B5=ref_alu_MIL18[[#This Row],[ref_fab]],ref_alu_MIL18[[#This Row],[ref norme MIL-DTL-38999]],ref_COMPOSITE_MIL1821[[#This Row],[ref norme MIL-DTL-38999]]))</f>
        <v>D38999/24KB35PN</v>
      </c>
      <c r="D5" t="str">
        <f>IF(Tableau_entrée[[#This Row],[ref fab]]=ref_INOX_EN3645[[#This Row],[ref_fab]],ref_INOX_EN3645[[#This Row],[ref norme EN3645]],IF(Tableau_entrée[[#This Row],[ref fab]]=ref_alu_EN364520[[#This Row],[ref_fab]],ref_alu_EN364520[[#This Row],[ref norme EN3645]],ref_COMPOSITE_EN36452022[[#This Row],[ref norme EN3645]]))</f>
        <v>EN3645K7BN35M</v>
      </c>
    </row>
    <row r="6" spans="1:4" x14ac:dyDescent="0.25">
      <c r="A6" s="28" t="s">
        <v>77</v>
      </c>
      <c r="B6" s="28" t="s">
        <v>12</v>
      </c>
      <c r="C6" t="str">
        <f>IF($B6=ref_INOX_MIL[[#This Row],[ref_fab]],ref_INOX_MIL[[#This Row],[ref norme MIL-DTL-38999]],IF(B6=ref_alu_MIL18[[#This Row],[ref_fab]],ref_alu_MIL18[[#This Row],[ref norme MIL-DTL-38999]],ref_COMPOSITE_MIL1821[[#This Row],[ref norme MIL-DTL-38999]]))</f>
        <v>D38999/26FA35SN</v>
      </c>
      <c r="D6" t="str">
        <f>IF(Tableau_entrée[[#This Row],[ref fab]]=ref_INOX_EN3645[[#This Row],[ref_fab]],ref_INOX_EN3645[[#This Row],[ref norme EN3645]],IF(Tableau_entrée[[#This Row],[ref fab]]=ref_alu_EN364520[[#This Row],[ref_fab]],ref_alu_EN364520[[#This Row],[ref norme EN3645]],ref_COMPOSITE_EN36452022[[#This Row],[ref norme EN3645]]))</f>
        <v>EN3645F6AN35F</v>
      </c>
    </row>
    <row r="36" spans="1:9" x14ac:dyDescent="0.25">
      <c r="A36" s="19"/>
      <c r="B36" s="19"/>
      <c r="C36" s="19"/>
      <c r="D36" s="19"/>
      <c r="E36" s="19"/>
      <c r="F36" s="19"/>
      <c r="G36" s="19"/>
      <c r="H36" s="19"/>
      <c r="I36" s="19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donnée!$B$2:$B$4</xm:f>
          </x14:formula1>
          <xm:sqref>A2:A35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8"/>
  <sheetViews>
    <sheetView zoomScale="70" zoomScaleNormal="70" workbookViewId="0">
      <selection activeCell="F4" sqref="F4"/>
    </sheetView>
  </sheetViews>
  <sheetFormatPr baseColWidth="10" defaultRowHeight="15" x14ac:dyDescent="0.25"/>
  <cols>
    <col min="4" max="4" width="15.42578125" bestFit="1" customWidth="1"/>
    <col min="5" max="5" width="25.28515625" customWidth="1"/>
    <col min="6" max="6" width="17.28515625" customWidth="1"/>
    <col min="7" max="7" width="14.5703125" customWidth="1"/>
    <col min="8" max="8" width="15.85546875" customWidth="1"/>
    <col min="9" max="9" width="14" customWidth="1"/>
    <col min="10" max="10" width="20" customWidth="1"/>
    <col min="11" max="11" width="19.140625" customWidth="1"/>
    <col min="14" max="14" width="15.42578125" bestFit="1" customWidth="1"/>
    <col min="15" max="15" width="18.85546875" customWidth="1"/>
    <col min="16" max="16" width="13.7109375" customWidth="1"/>
    <col min="17" max="17" width="16.42578125" customWidth="1"/>
    <col min="18" max="18" width="15" customWidth="1"/>
    <col min="19" max="19" width="14.7109375" customWidth="1"/>
    <col min="20" max="20" width="22" customWidth="1"/>
    <col min="21" max="21" width="19.140625" customWidth="1"/>
    <col min="22" max="22" width="18.28515625" customWidth="1"/>
  </cols>
  <sheetData>
    <row r="1" spans="2:22" x14ac:dyDescent="0.25">
      <c r="C1" s="38" t="s">
        <v>32</v>
      </c>
      <c r="D1" t="s">
        <v>76</v>
      </c>
      <c r="E1" s="13" t="s">
        <v>32</v>
      </c>
      <c r="F1" t="s">
        <v>34</v>
      </c>
      <c r="G1" t="s">
        <v>35</v>
      </c>
      <c r="H1" t="s">
        <v>36</v>
      </c>
      <c r="I1" t="s">
        <v>37</v>
      </c>
      <c r="J1" t="s">
        <v>38</v>
      </c>
      <c r="K1" t="s">
        <v>39</v>
      </c>
      <c r="M1" s="38" t="s">
        <v>33</v>
      </c>
      <c r="N1" t="s">
        <v>76</v>
      </c>
      <c r="O1" t="s">
        <v>33</v>
      </c>
      <c r="P1" t="s">
        <v>40</v>
      </c>
      <c r="Q1" t="s">
        <v>41</v>
      </c>
      <c r="R1" t="s">
        <v>42</v>
      </c>
      <c r="S1" t="s">
        <v>43</v>
      </c>
      <c r="T1" t="s">
        <v>44</v>
      </c>
      <c r="U1" t="s">
        <v>45</v>
      </c>
      <c r="V1" t="s">
        <v>46</v>
      </c>
    </row>
    <row r="2" spans="2:22" x14ac:dyDescent="0.25">
      <c r="C2" s="38"/>
      <c r="D2" t="str">
        <f>IF(OR(entrée!A2="alu",entrée!A2="aluminium"),entrée!B2,"")</f>
        <v>8D7-13F35SN</v>
      </c>
      <c r="E2" t="str">
        <f t="shared" ref="E2:E12" si="0">"D38999/"&amp;CONCATENATE(F2,G2,H2,I2,J2,K2)</f>
        <v>D38999/24FC35SN</v>
      </c>
      <c r="F2">
        <f>IFERROR(INDEX(shell_style_ALU[#All],B26,3),"")</f>
        <v>24</v>
      </c>
      <c r="G2" t="str">
        <f>IFERROR(INDEX(Plating_ALU[#All],D26,3),"")</f>
        <v>F</v>
      </c>
      <c r="H2" t="str">
        <f>IFERROR(INDEX(shell_size_ALU[#All],F26,3),"")</f>
        <v>C</v>
      </c>
      <c r="I2" t="str">
        <f t="shared" ref="I2:I12" si="1">MID(D2,8,2)</f>
        <v>35</v>
      </c>
      <c r="J2" t="str">
        <f>IFERROR(INDEX(contact_type_ALU[#All],H26,3),"")</f>
        <v>S</v>
      </c>
      <c r="K2" t="str">
        <f t="shared" ref="K2:K12" si="2">MID(D2,11,1)</f>
        <v>N</v>
      </c>
      <c r="M2" s="38"/>
      <c r="N2" t="str">
        <f>IF(entrée!A2="ALUMINIUM",entrée!B2,"")</f>
        <v>8D7-13F35SN</v>
      </c>
      <c r="O2" t="str">
        <f>"EN3645"&amp;CONCATENATE(ref_alu_EN364520[[#This Row],[PLATING EN]],ref_alu_EN364520[[#This Row],[SHELL STYLE EN]],ref_alu_EN364520[[#This Row],[SHELL SIZE EN]],ref_alu_EN364520[[#This Row],[GROUNDING]],ref_alu_EN364520[[#This Row],[CONTACT LAYOUT EN]],ref_alu_EN364520[[#This Row],[CONTACT TYPE EN]],ref_alu_EN364520[[#This Row],[ORIENTATION EN]])</f>
        <v>EN3645F7CN35FN</v>
      </c>
      <c r="P2" t="str">
        <f>IFERROR(INDEX(Plating_ALU[#All],P26,4),"")</f>
        <v>F</v>
      </c>
      <c r="Q2">
        <f>IFERROR(INDEX(shell_style_ALU[#All],N26,4),"")</f>
        <v>7</v>
      </c>
      <c r="R2" t="str">
        <f>IFERROR(INDEX(shell_size_ALU[#All],R26,4),"")</f>
        <v>C</v>
      </c>
      <c r="S2" s="1" t="s">
        <v>21</v>
      </c>
      <c r="T2" t="str">
        <f>IFERROR(MID(ref_alu_EN364520[[#This Row],[ref_fab]],8,2),"")</f>
        <v>35</v>
      </c>
      <c r="U2" t="str">
        <f>IFERROR(INDEX(contact_type_ALU[#All],T26,4),"")</f>
        <v>F</v>
      </c>
      <c r="V2" t="str">
        <f>IFERROR(MID(ref_alu_EN364520[[#This Row],[ref_fab]],11,1),"")</f>
        <v>N</v>
      </c>
    </row>
    <row r="3" spans="2:22" x14ac:dyDescent="0.25">
      <c r="C3" s="38"/>
      <c r="D3" t="str">
        <f>IF(OR(entrée!A3="alu",entrée!A3="aluminium"),entrée!B3,"")</f>
        <v>8D7-13W35SN</v>
      </c>
      <c r="E3" t="str">
        <f t="shared" si="0"/>
        <v>D38999/24WC35SN</v>
      </c>
      <c r="F3">
        <f>IFERROR(INDEX(shell_style_ALU[#All],B27,3),"")</f>
        <v>24</v>
      </c>
      <c r="G3" t="str">
        <f>IFERROR(INDEX(Plating_ALU[#All],D27,3),"")</f>
        <v>W</v>
      </c>
      <c r="H3" t="str">
        <f>IFERROR(INDEX(shell_size_ALU[#All],F27,3),"")</f>
        <v>C</v>
      </c>
      <c r="I3" t="str">
        <f t="shared" si="1"/>
        <v>35</v>
      </c>
      <c r="J3" t="str">
        <f>IFERROR(INDEX(contact_type_ALU[#All],H27,3),"")</f>
        <v>S</v>
      </c>
      <c r="K3" t="str">
        <f t="shared" si="2"/>
        <v>N</v>
      </c>
      <c r="M3" s="38"/>
      <c r="N3" t="str">
        <f>IF(entrée!A3="ALUMINIUM",entrée!B3,"")</f>
        <v>8D7-13W35SN</v>
      </c>
      <c r="O3" t="str">
        <f>"EN3645"&amp;CONCATENATE(ref_alu_EN364520[[#This Row],[PLATING EN]],ref_alu_EN364520[[#This Row],[SHELL STYLE EN]],ref_alu_EN364520[[#This Row],[SHELL SIZE EN]],ref_alu_EN364520[[#This Row],[GROUNDING]],ref_alu_EN364520[[#This Row],[CONTACT LAYOUT EN]],ref_alu_EN364520[[#This Row],[CONTACT TYPE EN]])</f>
        <v>EN3645W7CN35F</v>
      </c>
      <c r="P3" t="str">
        <f>IFERROR(INDEX(Plating_ALU[#All],P27,4),"")</f>
        <v>W</v>
      </c>
      <c r="Q3">
        <f>IFERROR(INDEX(shell_style_ALU[#All],N27,4),"")</f>
        <v>7</v>
      </c>
      <c r="R3" t="str">
        <f>IFERROR(INDEX(shell_size_ALU[#All],R27,4),"")</f>
        <v>C</v>
      </c>
      <c r="S3" s="1" t="s">
        <v>21</v>
      </c>
      <c r="T3" t="str">
        <f>IFERROR(MID(ref_alu_EN364520[[#This Row],[ref_fab]],8,2),"")</f>
        <v>35</v>
      </c>
      <c r="U3" t="str">
        <f>IFERROR(INDEX(contact_type_ALU[#All],T27,4),"")</f>
        <v>F</v>
      </c>
      <c r="V3" t="str">
        <f>IFERROR(MID(ref_alu_EN364520[[#This Row],[ref_fab]],11,1),"")</f>
        <v>N</v>
      </c>
    </row>
    <row r="4" spans="2:22" x14ac:dyDescent="0.25">
      <c r="C4" s="38"/>
      <c r="D4" t="str">
        <f>IF(OR(entrée!A4="alu",entrée!A4="aluminium"),entrée!B4,"")</f>
        <v/>
      </c>
      <c r="E4" t="str">
        <f t="shared" si="0"/>
        <v>D38999/</v>
      </c>
      <c r="F4" t="str">
        <f>IFERROR(INDEX(shell_style_ALU[#All],B28,3),"")</f>
        <v/>
      </c>
      <c r="G4" t="str">
        <f>IFERROR(INDEX(Plating_ALU[#All],D28,3),"")</f>
        <v/>
      </c>
      <c r="H4" t="str">
        <f>IFERROR(INDEX(shell_size_ALU[#All],F28,3),"")</f>
        <v/>
      </c>
      <c r="I4" t="str">
        <f t="shared" si="1"/>
        <v/>
      </c>
      <c r="J4" t="str">
        <f>IFERROR(INDEX(contact_type_ALU[#All],H28,3),"")</f>
        <v/>
      </c>
      <c r="K4" t="str">
        <f t="shared" si="2"/>
        <v/>
      </c>
      <c r="M4" s="38"/>
      <c r="N4" t="str">
        <f>IF(entrée!A4="ALUMINIUM",entrée!B4,"")</f>
        <v/>
      </c>
      <c r="O4" t="str">
        <f>"EN3645"&amp;CONCATENATE(ref_alu_EN364520[[#This Row],[PLATING EN]],ref_alu_EN364520[[#This Row],[SHELL STYLE EN]],ref_alu_EN364520[[#This Row],[SHELL SIZE EN]],ref_alu_EN364520[[#This Row],[GROUNDING]],ref_alu_EN364520[[#This Row],[CONTACT LAYOUT EN]],ref_alu_EN364520[[#This Row],[CONTACT TYPE EN]])</f>
        <v>EN3645N</v>
      </c>
      <c r="P4" t="str">
        <f>IFERROR(INDEX(Plating_ALU[#All],P28,4),"")</f>
        <v/>
      </c>
      <c r="Q4" t="str">
        <f>IFERROR(INDEX(shell_style_ALU[#All],N28,4),"")</f>
        <v/>
      </c>
      <c r="R4" t="str">
        <f>IFERROR(INDEX(shell_size_ALU[#All],R28,4),"")</f>
        <v/>
      </c>
      <c r="S4" s="1" t="s">
        <v>21</v>
      </c>
      <c r="T4" t="str">
        <f>IFERROR(MID(ref_alu_EN364520[[#This Row],[ref_fab]],8,2),"")</f>
        <v/>
      </c>
      <c r="U4" t="str">
        <f>IFERROR(INDEX(contact_type_ALU[#All],T28,4),"")</f>
        <v/>
      </c>
      <c r="V4" t="str">
        <f>IFERROR(MID(ref_alu_EN364520[[#This Row],[ref_fab]],11,1),"")</f>
        <v/>
      </c>
    </row>
    <row r="5" spans="2:22" x14ac:dyDescent="0.25">
      <c r="C5" s="38"/>
      <c r="D5" t="str">
        <f>IF(OR(entrée!A5="alu",entrée!A5="aluminium"),entrée!B5,"")</f>
        <v/>
      </c>
      <c r="E5" t="str">
        <f t="shared" si="0"/>
        <v>D38999/</v>
      </c>
      <c r="F5" t="str">
        <f>IFERROR(INDEX(shell_style_ALU[#All],B29,3),"")</f>
        <v/>
      </c>
      <c r="G5" t="str">
        <f>IFERROR(INDEX(Plating_ALU[#All],D29,3),"")</f>
        <v/>
      </c>
      <c r="H5" t="str">
        <f>IFERROR(INDEX(shell_size_ALU[#All],F29,3),"")</f>
        <v/>
      </c>
      <c r="I5" t="str">
        <f t="shared" si="1"/>
        <v/>
      </c>
      <c r="J5" t="str">
        <f>IFERROR(INDEX(contact_type_ALU[#All],H29,3),"")</f>
        <v/>
      </c>
      <c r="K5" t="str">
        <f t="shared" si="2"/>
        <v/>
      </c>
      <c r="M5" s="38"/>
      <c r="N5" t="str">
        <f>IF(entrée!A5="ALUMINIUM",entrée!B5,"")</f>
        <v/>
      </c>
      <c r="O5" t="str">
        <f>"EN3645"&amp;CONCATENATE(ref_alu_EN364520[[#This Row],[PLATING EN]],ref_alu_EN364520[[#This Row],[SHELL STYLE EN]],ref_alu_EN364520[[#This Row],[SHELL SIZE EN]],ref_alu_EN364520[[#This Row],[GROUNDING]],ref_alu_EN364520[[#This Row],[CONTACT LAYOUT EN]],ref_alu_EN364520[[#This Row],[CONTACT TYPE EN]])</f>
        <v>EN3645N</v>
      </c>
      <c r="P5" t="str">
        <f>IFERROR(INDEX(Plating_ALU[#All],P29,4),"")</f>
        <v/>
      </c>
      <c r="Q5" t="str">
        <f>IFERROR(INDEX(shell_style_ALU[#All],N29,4),"")</f>
        <v/>
      </c>
      <c r="R5" t="str">
        <f>IFERROR(INDEX(shell_size_ALU[#All],R29,4),"")</f>
        <v/>
      </c>
      <c r="S5" s="1" t="s">
        <v>21</v>
      </c>
      <c r="T5" t="str">
        <f>IFERROR(MID(ref_alu_EN364520[[#This Row],[ref_fab]],8,2),"")</f>
        <v/>
      </c>
      <c r="U5" t="str">
        <f>IFERROR(INDEX(contact_type_ALU[#All],T29,4),"")</f>
        <v/>
      </c>
      <c r="V5" t="str">
        <f>IFERROR(MID(ref_alu_EN364520[[#This Row],[ref_fab]],11,1),"")</f>
        <v/>
      </c>
    </row>
    <row r="6" spans="2:22" x14ac:dyDescent="0.25">
      <c r="C6" s="38"/>
      <c r="D6" s="14" t="str">
        <f>IF(OR(entrée!A6="alu",entrée!A6="aluminium"),entrée!B6,"")</f>
        <v>8D5-09F35SN</v>
      </c>
      <c r="E6" t="str">
        <f t="shared" si="0"/>
        <v>D38999/26FA35SN</v>
      </c>
      <c r="F6">
        <f>IFERROR(INDEX(shell_style_ALU[#All],B30,3),"")</f>
        <v>26</v>
      </c>
      <c r="G6" s="15" t="str">
        <f>IFERROR(INDEX(Plating_ALU[#All],D30,3),"")</f>
        <v>F</v>
      </c>
      <c r="H6" t="str">
        <f>IFERROR(INDEX(shell_size_ALU[#All],F30,3),"")</f>
        <v>A</v>
      </c>
      <c r="I6" t="str">
        <f t="shared" si="1"/>
        <v>35</v>
      </c>
      <c r="J6" t="str">
        <f>IFERROR(INDEX(contact_type_ALU[#All],H30,3),"")</f>
        <v>S</v>
      </c>
      <c r="K6" t="str">
        <f t="shared" si="2"/>
        <v>N</v>
      </c>
      <c r="M6" s="38"/>
      <c r="N6" t="str">
        <f>IF(entrée!A6="ALUMINIUM",entrée!B6,"")</f>
        <v>8D5-09F35SN</v>
      </c>
      <c r="O6" t="str">
        <f>"EN3645"&amp;CONCATENATE(ref_alu_EN364520[[#This Row],[PLATING EN]],ref_alu_EN364520[[#This Row],[SHELL STYLE EN]],ref_alu_EN364520[[#This Row],[SHELL SIZE EN]],ref_alu_EN364520[[#This Row],[GROUNDING]],ref_alu_EN364520[[#This Row],[CONTACT LAYOUT EN]],ref_alu_EN364520[[#This Row],[CONTACT TYPE EN]])</f>
        <v>EN3645F6AN35F</v>
      </c>
      <c r="P6" t="str">
        <f>IFERROR(INDEX(Plating_ALU[#All],P30,4),"")</f>
        <v>F</v>
      </c>
      <c r="Q6">
        <f>IFERROR(INDEX(shell_style_ALU[#All],N30,4),"")</f>
        <v>6</v>
      </c>
      <c r="R6" t="str">
        <f>IFERROR(INDEX(shell_size_ALU[#All],R30,4),"")</f>
        <v>A</v>
      </c>
      <c r="S6" s="1" t="s">
        <v>21</v>
      </c>
      <c r="T6" t="str">
        <f>IFERROR(MID(ref_alu_EN364520[[#This Row],[ref_fab]],8,2),"")</f>
        <v>35</v>
      </c>
      <c r="U6" t="str">
        <f>IFERROR(INDEX(contact_type_ALU[#All],T30,4),"")</f>
        <v>F</v>
      </c>
      <c r="V6" t="str">
        <f>IFERROR(MID(ref_alu_EN364520[[#This Row],[ref_fab]],11,1),"")</f>
        <v>N</v>
      </c>
    </row>
    <row r="7" spans="2:22" x14ac:dyDescent="0.25">
      <c r="C7" s="38"/>
      <c r="D7" s="14" t="str">
        <f>IF(OR(entrée!A7="alu",entrée!A7="aluminium"),entrée!B7,"")</f>
        <v/>
      </c>
      <c r="E7" t="str">
        <f t="shared" si="0"/>
        <v>D38999/</v>
      </c>
      <c r="F7" t="str">
        <f>IFERROR(INDEX(shell_style_ALU[#All],B31,3),"")</f>
        <v/>
      </c>
      <c r="G7" t="str">
        <f>IFERROR(INDEX(Plating_ALU[#All],D31,3),"")</f>
        <v/>
      </c>
      <c r="H7" t="str">
        <f>IFERROR(INDEX(shell_size_ALU[#All],F31,3),"")</f>
        <v/>
      </c>
      <c r="I7" t="str">
        <f t="shared" si="1"/>
        <v/>
      </c>
      <c r="J7" t="str">
        <f>IFERROR(INDEX(contact_type_ALU[#All],H31,3),"")</f>
        <v/>
      </c>
      <c r="K7" t="str">
        <f t="shared" si="2"/>
        <v/>
      </c>
      <c r="M7" s="38"/>
      <c r="N7" t="str">
        <f>IF(entrée!A7="ALUMINIUM",entrée!B7,"")</f>
        <v/>
      </c>
      <c r="O7" t="str">
        <f>"EN3645"&amp;CONCATENATE(ref_alu_EN364520[[#This Row],[PLATING EN]],ref_alu_EN364520[[#This Row],[SHELL STYLE EN]],ref_alu_EN364520[[#This Row],[SHELL SIZE EN]],ref_alu_EN364520[[#This Row],[GROUNDING]],ref_alu_EN364520[[#This Row],[CONTACT LAYOUT EN]],ref_alu_EN364520[[#This Row],[CONTACT TYPE EN]])</f>
        <v>EN3645N</v>
      </c>
      <c r="P7" t="str">
        <f>IFERROR(INDEX(Plating_ALU[#All],P31,4),"")</f>
        <v/>
      </c>
      <c r="Q7" t="str">
        <f>IFERROR(INDEX(shell_style_ALU[#All],N31,4),"")</f>
        <v/>
      </c>
      <c r="R7" t="str">
        <f>IFERROR(INDEX(shell_size_ALU[#All],R31,4),"")</f>
        <v/>
      </c>
      <c r="S7" s="1" t="s">
        <v>21</v>
      </c>
      <c r="T7" t="str">
        <f>IFERROR(MID(ref_alu_EN364520[[#This Row],[ref_fab]],8,2),"")</f>
        <v/>
      </c>
      <c r="U7" t="str">
        <f>IFERROR(INDEX(contact_type_ALU[#All],T31,4),"")</f>
        <v/>
      </c>
      <c r="V7" t="str">
        <f>IFERROR(MID(ref_alu_EN364520[[#This Row],[ref_fab]],11,1),"")</f>
        <v/>
      </c>
    </row>
    <row r="8" spans="2:22" x14ac:dyDescent="0.25">
      <c r="C8" s="38"/>
      <c r="D8" s="14" t="str">
        <f>IF(OR(entrée!A8="alu",entrée!A8="aluminium"),entrée!B8,"")</f>
        <v/>
      </c>
      <c r="E8" t="str">
        <f t="shared" si="0"/>
        <v>D38999/</v>
      </c>
      <c r="F8" s="17" t="str">
        <f>IFERROR(INDEX(shell_style_ALU[#All],B32,3),"")</f>
        <v/>
      </c>
      <c r="G8" s="17" t="str">
        <f>IFERROR(INDEX(Plating_ALU[#All],D32,3),"")</f>
        <v/>
      </c>
      <c r="H8" s="17" t="str">
        <f>IFERROR(INDEX(shell_size_ALU[#All],F32,3),"")</f>
        <v/>
      </c>
      <c r="I8" t="str">
        <f t="shared" si="1"/>
        <v/>
      </c>
      <c r="J8" s="17" t="str">
        <f>IFERROR(INDEX(contact_type_ALU[#All],H32,3),"")</f>
        <v/>
      </c>
      <c r="K8" t="str">
        <f t="shared" si="2"/>
        <v/>
      </c>
      <c r="M8" s="38"/>
      <c r="N8" t="str">
        <f>IF(entrée!A8="ALUMINIUM",entrée!B8,"")</f>
        <v/>
      </c>
      <c r="O8" t="str">
        <f>"EN3645"&amp;CONCATENATE(ref_alu_EN364520[[#This Row],[PLATING EN]],ref_alu_EN364520[[#This Row],[SHELL STYLE EN]],ref_alu_EN364520[[#This Row],[SHELL SIZE EN]],ref_alu_EN364520[[#This Row],[GROUNDING]],ref_alu_EN364520[[#This Row],[CONTACT LAYOUT EN]],ref_alu_EN364520[[#This Row],[CONTACT TYPE EN]])</f>
        <v>EN3645N</v>
      </c>
      <c r="P8" t="str">
        <f>IFERROR(INDEX(Plating_ALU[#All],P32,4),"")</f>
        <v/>
      </c>
      <c r="Q8" t="str">
        <f>IFERROR(INDEX(shell_style_ALU[#All],N32,4),"")</f>
        <v/>
      </c>
      <c r="R8" t="str">
        <f>IFERROR(INDEX(shell_size_ALU[#All],R32,4),"")</f>
        <v/>
      </c>
      <c r="S8" s="1" t="s">
        <v>21</v>
      </c>
      <c r="T8" t="str">
        <f>IFERROR(MID(ref_alu_EN364520[[#This Row],[ref_fab]],8,2),"")</f>
        <v/>
      </c>
      <c r="U8" t="str">
        <f>IFERROR(INDEX(contact_type_ALU[#All],T32,4),"")</f>
        <v/>
      </c>
      <c r="V8" t="str">
        <f>IFERROR(MID(ref_alu_EN364520[[#This Row],[ref_fab]],11,1),"")</f>
        <v/>
      </c>
    </row>
    <row r="9" spans="2:22" x14ac:dyDescent="0.25">
      <c r="C9" s="38"/>
      <c r="D9" t="str">
        <f>IF(OR(entrée!A9="alu",entrée!A9="aluminium"),entrée!B9,"")</f>
        <v/>
      </c>
      <c r="E9" t="str">
        <f t="shared" si="0"/>
        <v>D38999/</v>
      </c>
      <c r="F9" s="17" t="str">
        <f>IFERROR(INDEX(shell_style_ALU[#All],B33,3),"")</f>
        <v/>
      </c>
      <c r="G9" s="17" t="str">
        <f>IFERROR(INDEX(Plating_ALU[#All],D33,3),"")</f>
        <v/>
      </c>
      <c r="H9" s="17" t="str">
        <f>IFERROR(INDEX(shell_size_ALU[#All],F33,3),"")</f>
        <v/>
      </c>
      <c r="I9" s="14" t="str">
        <f t="shared" si="1"/>
        <v/>
      </c>
      <c r="J9" s="18" t="str">
        <f>IFERROR(INDEX(contact_type_ALU[#All],H33,3),"")</f>
        <v/>
      </c>
      <c r="K9" s="14" t="str">
        <f t="shared" si="2"/>
        <v/>
      </c>
      <c r="M9" s="38"/>
      <c r="N9" t="str">
        <f>IF(entrée!A9="ALUMINIUM",entrée!B9,"")</f>
        <v/>
      </c>
      <c r="O9" t="str">
        <f>"EN3645"&amp;CONCATENATE(ref_alu_EN364520[[#This Row],[PLATING EN]],ref_alu_EN364520[[#This Row],[SHELL STYLE EN]],ref_alu_EN364520[[#This Row],[SHELL SIZE EN]],ref_alu_EN364520[[#This Row],[GROUNDING]],ref_alu_EN364520[[#This Row],[CONTACT LAYOUT EN]],ref_alu_EN364520[[#This Row],[CONTACT TYPE EN]])</f>
        <v>EN3645N</v>
      </c>
      <c r="P9" t="str">
        <f>IFERROR(INDEX(Plating_ALU[#All],P33,4),"")</f>
        <v/>
      </c>
      <c r="Q9" t="str">
        <f>IFERROR(INDEX(shell_style_ALU[#All],N33,4),"")</f>
        <v/>
      </c>
      <c r="R9" t="str">
        <f>IFERROR(INDEX(shell_size_ALU[#All],R33,4),"")</f>
        <v/>
      </c>
      <c r="S9" s="1" t="s">
        <v>21</v>
      </c>
      <c r="T9" t="str">
        <f>IFERROR(MID(ref_alu_EN364520[[#This Row],[ref_fab]],8,2),"")</f>
        <v/>
      </c>
      <c r="U9" t="str">
        <f>IFERROR(INDEX(contact_type_ALU[#All],T33,4),"")</f>
        <v/>
      </c>
      <c r="V9" t="str">
        <f>IFERROR(MID(ref_alu_EN364520[[#This Row],[ref_fab]],11,1),"")</f>
        <v/>
      </c>
    </row>
    <row r="10" spans="2:22" x14ac:dyDescent="0.25">
      <c r="C10" s="38"/>
      <c r="D10" t="str">
        <f>IF(OR(entrée!A10="alu",entrée!A10="aluminium"),entrée!B10,"")</f>
        <v/>
      </c>
      <c r="E10" t="str">
        <f t="shared" si="0"/>
        <v>D38999/</v>
      </c>
      <c r="F10" s="17" t="str">
        <f>IFERROR(INDEX(shell_style_ALU[#All],B34,3),"")</f>
        <v/>
      </c>
      <c r="G10" s="17" t="str">
        <f>IFERROR(INDEX(Plating_ALU[#All],D34,3),"")</f>
        <v/>
      </c>
      <c r="H10" s="17" t="str">
        <f>IFERROR(INDEX(shell_size_ALU[#All],F34,3),"")</f>
        <v/>
      </c>
      <c r="I10" t="str">
        <f t="shared" si="1"/>
        <v/>
      </c>
      <c r="J10" s="17" t="str">
        <f>IFERROR(INDEX(contact_type_ALU[#All],H34,3),"")</f>
        <v/>
      </c>
      <c r="K10" t="str">
        <f t="shared" si="2"/>
        <v/>
      </c>
      <c r="M10" s="38"/>
      <c r="N10" t="str">
        <f>IF(entrée!A10="ALUMINIUM",entrée!B10,"")</f>
        <v/>
      </c>
      <c r="O10" t="str">
        <f>"EN3645"&amp;CONCATENATE(ref_alu_EN364520[[#This Row],[PLATING EN]],ref_alu_EN364520[[#This Row],[SHELL STYLE EN]],ref_alu_EN364520[[#This Row],[SHELL SIZE EN]],ref_alu_EN364520[[#This Row],[GROUNDING]],ref_alu_EN364520[[#This Row],[CONTACT LAYOUT EN]],ref_alu_EN364520[[#This Row],[CONTACT TYPE EN]])</f>
        <v>EN3645N</v>
      </c>
      <c r="P10" t="str">
        <f>IFERROR(INDEX(Plating_ALU[#All],P34,4),"")</f>
        <v/>
      </c>
      <c r="Q10" t="str">
        <f>IFERROR(INDEX(shell_style_ALU[#All],N34,4),"")</f>
        <v/>
      </c>
      <c r="R10" t="str">
        <f>IFERROR(INDEX(shell_size_ALU[#All],R34,4),"")</f>
        <v/>
      </c>
      <c r="S10" s="1" t="s">
        <v>21</v>
      </c>
      <c r="T10" t="str">
        <f>IFERROR(MID(ref_alu_EN364520[[#This Row],[ref_fab]],8,2),"")</f>
        <v/>
      </c>
      <c r="U10" t="str">
        <f>IFERROR(INDEX(contact_type_ALU[#All],T34,4),"")</f>
        <v/>
      </c>
      <c r="V10" t="str">
        <f>IFERROR(MID(ref_alu_EN364520[[#This Row],[ref_fab]],11,1),"")</f>
        <v/>
      </c>
    </row>
    <row r="11" spans="2:22" x14ac:dyDescent="0.25">
      <c r="C11" s="38"/>
      <c r="D11" t="str">
        <f>IF(OR(entrée!A11="alu",entrée!A11="aluminium"),entrée!B11,"")</f>
        <v/>
      </c>
      <c r="E11" t="str">
        <f t="shared" si="0"/>
        <v>D38999/</v>
      </c>
      <c r="F11" s="17" t="str">
        <f>IFERROR(INDEX(shell_style_ALU[#All],B35,3),"")</f>
        <v/>
      </c>
      <c r="G11" s="17" t="str">
        <f>IFERROR(INDEX(Plating_ALU[#All],D35,3),"")</f>
        <v/>
      </c>
      <c r="H11" s="17" t="str">
        <f>IFERROR(INDEX(shell_size_ALU[#All],F35,3),"")</f>
        <v/>
      </c>
      <c r="I11" t="str">
        <f t="shared" si="1"/>
        <v/>
      </c>
      <c r="J11" s="17" t="str">
        <f>IFERROR(INDEX(contact_type_ALU[#All],H35,3),"")</f>
        <v/>
      </c>
      <c r="K11" t="str">
        <f t="shared" si="2"/>
        <v/>
      </c>
      <c r="M11" s="38"/>
      <c r="N11" t="str">
        <f>IF(entrée!A11="ALUMINIUM",entrée!B11,"")</f>
        <v/>
      </c>
      <c r="O11" t="str">
        <f>"EN3645"&amp;CONCATENATE(ref_alu_EN364520[[#This Row],[PLATING EN]],ref_alu_EN364520[[#This Row],[SHELL STYLE EN]],ref_alu_EN364520[[#This Row],[SHELL SIZE EN]],ref_alu_EN364520[[#This Row],[GROUNDING]],ref_alu_EN364520[[#This Row],[CONTACT LAYOUT EN]],ref_alu_EN364520[[#This Row],[CONTACT TYPE EN]])</f>
        <v>EN3645N</v>
      </c>
      <c r="P11" t="str">
        <f>IFERROR(INDEX(Plating_ALU[#All],P35,4),"")</f>
        <v/>
      </c>
      <c r="Q11" t="str">
        <f>IFERROR(INDEX(shell_style_ALU[#All],N35,4),"")</f>
        <v/>
      </c>
      <c r="R11" t="str">
        <f>IFERROR(INDEX(shell_size_ALU[#All],R35,4),"")</f>
        <v/>
      </c>
      <c r="S11" s="1" t="s">
        <v>21</v>
      </c>
      <c r="T11" t="str">
        <f>IFERROR(MID(ref_alu_EN364520[[#This Row],[ref_fab]],8,2),"")</f>
        <v/>
      </c>
      <c r="U11" t="str">
        <f>IFERROR(INDEX(contact_type_ALU[#All],T35,4),"")</f>
        <v/>
      </c>
      <c r="V11" t="str">
        <f>IFERROR(MID(ref_alu_EN364520[[#This Row],[ref_fab]],11,1),"")</f>
        <v/>
      </c>
    </row>
    <row r="12" spans="2:22" x14ac:dyDescent="0.25">
      <c r="C12" s="38"/>
      <c r="D12" t="str">
        <f>IF(OR(entrée!A12="alu",entrée!A12="aluminium"),entrée!B12,"")</f>
        <v/>
      </c>
      <c r="E12" t="str">
        <f t="shared" si="0"/>
        <v>D38999/</v>
      </c>
      <c r="F12" s="17" t="str">
        <f>IFERROR(INDEX(shell_style_ALU[#All],B36,3),"")</f>
        <v/>
      </c>
      <c r="G12" s="17" t="str">
        <f>IFERROR(INDEX(Plating_ALU[#All],D36,3),"")</f>
        <v/>
      </c>
      <c r="H12" s="17" t="str">
        <f>IFERROR(INDEX(shell_size_ALU[#All],F36,3),"")</f>
        <v/>
      </c>
      <c r="I12" t="str">
        <f t="shared" si="1"/>
        <v/>
      </c>
      <c r="J12" s="17" t="str">
        <f>IFERROR(INDEX(contact_type_ALU[#All],H36,3),"")</f>
        <v/>
      </c>
      <c r="K12" t="str">
        <f t="shared" si="2"/>
        <v/>
      </c>
      <c r="M12" s="38"/>
      <c r="N12" t="str">
        <f>IF(entrée!A12="ALUMINIUM",entrée!B12,"")</f>
        <v/>
      </c>
      <c r="O12" t="str">
        <f>"EN3645"&amp;CONCATENATE(ref_alu_EN364520[[#This Row],[PLATING EN]],ref_alu_EN364520[[#This Row],[SHELL STYLE EN]],ref_alu_EN364520[[#This Row],[SHELL SIZE EN]],ref_alu_EN364520[[#This Row],[GROUNDING]],ref_alu_EN364520[[#This Row],[CONTACT LAYOUT EN]],ref_alu_EN364520[[#This Row],[CONTACT TYPE EN]])</f>
        <v>EN3645N</v>
      </c>
      <c r="P12" t="str">
        <f>IFERROR(INDEX(Plating_ALU[#All],P36,4),"")</f>
        <v/>
      </c>
      <c r="Q12" t="str">
        <f>IFERROR(INDEX(shell_style_ALU[#All],N36,4),"")</f>
        <v/>
      </c>
      <c r="R12" t="str">
        <f>IFERROR(INDEX(shell_size_ALU[#All],R36,4),"")</f>
        <v/>
      </c>
      <c r="S12" s="1" t="s">
        <v>21</v>
      </c>
      <c r="T12" t="str">
        <f>IFERROR(MID(ref_alu_EN364520[[#This Row],[ref_fab]],8,2),"")</f>
        <v/>
      </c>
      <c r="U12" t="str">
        <f>IFERROR(INDEX(contact_type_ALU[#All],T36,4),"")</f>
        <v/>
      </c>
      <c r="V12" t="str">
        <f>IFERROR(MID(ref_alu_EN364520[[#This Row],[ref_fab]],11,1),"")</f>
        <v/>
      </c>
    </row>
    <row r="13" spans="2:22" x14ac:dyDescent="0.25">
      <c r="B13" s="1"/>
    </row>
    <row r="14" spans="2:22" x14ac:dyDescent="0.25">
      <c r="B14" s="1"/>
    </row>
    <row r="15" spans="2:22" x14ac:dyDescent="0.25">
      <c r="B15" s="1"/>
    </row>
    <row r="16" spans="2:22" x14ac:dyDescent="0.25">
      <c r="B16" s="1"/>
    </row>
    <row r="23" spans="1:20" ht="15.75" thickBot="1" x14ac:dyDescent="0.3"/>
    <row r="24" spans="1:20" ht="15.75" thickBot="1" x14ac:dyDescent="0.3">
      <c r="A24" s="35" t="s">
        <v>103</v>
      </c>
      <c r="B24" s="36"/>
      <c r="C24" s="36"/>
      <c r="D24" s="36"/>
      <c r="E24" s="36"/>
      <c r="F24" s="36"/>
      <c r="G24" s="36"/>
      <c r="H24" s="37"/>
      <c r="M24" s="35" t="s">
        <v>104</v>
      </c>
      <c r="N24" s="36"/>
      <c r="O24" s="36"/>
      <c r="P24" s="36"/>
      <c r="Q24" s="36"/>
      <c r="R24" s="36"/>
      <c r="S24" s="36"/>
      <c r="T24" s="37"/>
    </row>
    <row r="25" spans="1:20" x14ac:dyDescent="0.25">
      <c r="A25" s="31" t="s">
        <v>97</v>
      </c>
      <c r="B25" s="32"/>
      <c r="C25" s="31" t="s">
        <v>35</v>
      </c>
      <c r="D25" s="32"/>
      <c r="E25" s="31" t="s">
        <v>36</v>
      </c>
      <c r="F25" s="32"/>
      <c r="G25" s="31" t="s">
        <v>38</v>
      </c>
      <c r="H25" s="32"/>
      <c r="M25" s="31" t="s">
        <v>97</v>
      </c>
      <c r="N25" s="32"/>
      <c r="O25" s="31" t="s">
        <v>40</v>
      </c>
      <c r="P25" s="32"/>
      <c r="Q25" s="31" t="s">
        <v>36</v>
      </c>
      <c r="R25" s="32"/>
      <c r="S25" s="33" t="s">
        <v>45</v>
      </c>
      <c r="T25" s="34"/>
    </row>
    <row r="26" spans="1:20" x14ac:dyDescent="0.25">
      <c r="A26" s="21">
        <f>IFERROR(MID(D2,3,1)*1,"")</f>
        <v>7</v>
      </c>
      <c r="B26" s="22">
        <f>IFERROR(MATCH(A26,shell_style_ALU[[#All],[connector part numbers]],0),"")</f>
        <v>4</v>
      </c>
      <c r="C26" s="21" t="str">
        <f>IFERROR(MID(D2,7,1),"")</f>
        <v>F</v>
      </c>
      <c r="D26" s="22">
        <f>IFERROR(MATCH(C26,Plating_ALU[[#All],[connector part numbers]],0),"")</f>
        <v>4</v>
      </c>
      <c r="E26" s="21">
        <f>IFERROR(MID(D2,5,2)*1,"")</f>
        <v>13</v>
      </c>
      <c r="F26" s="26">
        <f>IFERROR(MATCH(E26,shell_size_ALU[[#All],[connector part numbers]],0),"")</f>
        <v>4</v>
      </c>
      <c r="G26" s="21" t="str">
        <f>IFERROR(MID(D2,10,1),"")</f>
        <v>S</v>
      </c>
      <c r="H26" s="22">
        <f>IFERROR(MATCH(G26,contact_type_ALU[[#All],[connector part numbers]],0),"")</f>
        <v>4</v>
      </c>
      <c r="M26" s="21">
        <f>IFERROR(MID(N2,3,1)*1,"")</f>
        <v>7</v>
      </c>
      <c r="N26" s="22">
        <f>IFERROR(MATCH(M26,shell_style_ALU[[#All],[connector part numbers]],0),"")</f>
        <v>4</v>
      </c>
      <c r="O26" s="21" t="str">
        <f>IFERROR(MID(N2,7,1),"")</f>
        <v>F</v>
      </c>
      <c r="P26" s="22">
        <f>IFERROR(MATCH(O26,Plating_ALU[[#All],[connector part numbers]],0),"")</f>
        <v>4</v>
      </c>
      <c r="Q26" s="21">
        <f>IFERROR(MID(N2,5,2)*1,"")</f>
        <v>13</v>
      </c>
      <c r="R26" s="22">
        <f>IFERROR(MATCH(Q26,shell_size_ALU[[#All],[connector part numbers]],0),"")</f>
        <v>4</v>
      </c>
      <c r="S26" s="20" t="str">
        <f>IFERROR(MID(N2,10,1),"")</f>
        <v>S</v>
      </c>
      <c r="T26" s="22">
        <f>IFERROR(MATCH(S26,contact_type_ALU[[#All],[connector part numbers]],0),"")</f>
        <v>4</v>
      </c>
    </row>
    <row r="27" spans="1:20" x14ac:dyDescent="0.25">
      <c r="A27" s="21">
        <f t="shared" ref="A27:A37" si="3">IFERROR(MID(D3,3,1)*1,"")</f>
        <v>7</v>
      </c>
      <c r="B27" s="22">
        <f>IFERROR(MATCH(A27,shell_style_ALU[[#All],[connector part numbers]],0),"")</f>
        <v>4</v>
      </c>
      <c r="C27" s="21" t="str">
        <f t="shared" ref="C27:C37" si="4">IFERROR(MID(D3,7,1),"")</f>
        <v>W</v>
      </c>
      <c r="D27" s="22">
        <f>IFERROR(MATCH(C27,Plating_ALU[[#All],[connector part numbers]],0),"")</f>
        <v>3</v>
      </c>
      <c r="E27" s="21">
        <f t="shared" ref="E27:E37" si="5">IFERROR(MID(D3,5,2)*1,"")</f>
        <v>13</v>
      </c>
      <c r="F27" s="26">
        <f>IFERROR(MATCH(E27,shell_size_ALU[[#All],[connector part numbers]],0),"")</f>
        <v>4</v>
      </c>
      <c r="G27" s="21" t="str">
        <f t="shared" ref="G27:G37" si="6">IFERROR(MID(D3,10,1),"")</f>
        <v>S</v>
      </c>
      <c r="H27" s="22">
        <f>IFERROR(MATCH(G27,contact_type_ALU[[#All],[connector part numbers]],0),"")</f>
        <v>4</v>
      </c>
      <c r="M27" s="21">
        <f t="shared" ref="M27:M37" si="7">IFERROR(MID(N3,3,1)*1,"")</f>
        <v>7</v>
      </c>
      <c r="N27" s="22">
        <f>IFERROR(MATCH(M27,shell_style_ALU[[#All],[connector part numbers]],0),"")</f>
        <v>4</v>
      </c>
      <c r="O27" s="21" t="str">
        <f t="shared" ref="O27:O37" si="8">IFERROR(MID(N3,7,1),"")</f>
        <v>W</v>
      </c>
      <c r="P27" s="22">
        <f>IFERROR(MATCH(O27,Plating_ALU[[#All],[connector part numbers]],0),"")</f>
        <v>3</v>
      </c>
      <c r="Q27" s="21">
        <f t="shared" ref="Q27:Q37" si="9">IFERROR(MID(N3,5,2)*1,"")</f>
        <v>13</v>
      </c>
      <c r="R27" s="22">
        <f>IFERROR(MATCH(Q27,shell_size_ALU[[#All],[connector part numbers]],0),"")</f>
        <v>4</v>
      </c>
      <c r="S27" s="20" t="str">
        <f t="shared" ref="S27:S37" si="10">IFERROR(MID(N3,10,1),"")</f>
        <v>S</v>
      </c>
      <c r="T27" s="22">
        <f>IFERROR(MATCH(S27,contact_type_ALU[[#All],[connector part numbers]],0),"")</f>
        <v>4</v>
      </c>
    </row>
    <row r="28" spans="1:20" x14ac:dyDescent="0.25">
      <c r="A28" s="21" t="str">
        <f t="shared" si="3"/>
        <v/>
      </c>
      <c r="B28" s="22" t="str">
        <f>IFERROR(MATCH(A28,shell_style_ALU[[#All],[connector part numbers]],0),"")</f>
        <v/>
      </c>
      <c r="C28" s="21" t="str">
        <f t="shared" si="4"/>
        <v/>
      </c>
      <c r="D28" s="22" t="str">
        <f>IFERROR(MATCH(C28,Plating_ALU[[#All],[connector part numbers]],0),"")</f>
        <v/>
      </c>
      <c r="E28" s="21" t="str">
        <f t="shared" si="5"/>
        <v/>
      </c>
      <c r="F28" s="26" t="str">
        <f>IFERROR(MATCH(E28,shell_size_ALU[[#All],[connector part numbers]],0),"")</f>
        <v/>
      </c>
      <c r="G28" s="21" t="str">
        <f t="shared" si="6"/>
        <v/>
      </c>
      <c r="H28" s="22" t="str">
        <f>IFERROR(MATCH(G28,contact_type_ALU[[#All],[connector part numbers]],0),"")</f>
        <v/>
      </c>
      <c r="M28" s="21" t="str">
        <f t="shared" si="7"/>
        <v/>
      </c>
      <c r="N28" s="22" t="str">
        <f>IFERROR(MATCH(M28,shell_style_ALU[[#All],[connector part numbers]],0),"")</f>
        <v/>
      </c>
      <c r="O28" s="21" t="str">
        <f t="shared" si="8"/>
        <v/>
      </c>
      <c r="P28" s="22" t="str">
        <f>IFERROR(MATCH(O28,Plating_ALU[[#All],[connector part numbers]],0),"")</f>
        <v/>
      </c>
      <c r="Q28" s="21" t="str">
        <f t="shared" si="9"/>
        <v/>
      </c>
      <c r="R28" s="22" t="str">
        <f>IFERROR(MATCH(Q28,shell_size_ALU[[#All],[connector part numbers]],0),"")</f>
        <v/>
      </c>
      <c r="S28" s="20" t="str">
        <f t="shared" si="10"/>
        <v/>
      </c>
      <c r="T28" s="22" t="str">
        <f>IFERROR(MATCH(S28,contact_type_ALU[[#All],[connector part numbers]],0),"")</f>
        <v/>
      </c>
    </row>
    <row r="29" spans="1:20" x14ac:dyDescent="0.25">
      <c r="A29" s="21" t="str">
        <f t="shared" si="3"/>
        <v/>
      </c>
      <c r="B29" s="22" t="str">
        <f>IFERROR(MATCH(A29,shell_style_ALU[[#All],[connector part numbers]],0),"")</f>
        <v/>
      </c>
      <c r="C29" s="21" t="str">
        <f t="shared" si="4"/>
        <v/>
      </c>
      <c r="D29" s="22" t="str">
        <f>IFERROR(MATCH(C29,Plating_ALU[[#All],[connector part numbers]],0),"")</f>
        <v/>
      </c>
      <c r="E29" s="21" t="str">
        <f t="shared" si="5"/>
        <v/>
      </c>
      <c r="F29" s="26" t="str">
        <f>IFERROR(MATCH(E29,shell_size_ALU[[#All],[connector part numbers]],0),"")</f>
        <v/>
      </c>
      <c r="G29" s="21" t="str">
        <f t="shared" si="6"/>
        <v/>
      </c>
      <c r="H29" s="22" t="str">
        <f>IFERROR(MATCH(G29,contact_type_ALU[[#All],[connector part numbers]],0),"")</f>
        <v/>
      </c>
      <c r="M29" s="21" t="str">
        <f t="shared" si="7"/>
        <v/>
      </c>
      <c r="N29" s="22" t="str">
        <f>IFERROR(MATCH(M29,shell_style_ALU[[#All],[connector part numbers]],0),"")</f>
        <v/>
      </c>
      <c r="O29" s="21" t="str">
        <f t="shared" si="8"/>
        <v/>
      </c>
      <c r="P29" s="22" t="str">
        <f>IFERROR(MATCH(O29,Plating_ALU[[#All],[connector part numbers]],0),"")</f>
        <v/>
      </c>
      <c r="Q29" s="21" t="str">
        <f t="shared" si="9"/>
        <v/>
      </c>
      <c r="R29" s="22" t="str">
        <f>IFERROR(MATCH(Q29,shell_size_ALU[[#All],[connector part numbers]],0),"")</f>
        <v/>
      </c>
      <c r="S29" s="20" t="str">
        <f t="shared" si="10"/>
        <v/>
      </c>
      <c r="T29" s="22" t="str">
        <f>IFERROR(MATCH(S29,contact_type_ALU[[#All],[connector part numbers]],0),"")</f>
        <v/>
      </c>
    </row>
    <row r="30" spans="1:20" x14ac:dyDescent="0.25">
      <c r="A30" s="21">
        <f t="shared" si="3"/>
        <v>5</v>
      </c>
      <c r="B30" s="22">
        <f>IFERROR(MATCH(A30,shell_style_ALU[[#All],[connector part numbers]],0),"")</f>
        <v>5</v>
      </c>
      <c r="C30" s="21" t="str">
        <f t="shared" si="4"/>
        <v>F</v>
      </c>
      <c r="D30" s="22">
        <f>IFERROR(MATCH(C30,Plating_ALU[[#All],[connector part numbers]],0),"")</f>
        <v>4</v>
      </c>
      <c r="E30" s="21">
        <f t="shared" si="5"/>
        <v>9</v>
      </c>
      <c r="F30" s="26">
        <f>IFERROR(MATCH(E30,shell_size_ALU[[#All],[connector part numbers]],0),"")</f>
        <v>2</v>
      </c>
      <c r="G30" s="21" t="str">
        <f t="shared" si="6"/>
        <v>S</v>
      </c>
      <c r="H30" s="22">
        <f>IFERROR(MATCH(G30,contact_type_ALU[[#All],[connector part numbers]],0),"")</f>
        <v>4</v>
      </c>
      <c r="M30" s="21">
        <f t="shared" si="7"/>
        <v>5</v>
      </c>
      <c r="N30" s="22">
        <f>IFERROR(MATCH(M30,shell_style_ALU[[#All],[connector part numbers]],0),"")</f>
        <v>5</v>
      </c>
      <c r="O30" s="21" t="str">
        <f t="shared" si="8"/>
        <v>F</v>
      </c>
      <c r="P30" s="22">
        <f>IFERROR(MATCH(O30,Plating_ALU[[#All],[connector part numbers]],0),"")</f>
        <v>4</v>
      </c>
      <c r="Q30" s="21">
        <f t="shared" si="9"/>
        <v>9</v>
      </c>
      <c r="R30" s="22">
        <f>IFERROR(MATCH(Q30,shell_size_ALU[[#All],[connector part numbers]],0),"")</f>
        <v>2</v>
      </c>
      <c r="S30" s="20" t="str">
        <f t="shared" si="10"/>
        <v>S</v>
      </c>
      <c r="T30" s="22">
        <f>IFERROR(MATCH(S30,contact_type_ALU[[#All],[connector part numbers]],0),"")</f>
        <v>4</v>
      </c>
    </row>
    <row r="31" spans="1:20" x14ac:dyDescent="0.25">
      <c r="A31" s="21" t="str">
        <f t="shared" si="3"/>
        <v/>
      </c>
      <c r="B31" s="22" t="str">
        <f>IFERROR(MATCH(A31,shell_style_ALU[[#All],[connector part numbers]],0),"")</f>
        <v/>
      </c>
      <c r="C31" s="21" t="str">
        <f t="shared" si="4"/>
        <v/>
      </c>
      <c r="D31" s="22" t="str">
        <f>IFERROR(MATCH(C31,Plating_ALU[[#All],[connector part numbers]],0),"")</f>
        <v/>
      </c>
      <c r="E31" s="21" t="str">
        <f t="shared" si="5"/>
        <v/>
      </c>
      <c r="F31" s="26" t="str">
        <f>IFERROR(MATCH(E31,shell_size_ALU[[#All],[connector part numbers]],0),"")</f>
        <v/>
      </c>
      <c r="G31" s="21" t="str">
        <f t="shared" si="6"/>
        <v/>
      </c>
      <c r="H31" s="22" t="str">
        <f>IFERROR(MATCH(G31,contact_type_ALU[[#All],[connector part numbers]],0),"")</f>
        <v/>
      </c>
      <c r="M31" s="21" t="str">
        <f t="shared" si="7"/>
        <v/>
      </c>
      <c r="N31" s="22" t="str">
        <f>IFERROR(MATCH(M31,shell_style_ALU[[#All],[connector part numbers]],0),"")</f>
        <v/>
      </c>
      <c r="O31" s="21" t="str">
        <f t="shared" si="8"/>
        <v/>
      </c>
      <c r="P31" s="22" t="str">
        <f>IFERROR(MATCH(O31,Plating_ALU[[#All],[connector part numbers]],0),"")</f>
        <v/>
      </c>
      <c r="Q31" s="21" t="str">
        <f t="shared" si="9"/>
        <v/>
      </c>
      <c r="R31" s="22" t="str">
        <f>IFERROR(MATCH(Q31,shell_size_ALU[[#All],[connector part numbers]],0),"")</f>
        <v/>
      </c>
      <c r="S31" s="20" t="str">
        <f t="shared" si="10"/>
        <v/>
      </c>
      <c r="T31" s="22" t="str">
        <f>IFERROR(MATCH(S31,contact_type_ALU[[#All],[connector part numbers]],0),"")</f>
        <v/>
      </c>
    </row>
    <row r="32" spans="1:20" x14ac:dyDescent="0.25">
      <c r="A32" s="21" t="str">
        <f t="shared" si="3"/>
        <v/>
      </c>
      <c r="B32" s="22" t="str">
        <f>IFERROR(MATCH(A32,shell_style_ALU[[#All],[connector part numbers]],0),"")</f>
        <v/>
      </c>
      <c r="C32" s="21" t="str">
        <f t="shared" si="4"/>
        <v/>
      </c>
      <c r="D32" s="22" t="str">
        <f>IFERROR(MATCH(C32,Plating_ALU[[#All],[connector part numbers]],0),"")</f>
        <v/>
      </c>
      <c r="E32" s="21" t="str">
        <f t="shared" si="5"/>
        <v/>
      </c>
      <c r="F32" s="26" t="str">
        <f>IFERROR(MATCH(E32,shell_size_ALU[[#All],[connector part numbers]],0),"")</f>
        <v/>
      </c>
      <c r="G32" s="21" t="str">
        <f t="shared" si="6"/>
        <v/>
      </c>
      <c r="H32" s="22" t="str">
        <f>IFERROR(MATCH(G32,contact_type_ALU[[#All],[connector part numbers]],0),"")</f>
        <v/>
      </c>
      <c r="M32" s="21" t="str">
        <f t="shared" si="7"/>
        <v/>
      </c>
      <c r="N32" s="22" t="str">
        <f>IFERROR(MATCH(M32,shell_style_ALU[[#All],[connector part numbers]],0),"")</f>
        <v/>
      </c>
      <c r="O32" s="21" t="str">
        <f t="shared" si="8"/>
        <v/>
      </c>
      <c r="P32" s="22" t="str">
        <f>IFERROR(MATCH(O32,Plating_ALU[[#All],[connector part numbers]],0),"")</f>
        <v/>
      </c>
      <c r="Q32" s="21" t="str">
        <f t="shared" si="9"/>
        <v/>
      </c>
      <c r="R32" s="22" t="str">
        <f>IFERROR(MATCH(Q32,shell_size_ALU[[#All],[connector part numbers]],0),"")</f>
        <v/>
      </c>
      <c r="S32" s="20" t="str">
        <f t="shared" si="10"/>
        <v/>
      </c>
      <c r="T32" s="22" t="str">
        <f>IFERROR(MATCH(S32,contact_type_ALU[[#All],[connector part numbers]],0),"")</f>
        <v/>
      </c>
    </row>
    <row r="33" spans="1:20" x14ac:dyDescent="0.25">
      <c r="A33" s="21" t="str">
        <f t="shared" si="3"/>
        <v/>
      </c>
      <c r="B33" s="22" t="str">
        <f>IFERROR(MATCH(A33,shell_style_ALU[[#All],[connector part numbers]],0),"")</f>
        <v/>
      </c>
      <c r="C33" s="21" t="str">
        <f t="shared" si="4"/>
        <v/>
      </c>
      <c r="D33" s="22" t="str">
        <f>IFERROR(MATCH(C33,Plating_ALU[[#All],[connector part numbers]],0),"")</f>
        <v/>
      </c>
      <c r="E33" s="21" t="str">
        <f t="shared" si="5"/>
        <v/>
      </c>
      <c r="F33" s="26" t="str">
        <f>IFERROR(MATCH(E33,shell_size_ALU[[#All],[connector part numbers]],0),"")</f>
        <v/>
      </c>
      <c r="G33" s="21" t="str">
        <f t="shared" si="6"/>
        <v/>
      </c>
      <c r="H33" s="22" t="str">
        <f>IFERROR(MATCH(G33,contact_type_ALU[[#All],[connector part numbers]],0),"")</f>
        <v/>
      </c>
      <c r="M33" s="21" t="str">
        <f t="shared" si="7"/>
        <v/>
      </c>
      <c r="N33" s="22" t="str">
        <f>IFERROR(MATCH(M33,shell_style_ALU[[#All],[connector part numbers]],0),"")</f>
        <v/>
      </c>
      <c r="O33" s="21" t="str">
        <f t="shared" si="8"/>
        <v/>
      </c>
      <c r="P33" s="22" t="str">
        <f>IFERROR(MATCH(O33,Plating_ALU[[#All],[connector part numbers]],0),"")</f>
        <v/>
      </c>
      <c r="Q33" s="21" t="str">
        <f t="shared" si="9"/>
        <v/>
      </c>
      <c r="R33" s="22" t="str">
        <f>IFERROR(MATCH(Q33,shell_size_ALU[[#All],[connector part numbers]],0),"")</f>
        <v/>
      </c>
      <c r="S33" s="20" t="str">
        <f t="shared" si="10"/>
        <v/>
      </c>
      <c r="T33" s="22" t="str">
        <f>IFERROR(MATCH(S33,contact_type_ALU[[#All],[connector part numbers]],0),"")</f>
        <v/>
      </c>
    </row>
    <row r="34" spans="1:20" x14ac:dyDescent="0.25">
      <c r="A34" s="21" t="str">
        <f t="shared" si="3"/>
        <v/>
      </c>
      <c r="B34" s="22" t="str">
        <f>IFERROR(MATCH(A34,shell_style_ALU[[#All],[connector part numbers]],0),"")</f>
        <v/>
      </c>
      <c r="C34" s="21" t="str">
        <f t="shared" si="4"/>
        <v/>
      </c>
      <c r="D34" s="22" t="str">
        <f>IFERROR(MATCH(C34,Plating_ALU[[#All],[connector part numbers]],0),"")</f>
        <v/>
      </c>
      <c r="E34" s="21" t="str">
        <f t="shared" si="5"/>
        <v/>
      </c>
      <c r="F34" s="26" t="str">
        <f>IFERROR(MATCH(E34,shell_size_ALU[[#All],[connector part numbers]],0),"")</f>
        <v/>
      </c>
      <c r="G34" s="21" t="str">
        <f t="shared" si="6"/>
        <v/>
      </c>
      <c r="H34" s="22" t="str">
        <f>IFERROR(MATCH(G34,contact_type_ALU[[#All],[connector part numbers]],0),"")</f>
        <v/>
      </c>
      <c r="M34" s="21" t="str">
        <f t="shared" si="7"/>
        <v/>
      </c>
      <c r="N34" s="22" t="str">
        <f>IFERROR(MATCH(M34,shell_style_ALU[[#All],[connector part numbers]],0),"")</f>
        <v/>
      </c>
      <c r="O34" s="21" t="str">
        <f t="shared" si="8"/>
        <v/>
      </c>
      <c r="P34" s="22" t="str">
        <f>IFERROR(MATCH(O34,Plating_ALU[[#All],[connector part numbers]],0),"")</f>
        <v/>
      </c>
      <c r="Q34" s="21" t="str">
        <f t="shared" si="9"/>
        <v/>
      </c>
      <c r="R34" s="22" t="str">
        <f>IFERROR(MATCH(Q34,shell_size_ALU[[#All],[connector part numbers]],0),"")</f>
        <v/>
      </c>
      <c r="S34" s="20" t="str">
        <f t="shared" si="10"/>
        <v/>
      </c>
      <c r="T34" s="22" t="str">
        <f>IFERROR(MATCH(S34,contact_type_ALU[[#All],[connector part numbers]],0),"")</f>
        <v/>
      </c>
    </row>
    <row r="35" spans="1:20" x14ac:dyDescent="0.25">
      <c r="A35" s="21" t="str">
        <f t="shared" si="3"/>
        <v/>
      </c>
      <c r="B35" s="22" t="str">
        <f>IFERROR(MATCH(A35,shell_style_ALU[[#All],[connector part numbers]],0),"")</f>
        <v/>
      </c>
      <c r="C35" s="21" t="str">
        <f t="shared" si="4"/>
        <v/>
      </c>
      <c r="D35" s="22" t="str">
        <f>IFERROR(MATCH(C35,Plating_ALU[[#All],[connector part numbers]],0),"")</f>
        <v/>
      </c>
      <c r="E35" s="21" t="str">
        <f t="shared" si="5"/>
        <v/>
      </c>
      <c r="F35" s="26" t="str">
        <f>IFERROR(MATCH(E35,shell_size_ALU[[#All],[connector part numbers]],0),"")</f>
        <v/>
      </c>
      <c r="G35" s="21" t="str">
        <f t="shared" si="6"/>
        <v/>
      </c>
      <c r="H35" s="22" t="str">
        <f>IFERROR(MATCH(G35,contact_type_ALU[[#All],[connector part numbers]],0),"")</f>
        <v/>
      </c>
      <c r="M35" s="21" t="str">
        <f t="shared" si="7"/>
        <v/>
      </c>
      <c r="N35" s="22" t="str">
        <f>IFERROR(MATCH(M35,shell_style_ALU[[#All],[connector part numbers]],0),"")</f>
        <v/>
      </c>
      <c r="O35" s="21" t="str">
        <f t="shared" si="8"/>
        <v/>
      </c>
      <c r="P35" s="22" t="str">
        <f>IFERROR(MATCH(O35,Plating_ALU[[#All],[connector part numbers]],0),"")</f>
        <v/>
      </c>
      <c r="Q35" s="21" t="str">
        <f t="shared" si="9"/>
        <v/>
      </c>
      <c r="R35" s="22" t="str">
        <f>IFERROR(MATCH(Q35,shell_size_ALU[[#All],[connector part numbers]],0),"")</f>
        <v/>
      </c>
      <c r="S35" s="20" t="str">
        <f t="shared" si="10"/>
        <v/>
      </c>
      <c r="T35" s="22" t="str">
        <f>IFERROR(MATCH(S35,contact_type_ALU[[#All],[connector part numbers]],0),"")</f>
        <v/>
      </c>
    </row>
    <row r="36" spans="1:20" x14ac:dyDescent="0.25">
      <c r="A36" s="21" t="str">
        <f t="shared" si="3"/>
        <v/>
      </c>
      <c r="B36" s="22" t="str">
        <f>IFERROR(MATCH(A36,shell_style_ALU[[#All],[connector part numbers]],0),"")</f>
        <v/>
      </c>
      <c r="C36" s="21" t="str">
        <f t="shared" si="4"/>
        <v/>
      </c>
      <c r="D36" s="22" t="str">
        <f>IFERROR(MATCH(C36,Plating_ALU[[#All],[connector part numbers]],0),"")</f>
        <v/>
      </c>
      <c r="E36" s="21" t="str">
        <f t="shared" si="5"/>
        <v/>
      </c>
      <c r="F36" s="26" t="str">
        <f>IFERROR(MATCH(E36,shell_size_ALU[[#All],[connector part numbers]],0),"")</f>
        <v/>
      </c>
      <c r="G36" s="21" t="str">
        <f t="shared" si="6"/>
        <v/>
      </c>
      <c r="H36" s="22" t="str">
        <f>IFERROR(MATCH(G36,contact_type_ALU[[#All],[connector part numbers]],0),"")</f>
        <v/>
      </c>
      <c r="M36" s="21" t="str">
        <f t="shared" si="7"/>
        <v/>
      </c>
      <c r="N36" s="22" t="str">
        <f>IFERROR(MATCH(M36,shell_style_ALU[[#All],[connector part numbers]],0),"")</f>
        <v/>
      </c>
      <c r="O36" s="21" t="str">
        <f t="shared" si="8"/>
        <v/>
      </c>
      <c r="P36" s="22" t="str">
        <f>IFERROR(MATCH(O36,Plating_ALU[[#All],[connector part numbers]],0),"")</f>
        <v/>
      </c>
      <c r="Q36" s="21" t="str">
        <f t="shared" si="9"/>
        <v/>
      </c>
      <c r="R36" s="22" t="str">
        <f>IFERROR(MATCH(Q36,shell_size_ALU[[#All],[connector part numbers]],0),"")</f>
        <v/>
      </c>
      <c r="S36" s="20" t="str">
        <f t="shared" si="10"/>
        <v/>
      </c>
      <c r="T36" s="22" t="str">
        <f>IFERROR(MATCH(S36,contact_type_ALU[[#All],[connector part numbers]],0),"")</f>
        <v/>
      </c>
    </row>
    <row r="37" spans="1:20" ht="15.75" thickBot="1" x14ac:dyDescent="0.3">
      <c r="A37" s="23" t="str">
        <f t="shared" si="3"/>
        <v/>
      </c>
      <c r="B37" s="25" t="str">
        <f>IFERROR(MATCH(A37,shell_style_ALU[[#All],[connector part numbers]],0),"")</f>
        <v/>
      </c>
      <c r="C37" s="23" t="str">
        <f t="shared" si="4"/>
        <v/>
      </c>
      <c r="D37" s="25" t="str">
        <f>IFERROR(MATCH(C37,Plating_ALU[[#All],[connector part numbers]],0),"")</f>
        <v/>
      </c>
      <c r="E37" s="23" t="str">
        <f t="shared" si="5"/>
        <v/>
      </c>
      <c r="F37" s="27" t="str">
        <f>IFERROR(MATCH(E37,shell_size_ALU[[#All],[connector part numbers]],0),"")</f>
        <v/>
      </c>
      <c r="G37" s="23" t="str">
        <f t="shared" si="6"/>
        <v/>
      </c>
      <c r="H37" s="25" t="str">
        <f>IFERROR(MATCH(G37,contact_type_ALU[[#All],[connector part numbers]],0),"")</f>
        <v/>
      </c>
      <c r="M37" s="23" t="str">
        <f t="shared" si="7"/>
        <v/>
      </c>
      <c r="N37" s="25" t="str">
        <f>IFERROR(MATCH(M37,shell_style_ALU[[#All],[connector part numbers]],0),"")</f>
        <v/>
      </c>
      <c r="O37" s="23" t="str">
        <f t="shared" si="8"/>
        <v/>
      </c>
      <c r="P37" s="25" t="str">
        <f>IFERROR(MATCH(O37,Plating_ALU[[#All],[connector part numbers]],0),"")</f>
        <v/>
      </c>
      <c r="Q37" s="23" t="str">
        <f t="shared" si="9"/>
        <v/>
      </c>
      <c r="R37" s="25" t="str">
        <f>IFERROR(MATCH(Q37,shell_size_ALU[[#All],[connector part numbers]],0),"")</f>
        <v/>
      </c>
      <c r="S37" s="24" t="str">
        <f t="shared" si="10"/>
        <v/>
      </c>
      <c r="T37" s="25" t="str">
        <f>IFERROR(MATCH(S37,contact_type_ALU[[#All],[connector part numbers]],0),"")</f>
        <v/>
      </c>
    </row>
    <row r="38" spans="1:20" s="4" customFormat="1" x14ac:dyDescent="0.25"/>
  </sheetData>
  <mergeCells count="12">
    <mergeCell ref="Q25:R25"/>
    <mergeCell ref="S25:T25"/>
    <mergeCell ref="C1:C12"/>
    <mergeCell ref="M1:M12"/>
    <mergeCell ref="A24:H24"/>
    <mergeCell ref="M24:T24"/>
    <mergeCell ref="A25:B25"/>
    <mergeCell ref="C25:D25"/>
    <mergeCell ref="E25:F25"/>
    <mergeCell ref="G25:H25"/>
    <mergeCell ref="M25:N25"/>
    <mergeCell ref="O25:P25"/>
  </mergeCell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8"/>
  <sheetViews>
    <sheetView topLeftCell="C1" zoomScale="55" zoomScaleNormal="55" workbookViewId="0">
      <selection activeCell="W2" sqref="W2"/>
    </sheetView>
  </sheetViews>
  <sheetFormatPr baseColWidth="10" defaultRowHeight="15" x14ac:dyDescent="0.25"/>
  <cols>
    <col min="4" max="4" width="12.42578125" bestFit="1" customWidth="1"/>
    <col min="5" max="5" width="25.28515625" customWidth="1"/>
    <col min="6" max="6" width="17.28515625" customWidth="1"/>
    <col min="7" max="7" width="14.5703125" customWidth="1"/>
    <col min="8" max="8" width="15.85546875" customWidth="1"/>
    <col min="9" max="9" width="14" customWidth="1"/>
    <col min="10" max="10" width="20" customWidth="1"/>
    <col min="11" max="11" width="19.140625" customWidth="1"/>
    <col min="14" max="14" width="12.42578125" bestFit="1" customWidth="1"/>
    <col min="15" max="15" width="18.85546875" customWidth="1"/>
    <col min="16" max="16" width="13.7109375" customWidth="1"/>
    <col min="17" max="17" width="16.42578125" customWidth="1"/>
    <col min="18" max="18" width="15" customWidth="1"/>
    <col min="19" max="19" width="14.7109375" customWidth="1"/>
    <col min="20" max="20" width="22" customWidth="1"/>
    <col min="21" max="21" width="19.140625" customWidth="1"/>
    <col min="22" max="22" width="18.28515625" customWidth="1"/>
  </cols>
  <sheetData>
    <row r="1" spans="2:22" x14ac:dyDescent="0.25">
      <c r="C1" s="38" t="s">
        <v>32</v>
      </c>
      <c r="D1" t="s">
        <v>76</v>
      </c>
      <c r="E1" s="13" t="s">
        <v>32</v>
      </c>
      <c r="F1" t="s">
        <v>34</v>
      </c>
      <c r="G1" t="s">
        <v>35</v>
      </c>
      <c r="H1" t="s">
        <v>36</v>
      </c>
      <c r="I1" t="s">
        <v>37</v>
      </c>
      <c r="J1" t="s">
        <v>38</v>
      </c>
      <c r="K1" t="s">
        <v>39</v>
      </c>
      <c r="M1" s="38" t="s">
        <v>33</v>
      </c>
      <c r="N1" t="s">
        <v>76</v>
      </c>
      <c r="O1" t="s">
        <v>33</v>
      </c>
      <c r="P1" t="s">
        <v>40</v>
      </c>
      <c r="Q1" t="s">
        <v>41</v>
      </c>
      <c r="R1" t="s">
        <v>42</v>
      </c>
      <c r="S1" t="s">
        <v>43</v>
      </c>
      <c r="T1" t="s">
        <v>44</v>
      </c>
      <c r="U1" t="s">
        <v>45</v>
      </c>
      <c r="V1" t="s">
        <v>46</v>
      </c>
    </row>
    <row r="2" spans="2:22" x14ac:dyDescent="0.25">
      <c r="C2" s="38"/>
      <c r="D2" t="str">
        <f>IF(entrée!A2="INOX",entrée!B2,"")</f>
        <v/>
      </c>
      <c r="E2" t="str">
        <f t="shared" ref="E2:E12" si="0">"D38999/"&amp;CONCATENATE(F2,G2,H2,I2,J2,K2)</f>
        <v>D38999/</v>
      </c>
      <c r="F2" t="str">
        <f>IFERROR(INDEX(Shell_style_inox[#All],B26,3),"")</f>
        <v/>
      </c>
      <c r="G2" t="str">
        <f>IFERROR(INDEX(Plating_inox[#All],D26,3),"")</f>
        <v/>
      </c>
      <c r="H2" t="str">
        <f>IFERROR(INDEX(shell_size_inox[#All],F26,3),"")</f>
        <v/>
      </c>
      <c r="I2" t="str">
        <f t="shared" ref="I2:I12" si="1">MID(D2,8,2)</f>
        <v/>
      </c>
      <c r="J2" t="str">
        <f>IFERROR(INDEX(Contact_type_inox[#All],H26,3),"")</f>
        <v/>
      </c>
      <c r="K2" t="str">
        <f t="shared" ref="K2:K12" si="2">MID(D2,11,1)</f>
        <v/>
      </c>
      <c r="M2" s="38"/>
      <c r="N2" t="str">
        <f>IF(entrée!A2="INOX",entrée!B2,"")</f>
        <v/>
      </c>
      <c r="O2" t="str">
        <f>"EN3645"&amp;CONCATENATE(ref_INOX_EN3645[[#This Row],[PLATING EN]],ref_INOX_EN3645[[#This Row],[SHELL STYLE EN]],ref_INOX_EN3645[[#This Row],[SHELL SIZE EN]],ref_INOX_EN3645[[#This Row],[GROUNDING]],ref_INOX_EN3645[[#This Row],[CONTACT LAYOUT EN]],ref_INOX_EN3645[[#This Row],[CONTACT TYPE EN]],ref_INOX_EN3645[[#This Row],[ORIENTATION EN]])</f>
        <v>EN3645N</v>
      </c>
      <c r="P2" t="str">
        <f>IFERROR(INDEX(Plating_inox[#All],P26,4),"")</f>
        <v/>
      </c>
      <c r="Q2" t="str">
        <f>IFERROR(INDEX(Shell_style_inox[#All],N26,4),"")</f>
        <v/>
      </c>
      <c r="R2" t="str">
        <f>IFERROR(INDEX(shell_size_inox[#All],R26,4),"")</f>
        <v/>
      </c>
      <c r="S2" s="1" t="s">
        <v>21</v>
      </c>
      <c r="T2" t="str">
        <f>IFERROR(MID(ref_INOX_EN3645[[#This Row],[ref_fab]],8,2),"")</f>
        <v/>
      </c>
      <c r="U2" t="str">
        <f>IFERROR(INDEX(Contact_type_inox[#All],T26,4),"")</f>
        <v/>
      </c>
      <c r="V2" t="str">
        <f>IFERROR(MID(ref_INOX_EN3645[[#This Row],[ref_fab]],11,1),"")</f>
        <v/>
      </c>
    </row>
    <row r="3" spans="2:22" x14ac:dyDescent="0.25">
      <c r="C3" s="38"/>
      <c r="D3" t="str">
        <f>IF(entrée!A3="INOX",entrée!B3,"")</f>
        <v/>
      </c>
      <c r="E3" t="str">
        <f t="shared" si="0"/>
        <v>D38999/</v>
      </c>
      <c r="F3" t="str">
        <f>IFERROR(INDEX(Shell_style_inox[#All],B27,3),"")</f>
        <v/>
      </c>
      <c r="G3" t="str">
        <f>IFERROR(INDEX(Plating_inox[#All],D27,3),"")</f>
        <v/>
      </c>
      <c r="H3" t="str">
        <f>IFERROR(INDEX(shell_size_inox[#All],F27,3),"")</f>
        <v/>
      </c>
      <c r="I3" t="str">
        <f t="shared" si="1"/>
        <v/>
      </c>
      <c r="J3" t="str">
        <f>IFERROR(INDEX(Contact_type_inox[#All],H27,3),"")</f>
        <v/>
      </c>
      <c r="K3" t="str">
        <f t="shared" si="2"/>
        <v/>
      </c>
      <c r="M3" s="38"/>
      <c r="N3" t="str">
        <f>IF(entrée!A3="INOX",entrée!B3,"")</f>
        <v/>
      </c>
      <c r="O3" t="str">
        <f>"EN3645"&amp;CONCATENATE(ref_INOX_EN3645[[#This Row],[PLATING EN]],ref_INOX_EN3645[[#This Row],[SHELL STYLE EN]],ref_INOX_EN3645[[#This Row],[SHELL SIZE EN]],ref_INOX_EN3645[[#This Row],[GROUNDING]],ref_INOX_EN3645[[#This Row],[CONTACT LAYOUT EN]],ref_INOX_EN3645[[#This Row],[CONTACT TYPE EN]])</f>
        <v>EN3645N</v>
      </c>
      <c r="P3" t="str">
        <f>IFERROR(INDEX(Plating_inox[#All],P27,4),"")</f>
        <v/>
      </c>
      <c r="Q3" t="str">
        <f>IFERROR(INDEX(Shell_style_inox[#All],N27,4),"")</f>
        <v/>
      </c>
      <c r="R3" t="str">
        <f>IFERROR(INDEX(shell_size_inox[#All],R27,4),"")</f>
        <v/>
      </c>
      <c r="S3" s="1" t="s">
        <v>21</v>
      </c>
      <c r="T3" t="str">
        <f>IFERROR(MID(ref_INOX_EN3645[[#This Row],[ref_fab]],8,2),"")</f>
        <v/>
      </c>
      <c r="U3" t="str">
        <f>IFERROR(INDEX(Contact_type_inox[#All],T27,4),"")</f>
        <v/>
      </c>
      <c r="V3" t="str">
        <f>IFERROR(MID(ref_INOX_EN3645[[#This Row],[ref_fab]],11,1),"")</f>
        <v/>
      </c>
    </row>
    <row r="4" spans="2:22" x14ac:dyDescent="0.25">
      <c r="C4" s="38"/>
      <c r="D4" t="str">
        <f>IF(entrée!A4="INOX",entrée!B4,"")</f>
        <v>8D5-09K35SN</v>
      </c>
      <c r="E4" t="str">
        <f t="shared" si="0"/>
        <v>D38999/26KA35SN</v>
      </c>
      <c r="F4">
        <f>IFERROR(INDEX(Shell_style_inox[#All],B28,3),"")</f>
        <v>26</v>
      </c>
      <c r="G4" t="str">
        <f>IFERROR(INDEX(Plating_inox[#All],D28,3),"")</f>
        <v>K</v>
      </c>
      <c r="H4" t="str">
        <f>IFERROR(INDEX(shell_size_inox[#All],F28,3),"")</f>
        <v>A</v>
      </c>
      <c r="I4" t="str">
        <f t="shared" si="1"/>
        <v>35</v>
      </c>
      <c r="J4" t="str">
        <f>IFERROR(INDEX(Contact_type_inox[#All],H28,3),"")</f>
        <v>S</v>
      </c>
      <c r="K4" t="str">
        <f t="shared" si="2"/>
        <v>N</v>
      </c>
      <c r="M4" s="38"/>
      <c r="N4" t="str">
        <f>IF(entrée!A4="INOX",entrée!B4,"")</f>
        <v>8D5-09K35SN</v>
      </c>
      <c r="O4" t="str">
        <f>"EN3645"&amp;CONCATENATE(ref_INOX_EN3645[[#This Row],[PLATING EN]],ref_INOX_EN3645[[#This Row],[SHELL STYLE EN]],ref_INOX_EN3645[[#This Row],[SHELL SIZE EN]],ref_INOX_EN3645[[#This Row],[GROUNDING]],ref_INOX_EN3645[[#This Row],[CONTACT LAYOUT EN]],ref_INOX_EN3645[[#This Row],[CONTACT TYPE EN]])</f>
        <v>EN3645K6AN35F</v>
      </c>
      <c r="P4" t="str">
        <f>IFERROR(INDEX(Plating_inox[#All],P28,4),"")</f>
        <v>K</v>
      </c>
      <c r="Q4">
        <f>IFERROR(INDEX(Shell_style_inox[#All],N28,4),"")</f>
        <v>6</v>
      </c>
      <c r="R4" t="str">
        <f>IFERROR(INDEX(shell_size_inox[#All],R28,4),"")</f>
        <v>A</v>
      </c>
      <c r="S4" s="1" t="s">
        <v>21</v>
      </c>
      <c r="T4" t="str">
        <f>IFERROR(MID(ref_INOX_EN3645[[#This Row],[ref_fab]],8,2),"")</f>
        <v>35</v>
      </c>
      <c r="U4" t="str">
        <f>IFERROR(INDEX(Contact_type_inox[#All],T28,4),"")</f>
        <v>F</v>
      </c>
      <c r="V4" t="str">
        <f>IFERROR(MID(ref_INOX_EN3645[[#This Row],[ref_fab]],11,1),"")</f>
        <v>N</v>
      </c>
    </row>
    <row r="5" spans="2:22" x14ac:dyDescent="0.25">
      <c r="C5" s="38"/>
      <c r="D5" t="str">
        <f>IF(entrée!A5="INOX",entrée!B5,"")</f>
        <v>8D7-11K35PN</v>
      </c>
      <c r="E5" t="str">
        <f t="shared" si="0"/>
        <v>D38999/24KB35PN</v>
      </c>
      <c r="F5">
        <f>IFERROR(INDEX(Shell_style_inox[#All],B29,3),"")</f>
        <v>24</v>
      </c>
      <c r="G5" t="str">
        <f>IFERROR(INDEX(Plating_inox[#All],D29,3),"")</f>
        <v>K</v>
      </c>
      <c r="H5" t="str">
        <f>IFERROR(INDEX(shell_size_inox[#All],F29,3),"")</f>
        <v>B</v>
      </c>
      <c r="I5" t="str">
        <f t="shared" si="1"/>
        <v>35</v>
      </c>
      <c r="J5" t="str">
        <f>IFERROR(INDEX(Contact_type_inox[#All],H29,3),"")</f>
        <v>P</v>
      </c>
      <c r="K5" t="str">
        <f t="shared" si="2"/>
        <v>N</v>
      </c>
      <c r="M5" s="38"/>
      <c r="N5" t="str">
        <f>IF(entrée!A5="INOX",entrée!B5,"")</f>
        <v>8D7-11K35PN</v>
      </c>
      <c r="O5" t="str">
        <f>"EN3645"&amp;CONCATENATE(ref_INOX_EN3645[[#This Row],[PLATING EN]],ref_INOX_EN3645[[#This Row],[SHELL STYLE EN]],ref_INOX_EN3645[[#This Row],[SHELL SIZE EN]],ref_INOX_EN3645[[#This Row],[GROUNDING]],ref_INOX_EN3645[[#This Row],[CONTACT LAYOUT EN]],ref_INOX_EN3645[[#This Row],[CONTACT TYPE EN]])</f>
        <v>EN3645K7BN35M</v>
      </c>
      <c r="P5" t="str">
        <f>IFERROR(INDEX(Plating_inox[#All],P29,4),"")</f>
        <v>K</v>
      </c>
      <c r="Q5">
        <f>IFERROR(INDEX(Shell_style_inox[#All],N29,4),"")</f>
        <v>7</v>
      </c>
      <c r="R5" t="str">
        <f>IFERROR(INDEX(shell_size_inox[#All],R29,4),"")</f>
        <v>B</v>
      </c>
      <c r="S5" s="1" t="s">
        <v>21</v>
      </c>
      <c r="T5" t="str">
        <f>IFERROR(MID(ref_INOX_EN3645[[#This Row],[ref_fab]],8,2),"")</f>
        <v>35</v>
      </c>
      <c r="U5" t="str">
        <f>IFERROR(INDEX(Contact_type_inox[#All],T29,4),"")</f>
        <v>M</v>
      </c>
      <c r="V5" t="str">
        <f>IFERROR(MID(ref_INOX_EN3645[[#This Row],[ref_fab]],11,1),"")</f>
        <v>N</v>
      </c>
    </row>
    <row r="6" spans="2:22" x14ac:dyDescent="0.25">
      <c r="C6" s="38"/>
      <c r="D6" s="14" t="str">
        <f>IF(entrée!A6="INOX",entrée!B6,"")</f>
        <v/>
      </c>
      <c r="E6" t="str">
        <f t="shared" si="0"/>
        <v>D38999/</v>
      </c>
      <c r="F6" t="str">
        <f>IFERROR(INDEX(Shell_style_inox[#All],B30,3),"")</f>
        <v/>
      </c>
      <c r="G6" s="15" t="str">
        <f>IFERROR(INDEX(Plating_inox[#All],D30,3),"")</f>
        <v/>
      </c>
      <c r="H6" t="str">
        <f>IFERROR(INDEX(shell_size_inox[#All],F30,3),"")</f>
        <v/>
      </c>
      <c r="I6" t="str">
        <f t="shared" si="1"/>
        <v/>
      </c>
      <c r="J6" t="str">
        <f>IFERROR(INDEX(Contact_type_inox[#All],H30,3),"")</f>
        <v/>
      </c>
      <c r="K6" t="str">
        <f t="shared" si="2"/>
        <v/>
      </c>
      <c r="M6" s="38"/>
      <c r="N6" t="str">
        <f>IF(entrée!A6="INOX",entrée!B6,"")</f>
        <v/>
      </c>
      <c r="O6" t="str">
        <f>"EN3645"&amp;CONCATENATE(ref_INOX_EN3645[[#This Row],[PLATING EN]],ref_INOX_EN3645[[#This Row],[SHELL STYLE EN]],ref_INOX_EN3645[[#This Row],[SHELL SIZE EN]],ref_INOX_EN3645[[#This Row],[GROUNDING]],ref_INOX_EN3645[[#This Row],[CONTACT LAYOUT EN]],ref_INOX_EN3645[[#This Row],[CONTACT TYPE EN]])</f>
        <v>EN3645N</v>
      </c>
      <c r="P6" t="str">
        <f>IFERROR(INDEX(Plating_inox[#All],P30,4),"")</f>
        <v/>
      </c>
      <c r="Q6" t="str">
        <f>IFERROR(INDEX(Shell_style_inox[#All],N30,4),"")</f>
        <v/>
      </c>
      <c r="R6" t="str">
        <f>IFERROR(INDEX(shell_size_inox[#All],R30,4),"")</f>
        <v/>
      </c>
      <c r="S6" s="1" t="s">
        <v>21</v>
      </c>
      <c r="T6" t="str">
        <f>IFERROR(MID(ref_INOX_EN3645[[#This Row],[ref_fab]],8,2),"")</f>
        <v/>
      </c>
      <c r="U6" t="str">
        <f>IFERROR(INDEX(Contact_type_inox[#All],T30,4),"")</f>
        <v/>
      </c>
      <c r="V6" t="str">
        <f>IFERROR(MID(ref_INOX_EN3645[[#This Row],[ref_fab]],11,1),"")</f>
        <v/>
      </c>
    </row>
    <row r="7" spans="2:22" x14ac:dyDescent="0.25">
      <c r="C7" s="38"/>
      <c r="D7" s="14" t="str">
        <f>IF(entrée!A7="INOX",entrée!B7,"")</f>
        <v/>
      </c>
      <c r="E7" t="str">
        <f t="shared" si="0"/>
        <v>D38999/</v>
      </c>
      <c r="F7" t="str">
        <f>IFERROR(INDEX(Shell_style_inox[#All],B31,3),"")</f>
        <v/>
      </c>
      <c r="G7" t="str">
        <f>IFERROR(INDEX(Plating_inox[#All],D31,3),"")</f>
        <v/>
      </c>
      <c r="H7" t="str">
        <f>IFERROR(INDEX(shell_size_inox[#All],F31,3),"")</f>
        <v/>
      </c>
      <c r="I7" t="str">
        <f t="shared" si="1"/>
        <v/>
      </c>
      <c r="J7" t="str">
        <f>IFERROR(INDEX(Contact_type_inox[#All],H31,3),"")</f>
        <v/>
      </c>
      <c r="K7" t="str">
        <f t="shared" si="2"/>
        <v/>
      </c>
      <c r="M7" s="38"/>
      <c r="N7" t="str">
        <f>IF(entrée!A7="INOX",entrée!B7,"")</f>
        <v/>
      </c>
      <c r="O7" t="str">
        <f>"EN3645"&amp;CONCATENATE(ref_INOX_EN3645[[#This Row],[PLATING EN]],ref_INOX_EN3645[[#This Row],[SHELL STYLE EN]],ref_INOX_EN3645[[#This Row],[SHELL SIZE EN]],ref_INOX_EN3645[[#This Row],[GROUNDING]],ref_INOX_EN3645[[#This Row],[CONTACT LAYOUT EN]],ref_INOX_EN3645[[#This Row],[CONTACT TYPE EN]])</f>
        <v>EN3645N</v>
      </c>
      <c r="P7" t="str">
        <f>IFERROR(INDEX(Plating_inox[#All],P31,4),"")</f>
        <v/>
      </c>
      <c r="Q7" t="str">
        <f>IFERROR(INDEX(Shell_style_inox[#All],N31,4),"")</f>
        <v/>
      </c>
      <c r="R7" t="str">
        <f>IFERROR(INDEX(shell_size_inox[#All],R31,4),"")</f>
        <v/>
      </c>
      <c r="S7" s="1" t="s">
        <v>21</v>
      </c>
      <c r="T7" t="str">
        <f>IFERROR(MID(ref_INOX_EN3645[[#This Row],[ref_fab]],8,2),"")</f>
        <v/>
      </c>
      <c r="U7" t="str">
        <f>IFERROR(INDEX(Contact_type_inox[#All],T31,4),"")</f>
        <v/>
      </c>
      <c r="V7" t="str">
        <f>IFERROR(MID(ref_INOX_EN3645[[#This Row],[ref_fab]],11,1),"")</f>
        <v/>
      </c>
    </row>
    <row r="8" spans="2:22" x14ac:dyDescent="0.25">
      <c r="C8" s="38"/>
      <c r="D8" s="14" t="str">
        <f>IF(entrée!A8="INOX",entrée!B8,"")</f>
        <v/>
      </c>
      <c r="E8" t="str">
        <f t="shared" si="0"/>
        <v>D38999/</v>
      </c>
      <c r="F8" s="17" t="str">
        <f>IFERROR(INDEX(Shell_style_inox[#All],B32,3),"")</f>
        <v/>
      </c>
      <c r="G8" s="17" t="str">
        <f>IFERROR(INDEX(Plating_inox[#All],D32,3),"")</f>
        <v/>
      </c>
      <c r="H8" s="17" t="str">
        <f>IFERROR(INDEX(shell_size_inox[#All],F32,3),"")</f>
        <v/>
      </c>
      <c r="I8" t="str">
        <f t="shared" si="1"/>
        <v/>
      </c>
      <c r="J8" s="17" t="str">
        <f>IFERROR(INDEX(Contact_type_inox[#All],H32,3),"")</f>
        <v/>
      </c>
      <c r="K8" t="str">
        <f t="shared" si="2"/>
        <v/>
      </c>
      <c r="M8" s="38"/>
      <c r="N8" t="str">
        <f>IF(entrée!A8="INOX",entrée!B8,"")</f>
        <v/>
      </c>
      <c r="O8" t="str">
        <f>"EN3645"&amp;CONCATENATE(ref_INOX_EN3645[[#This Row],[PLATING EN]],ref_INOX_EN3645[[#This Row],[SHELL STYLE EN]],ref_INOX_EN3645[[#This Row],[SHELL SIZE EN]],ref_INOX_EN3645[[#This Row],[GROUNDING]],ref_INOX_EN3645[[#This Row],[CONTACT LAYOUT EN]],ref_INOX_EN3645[[#This Row],[CONTACT TYPE EN]])</f>
        <v>EN3645N</v>
      </c>
      <c r="P8" t="str">
        <f>IFERROR(INDEX(Plating_inox[#All],P32,4),"")</f>
        <v/>
      </c>
      <c r="Q8" t="str">
        <f>IFERROR(INDEX(Shell_style_inox[#All],N32,4),"")</f>
        <v/>
      </c>
      <c r="R8" t="str">
        <f>IFERROR(INDEX(shell_size_inox[#All],R32,4),"")</f>
        <v/>
      </c>
      <c r="S8" s="1" t="s">
        <v>21</v>
      </c>
      <c r="T8" t="str">
        <f>IFERROR(MID(ref_INOX_EN3645[[#This Row],[ref_fab]],8,2),"")</f>
        <v/>
      </c>
      <c r="U8" t="str">
        <f>IFERROR(INDEX(Contact_type_inox[#All],T32,4),"")</f>
        <v/>
      </c>
      <c r="V8" t="str">
        <f>IFERROR(MID(ref_INOX_EN3645[[#This Row],[ref_fab]],11,1),"")</f>
        <v/>
      </c>
    </row>
    <row r="9" spans="2:22" x14ac:dyDescent="0.25">
      <c r="C9" s="38"/>
      <c r="D9" t="str">
        <f>IF(entrée!A9="INOX",entrée!B9,"")</f>
        <v/>
      </c>
      <c r="E9" t="str">
        <f t="shared" si="0"/>
        <v>D38999/</v>
      </c>
      <c r="F9" s="17" t="str">
        <f>IFERROR(INDEX(Shell_style_inox[#All],B33,3),"")</f>
        <v/>
      </c>
      <c r="G9" s="17" t="str">
        <f>IFERROR(INDEX(Plating_inox[#All],D33,3),"")</f>
        <v/>
      </c>
      <c r="H9" s="17" t="str">
        <f>IFERROR(INDEX(shell_size_inox[#All],F33,3),"")</f>
        <v/>
      </c>
      <c r="I9" s="14" t="str">
        <f t="shared" si="1"/>
        <v/>
      </c>
      <c r="J9" s="18" t="str">
        <f>IFERROR(INDEX(Contact_type_inox[#All],H33,3),"")</f>
        <v/>
      </c>
      <c r="K9" s="14" t="str">
        <f t="shared" si="2"/>
        <v/>
      </c>
      <c r="M9" s="38"/>
      <c r="N9" t="str">
        <f>IF(entrée!A9="INOX",entrée!B9,"")</f>
        <v/>
      </c>
      <c r="O9" t="str">
        <f>"EN3645"&amp;CONCATENATE(ref_INOX_EN3645[[#This Row],[PLATING EN]],ref_INOX_EN3645[[#This Row],[SHELL STYLE EN]],ref_INOX_EN3645[[#This Row],[SHELL SIZE EN]],ref_INOX_EN3645[[#This Row],[GROUNDING]],ref_INOX_EN3645[[#This Row],[CONTACT LAYOUT EN]],ref_INOX_EN3645[[#This Row],[CONTACT TYPE EN]])</f>
        <v>EN3645N</v>
      </c>
      <c r="P9" t="str">
        <f>IFERROR(INDEX(Plating_inox[#All],P33,4),"")</f>
        <v/>
      </c>
      <c r="Q9" t="str">
        <f>IFERROR(INDEX(Shell_style_inox[#All],N33,4),"")</f>
        <v/>
      </c>
      <c r="R9" t="str">
        <f>IFERROR(INDEX(shell_size_inox[#All],R33,4),"")</f>
        <v/>
      </c>
      <c r="S9" s="1" t="s">
        <v>21</v>
      </c>
      <c r="T9" t="str">
        <f>IFERROR(MID(ref_INOX_EN3645[[#This Row],[ref_fab]],8,2),"")</f>
        <v/>
      </c>
      <c r="U9" t="str">
        <f>IFERROR(INDEX(Contact_type_inox[#All],T33,4),"")</f>
        <v/>
      </c>
      <c r="V9" t="str">
        <f>IFERROR(MID(ref_INOX_EN3645[[#This Row],[ref_fab]],11,1),"")</f>
        <v/>
      </c>
    </row>
    <row r="10" spans="2:22" x14ac:dyDescent="0.25">
      <c r="C10" s="38"/>
      <c r="D10" t="str">
        <f>IF(entrée!A10="INOX",entrée!B10,"")</f>
        <v/>
      </c>
      <c r="E10" t="str">
        <f t="shared" si="0"/>
        <v>D38999/</v>
      </c>
      <c r="F10" s="17" t="str">
        <f>IFERROR(INDEX(Shell_style_inox[#All],B34,3),"")</f>
        <v/>
      </c>
      <c r="G10" s="17" t="str">
        <f>IFERROR(INDEX(Plating_inox[#All],D34,3),"")</f>
        <v/>
      </c>
      <c r="H10" s="17" t="str">
        <f>IFERROR(INDEX(shell_size_inox[#All],F34,3),"")</f>
        <v/>
      </c>
      <c r="I10" t="str">
        <f t="shared" si="1"/>
        <v/>
      </c>
      <c r="J10" s="17" t="str">
        <f>IFERROR(INDEX(Contact_type_inox[#All],H34,3),"")</f>
        <v/>
      </c>
      <c r="K10" t="str">
        <f t="shared" si="2"/>
        <v/>
      </c>
      <c r="M10" s="38"/>
      <c r="N10" t="str">
        <f>IF(entrée!A10="INOX",entrée!B10,"")</f>
        <v/>
      </c>
      <c r="O10" t="str">
        <f>"EN3645"&amp;CONCATENATE(ref_INOX_EN3645[[#This Row],[PLATING EN]],ref_INOX_EN3645[[#This Row],[SHELL STYLE EN]],ref_INOX_EN3645[[#This Row],[SHELL SIZE EN]],ref_INOX_EN3645[[#This Row],[GROUNDING]],ref_INOX_EN3645[[#This Row],[CONTACT LAYOUT EN]],ref_INOX_EN3645[[#This Row],[CONTACT TYPE EN]])</f>
        <v>EN3645N</v>
      </c>
      <c r="P10" t="str">
        <f>IFERROR(INDEX(Plating_inox[#All],P34,4),"")</f>
        <v/>
      </c>
      <c r="Q10" t="str">
        <f>IFERROR(INDEX(Shell_style_inox[#All],N34,4),"")</f>
        <v/>
      </c>
      <c r="R10" t="str">
        <f>IFERROR(INDEX(shell_size_inox[#All],R34,4),"")</f>
        <v/>
      </c>
      <c r="S10" s="1" t="s">
        <v>21</v>
      </c>
      <c r="T10" t="str">
        <f>IFERROR(MID(ref_INOX_EN3645[[#This Row],[ref_fab]],8,2),"")</f>
        <v/>
      </c>
      <c r="U10" t="str">
        <f>IFERROR(INDEX(Contact_type_inox[#All],T34,4),"")</f>
        <v/>
      </c>
      <c r="V10" t="str">
        <f>IFERROR(MID(ref_INOX_EN3645[[#This Row],[ref_fab]],11,1),"")</f>
        <v/>
      </c>
    </row>
    <row r="11" spans="2:22" x14ac:dyDescent="0.25">
      <c r="C11" s="38"/>
      <c r="D11" t="str">
        <f>IF(entrée!A11="INOX",entrée!B11,"")</f>
        <v/>
      </c>
      <c r="E11" t="str">
        <f t="shared" si="0"/>
        <v>D38999/</v>
      </c>
      <c r="F11" s="17" t="str">
        <f>IFERROR(INDEX(Shell_style_inox[#All],B35,3),"")</f>
        <v/>
      </c>
      <c r="G11" s="17" t="str">
        <f>IFERROR(INDEX(Plating_inox[#All],D35,3),"")</f>
        <v/>
      </c>
      <c r="H11" s="17" t="str">
        <f>IFERROR(INDEX(shell_size_inox[#All],F35,3),"")</f>
        <v/>
      </c>
      <c r="I11" t="str">
        <f t="shared" si="1"/>
        <v/>
      </c>
      <c r="J11" s="17" t="str">
        <f>IFERROR(INDEX(Contact_type_inox[#All],H35,3),"")</f>
        <v/>
      </c>
      <c r="K11" t="str">
        <f t="shared" si="2"/>
        <v/>
      </c>
      <c r="M11" s="38"/>
      <c r="N11" t="str">
        <f>IF(entrée!A11="INOX",entrée!B11,"")</f>
        <v/>
      </c>
      <c r="O11" t="str">
        <f>"EN3645"&amp;CONCATENATE(ref_INOX_EN3645[[#This Row],[PLATING EN]],ref_INOX_EN3645[[#This Row],[SHELL STYLE EN]],ref_INOX_EN3645[[#This Row],[SHELL SIZE EN]],ref_INOX_EN3645[[#This Row],[GROUNDING]],ref_INOX_EN3645[[#This Row],[CONTACT LAYOUT EN]],ref_INOX_EN3645[[#This Row],[CONTACT TYPE EN]])</f>
        <v>EN3645N</v>
      </c>
      <c r="P11" t="str">
        <f>IFERROR(INDEX(Plating_inox[#All],P35,4),"")</f>
        <v/>
      </c>
      <c r="Q11" t="str">
        <f>IFERROR(INDEX(Shell_style_inox[#All],N35,4),"")</f>
        <v/>
      </c>
      <c r="R11" t="str">
        <f>IFERROR(INDEX(shell_size_inox[#All],R35,4),"")</f>
        <v/>
      </c>
      <c r="S11" s="1" t="s">
        <v>21</v>
      </c>
      <c r="T11" t="str">
        <f>IFERROR(MID(ref_INOX_EN3645[[#This Row],[ref_fab]],8,2),"")</f>
        <v/>
      </c>
      <c r="U11" t="str">
        <f>IFERROR(INDEX(Contact_type_inox[#All],T35,4),"")</f>
        <v/>
      </c>
      <c r="V11" t="str">
        <f>IFERROR(MID(ref_INOX_EN3645[[#This Row],[ref_fab]],11,1),"")</f>
        <v/>
      </c>
    </row>
    <row r="12" spans="2:22" x14ac:dyDescent="0.25">
      <c r="C12" s="38"/>
      <c r="D12" t="str">
        <f>IF(entrée!A12="INOX",entrée!B12,"")</f>
        <v/>
      </c>
      <c r="E12" t="str">
        <f t="shared" si="0"/>
        <v>D38999/</v>
      </c>
      <c r="F12" s="17" t="str">
        <f>IFERROR(INDEX(Shell_style_inox[#All],B36,3),"")</f>
        <v/>
      </c>
      <c r="G12" s="17" t="str">
        <f>IFERROR(INDEX(Plating_inox[#All],D36,3),"")</f>
        <v/>
      </c>
      <c r="H12" s="17" t="str">
        <f>IFERROR(INDEX(shell_size_inox[#All],F36,3),"")</f>
        <v/>
      </c>
      <c r="I12" t="str">
        <f t="shared" si="1"/>
        <v/>
      </c>
      <c r="J12" s="17" t="str">
        <f>IFERROR(INDEX(Contact_type_inox[#All],H36,3),"")</f>
        <v/>
      </c>
      <c r="K12" t="str">
        <f t="shared" si="2"/>
        <v/>
      </c>
      <c r="M12" s="38"/>
      <c r="N12" t="str">
        <f>IF(entrée!A12="INOX",entrée!B12,"")</f>
        <v/>
      </c>
      <c r="O12" t="str">
        <f>"EN3645"&amp;CONCATENATE(ref_INOX_EN3645[[#This Row],[PLATING EN]],ref_INOX_EN3645[[#This Row],[SHELL STYLE EN]],ref_INOX_EN3645[[#This Row],[SHELL SIZE EN]],ref_INOX_EN3645[[#This Row],[GROUNDING]],ref_INOX_EN3645[[#This Row],[CONTACT LAYOUT EN]],ref_INOX_EN3645[[#This Row],[CONTACT TYPE EN]])</f>
        <v>EN3645N</v>
      </c>
      <c r="P12" t="str">
        <f>IFERROR(INDEX(Plating_inox[#All],P36,4),"")</f>
        <v/>
      </c>
      <c r="Q12" t="str">
        <f>IFERROR(INDEX(Shell_style_inox[#All],N36,4),"")</f>
        <v/>
      </c>
      <c r="R12" t="str">
        <f>IFERROR(INDEX(shell_size_inox[#All],R36,4),"")</f>
        <v/>
      </c>
      <c r="S12" s="1" t="s">
        <v>21</v>
      </c>
      <c r="T12" t="str">
        <f>IFERROR(MID(ref_INOX_EN3645[[#This Row],[ref_fab]],8,2),"")</f>
        <v/>
      </c>
      <c r="U12" t="str">
        <f>IFERROR(INDEX(Contact_type_inox[#All],T36,4),"")</f>
        <v/>
      </c>
      <c r="V12" t="str">
        <f>IFERROR(MID(ref_INOX_EN3645[[#This Row],[ref_fab]],11,1),"")</f>
        <v/>
      </c>
    </row>
    <row r="13" spans="2:22" x14ac:dyDescent="0.25">
      <c r="B13" s="1"/>
    </row>
    <row r="14" spans="2:22" x14ac:dyDescent="0.25">
      <c r="B14" s="1"/>
    </row>
    <row r="15" spans="2:22" x14ac:dyDescent="0.25">
      <c r="B15" s="1"/>
    </row>
    <row r="16" spans="2:22" x14ac:dyDescent="0.25">
      <c r="B16" s="1"/>
    </row>
    <row r="23" spans="1:20" ht="15.75" thickBot="1" x14ac:dyDescent="0.3"/>
    <row r="24" spans="1:20" ht="15.75" thickBot="1" x14ac:dyDescent="0.3">
      <c r="A24" s="35" t="s">
        <v>101</v>
      </c>
      <c r="B24" s="36"/>
      <c r="C24" s="36"/>
      <c r="D24" s="36"/>
      <c r="E24" s="36"/>
      <c r="F24" s="36"/>
      <c r="G24" s="36"/>
      <c r="H24" s="37"/>
      <c r="M24" s="35" t="s">
        <v>102</v>
      </c>
      <c r="N24" s="36"/>
      <c r="O24" s="36"/>
      <c r="P24" s="36"/>
      <c r="Q24" s="36"/>
      <c r="R24" s="36"/>
      <c r="S24" s="36"/>
      <c r="T24" s="37"/>
    </row>
    <row r="25" spans="1:20" x14ac:dyDescent="0.25">
      <c r="A25" s="31" t="s">
        <v>97</v>
      </c>
      <c r="B25" s="32"/>
      <c r="C25" s="31" t="s">
        <v>35</v>
      </c>
      <c r="D25" s="32"/>
      <c r="E25" s="31" t="s">
        <v>36</v>
      </c>
      <c r="F25" s="32"/>
      <c r="G25" s="33" t="s">
        <v>38</v>
      </c>
      <c r="H25" s="34"/>
      <c r="M25" s="31" t="s">
        <v>97</v>
      </c>
      <c r="N25" s="32"/>
      <c r="O25" s="31" t="s">
        <v>40</v>
      </c>
      <c r="P25" s="32"/>
      <c r="Q25" s="31" t="s">
        <v>36</v>
      </c>
      <c r="R25" s="32"/>
      <c r="S25" s="33" t="s">
        <v>45</v>
      </c>
      <c r="T25" s="34"/>
    </row>
    <row r="26" spans="1:20" x14ac:dyDescent="0.25">
      <c r="A26" s="21" t="str">
        <f>IFERROR(MID(D2,3,1)*1,"")</f>
        <v/>
      </c>
      <c r="B26" s="22" t="str">
        <f>IFERROR(MATCH(A26,Shell_style_inox[[#All],[connector part numbers]],0),"")</f>
        <v/>
      </c>
      <c r="C26" s="21" t="str">
        <f>IFERROR(MID(D2,7,1),"")</f>
        <v/>
      </c>
      <c r="D26" s="22" t="str">
        <f>IFERROR(MATCH(C26,Plating_inox[[#All],[connector part numbers]],0),"")</f>
        <v/>
      </c>
      <c r="E26" s="21" t="str">
        <f>IFERROR(MID(D2,5,2)*1,"")</f>
        <v/>
      </c>
      <c r="F26" s="26" t="str">
        <f>IFERROR(MATCH(E26,shell_size_inox[[#All],[connector part numbers]],0),"")</f>
        <v/>
      </c>
      <c r="G26" s="20" t="str">
        <f>IFERROR(MID(D2,10,1),"")</f>
        <v/>
      </c>
      <c r="H26" s="22" t="str">
        <f>IFERROR(MATCH(G26,Contact_type_inox[[#All],[connector part numbers]],0),"")</f>
        <v/>
      </c>
      <c r="M26" s="21" t="str">
        <f>IFERROR(MID(N2,3,1)*1,"")</f>
        <v/>
      </c>
      <c r="N26" s="22" t="str">
        <f>IFERROR(MATCH(M26,Shell_style_inox[[#All],[connector part numbers]],0),"")</f>
        <v/>
      </c>
      <c r="O26" s="21" t="str">
        <f>IFERROR(MID(N2,7,1),"")</f>
        <v/>
      </c>
      <c r="P26" s="22" t="str">
        <f>IFERROR(MATCH(O26,Plating_inox[[#All],[connector part numbers]],0),"")</f>
        <v/>
      </c>
      <c r="Q26" s="21" t="str">
        <f>IFERROR(MID(N2,5,2)*1,"")</f>
        <v/>
      </c>
      <c r="R26" s="22" t="str">
        <f>IFERROR(MATCH(Q26,shell_size_inox[[#All],[connector part numbers]],0),"")</f>
        <v/>
      </c>
      <c r="S26" s="20" t="str">
        <f>IFERROR(MID(N2,10,1),"")</f>
        <v/>
      </c>
      <c r="T26" s="22" t="str">
        <f>IFERROR(MATCH(S26,Contact_type_inox[[#All],[connector part numbers]],0),"")</f>
        <v/>
      </c>
    </row>
    <row r="27" spans="1:20" x14ac:dyDescent="0.25">
      <c r="A27" s="21" t="str">
        <f t="shared" ref="A27:A37" si="3">IFERROR(MID(D3,3,1)*1,"")</f>
        <v/>
      </c>
      <c r="B27" s="22" t="str">
        <f>IFERROR(MATCH(A27,Shell_style_inox[[#All],[connector part numbers]],0),"")</f>
        <v/>
      </c>
      <c r="C27" s="21" t="str">
        <f t="shared" ref="C27:C37" si="4">IFERROR(MID(D3,7,1),"")</f>
        <v/>
      </c>
      <c r="D27" s="22" t="str">
        <f>IFERROR(MATCH(C27,Plating_inox[[#All],[connector part numbers]],0),"")</f>
        <v/>
      </c>
      <c r="E27" s="21" t="str">
        <f t="shared" ref="E27:E37" si="5">IFERROR(MID(D3,5,2)*1,"")</f>
        <v/>
      </c>
      <c r="F27" s="26" t="str">
        <f>IFERROR(MATCH(E27,shell_size_inox[[#All],[connector part numbers]],0),"")</f>
        <v/>
      </c>
      <c r="G27" s="20" t="str">
        <f t="shared" ref="G27:G37" si="6">IFERROR(MID(D3,10,1),"")</f>
        <v/>
      </c>
      <c r="H27" s="22" t="str">
        <f>IFERROR(MATCH(G27,Contact_type_inox[[#All],[connector part numbers]],0),"")</f>
        <v/>
      </c>
      <c r="M27" s="21" t="str">
        <f t="shared" ref="M27:M37" si="7">IFERROR(MID(N3,3,1)*1,"")</f>
        <v/>
      </c>
      <c r="N27" s="22" t="str">
        <f>IFERROR(MATCH(M27,Shell_style_inox[[#All],[connector part numbers]],0),"")</f>
        <v/>
      </c>
      <c r="O27" s="21" t="str">
        <f t="shared" ref="O27:O37" si="8">IFERROR(MID(N3,7,1),"")</f>
        <v/>
      </c>
      <c r="P27" s="22" t="str">
        <f>IFERROR(MATCH(O27,Plating_inox[[#All],[connector part numbers]],0),"")</f>
        <v/>
      </c>
      <c r="Q27" s="21" t="str">
        <f t="shared" ref="Q27:Q37" si="9">IFERROR(MID(N3,5,2)*1,"")</f>
        <v/>
      </c>
      <c r="R27" s="22" t="str">
        <f>IFERROR(MATCH(Q27,shell_size_inox[[#All],[connector part numbers]],0),"")</f>
        <v/>
      </c>
      <c r="S27" s="20" t="str">
        <f t="shared" ref="S27:S37" si="10">IFERROR(MID(N3,10,1),"")</f>
        <v/>
      </c>
      <c r="T27" s="22" t="str">
        <f>IFERROR(MATCH(S27,Contact_type_inox[[#All],[connector part numbers]],0),"")</f>
        <v/>
      </c>
    </row>
    <row r="28" spans="1:20" x14ac:dyDescent="0.25">
      <c r="A28" s="21">
        <f t="shared" si="3"/>
        <v>5</v>
      </c>
      <c r="B28" s="22">
        <f>IFERROR(MATCH(A28,Shell_style_inox[[#All],[connector part numbers]],0),"")</f>
        <v>4</v>
      </c>
      <c r="C28" s="21" t="str">
        <f t="shared" si="4"/>
        <v>K</v>
      </c>
      <c r="D28" s="22">
        <f>IFERROR(MATCH(C28,Plating_inox[[#All],[connector part numbers]],0),"")</f>
        <v>2</v>
      </c>
      <c r="E28" s="21">
        <f t="shared" si="5"/>
        <v>9</v>
      </c>
      <c r="F28" s="26">
        <f>IFERROR(MATCH(E28,shell_size_inox[[#All],[connector part numbers]],0),"")</f>
        <v>2</v>
      </c>
      <c r="G28" s="20" t="str">
        <f t="shared" si="6"/>
        <v>S</v>
      </c>
      <c r="H28" s="22">
        <f>IFERROR(MATCH(G28,Contact_type_inox[[#All],[connector part numbers]],0),"")</f>
        <v>4</v>
      </c>
      <c r="M28" s="21">
        <f t="shared" si="7"/>
        <v>5</v>
      </c>
      <c r="N28" s="22">
        <f>IFERROR(MATCH(M28,Shell_style_inox[[#All],[connector part numbers]],0),"")</f>
        <v>4</v>
      </c>
      <c r="O28" s="21" t="str">
        <f t="shared" si="8"/>
        <v>K</v>
      </c>
      <c r="P28" s="22">
        <f>IFERROR(MATCH(O28,Plating_inox[[#All],[connector part numbers]],0),"")</f>
        <v>2</v>
      </c>
      <c r="Q28" s="21">
        <f t="shared" si="9"/>
        <v>9</v>
      </c>
      <c r="R28" s="22">
        <f>IFERROR(MATCH(Q28,shell_size_inox[[#All],[connector part numbers]],0),"")</f>
        <v>2</v>
      </c>
      <c r="S28" s="20" t="str">
        <f t="shared" si="10"/>
        <v>S</v>
      </c>
      <c r="T28" s="22">
        <f>IFERROR(MATCH(S28,Contact_type_inox[[#All],[connector part numbers]],0),"")</f>
        <v>4</v>
      </c>
    </row>
    <row r="29" spans="1:20" x14ac:dyDescent="0.25">
      <c r="A29" s="21">
        <f t="shared" si="3"/>
        <v>7</v>
      </c>
      <c r="B29" s="22">
        <f>IFERROR(MATCH(A29,Shell_style_inox[[#All],[connector part numbers]],0),"")</f>
        <v>3</v>
      </c>
      <c r="C29" s="21" t="str">
        <f t="shared" si="4"/>
        <v>K</v>
      </c>
      <c r="D29" s="22">
        <f>IFERROR(MATCH(C29,Plating_inox[[#All],[connector part numbers]],0),"")</f>
        <v>2</v>
      </c>
      <c r="E29" s="21">
        <f t="shared" si="5"/>
        <v>11</v>
      </c>
      <c r="F29" s="26">
        <f>IFERROR(MATCH(E29,shell_size_inox[[#All],[connector part numbers]],0),"")</f>
        <v>3</v>
      </c>
      <c r="G29" s="20" t="str">
        <f t="shared" si="6"/>
        <v>P</v>
      </c>
      <c r="H29" s="22">
        <f>IFERROR(MATCH(G29,Contact_type_inox[[#All],[connector part numbers]],0),"")</f>
        <v>2</v>
      </c>
      <c r="M29" s="21">
        <f t="shared" si="7"/>
        <v>7</v>
      </c>
      <c r="N29" s="22">
        <f>IFERROR(MATCH(M29,Shell_style_inox[[#All],[connector part numbers]],0),"")</f>
        <v>3</v>
      </c>
      <c r="O29" s="21" t="str">
        <f t="shared" si="8"/>
        <v>K</v>
      </c>
      <c r="P29" s="22">
        <f>IFERROR(MATCH(O29,Plating_inox[[#All],[connector part numbers]],0),"")</f>
        <v>2</v>
      </c>
      <c r="Q29" s="21">
        <f t="shared" si="9"/>
        <v>11</v>
      </c>
      <c r="R29" s="22">
        <f>IFERROR(MATCH(Q29,shell_size_inox[[#All],[connector part numbers]],0),"")</f>
        <v>3</v>
      </c>
      <c r="S29" s="20" t="str">
        <f t="shared" si="10"/>
        <v>P</v>
      </c>
      <c r="T29" s="22">
        <f>IFERROR(MATCH(S29,Contact_type_inox[[#All],[connector part numbers]],0),"")</f>
        <v>2</v>
      </c>
    </row>
    <row r="30" spans="1:20" x14ac:dyDescent="0.25">
      <c r="A30" s="21" t="str">
        <f t="shared" si="3"/>
        <v/>
      </c>
      <c r="B30" s="22" t="str">
        <f>IFERROR(MATCH(A30,Shell_style_inox[[#All],[connector part numbers]],0),"")</f>
        <v/>
      </c>
      <c r="C30" s="21" t="str">
        <f t="shared" si="4"/>
        <v/>
      </c>
      <c r="D30" s="22" t="str">
        <f>IFERROR(MATCH(C30,Plating_inox[[#All],[connector part numbers]],0),"")</f>
        <v/>
      </c>
      <c r="E30" s="21" t="str">
        <f t="shared" si="5"/>
        <v/>
      </c>
      <c r="F30" s="26" t="str">
        <f>IFERROR(MATCH(E30,shell_size_inox[[#All],[connector part numbers]],0),"")</f>
        <v/>
      </c>
      <c r="G30" s="20" t="str">
        <f t="shared" si="6"/>
        <v/>
      </c>
      <c r="H30" s="22" t="str">
        <f>IFERROR(MATCH(G30,Contact_type_inox[[#All],[connector part numbers]],0),"")</f>
        <v/>
      </c>
      <c r="M30" s="21" t="str">
        <f t="shared" si="7"/>
        <v/>
      </c>
      <c r="N30" s="22" t="str">
        <f>IFERROR(MATCH(M30,Shell_style_inox[[#All],[connector part numbers]],0),"")</f>
        <v/>
      </c>
      <c r="O30" s="21" t="str">
        <f t="shared" si="8"/>
        <v/>
      </c>
      <c r="P30" s="22" t="str">
        <f>IFERROR(MATCH(O30,Plating_inox[[#All],[connector part numbers]],0),"")</f>
        <v/>
      </c>
      <c r="Q30" s="21" t="str">
        <f t="shared" si="9"/>
        <v/>
      </c>
      <c r="R30" s="22" t="str">
        <f>IFERROR(MATCH(Q30,shell_size_inox[[#All],[connector part numbers]],0),"")</f>
        <v/>
      </c>
      <c r="S30" s="20" t="str">
        <f t="shared" si="10"/>
        <v/>
      </c>
      <c r="T30" s="22" t="str">
        <f>IFERROR(MATCH(S30,Contact_type_inox[[#All],[connector part numbers]],0),"")</f>
        <v/>
      </c>
    </row>
    <row r="31" spans="1:20" x14ac:dyDescent="0.25">
      <c r="A31" s="21" t="str">
        <f t="shared" si="3"/>
        <v/>
      </c>
      <c r="B31" s="22" t="str">
        <f>IFERROR(MATCH(A31,Shell_style_inox[[#All],[connector part numbers]],0),"")</f>
        <v/>
      </c>
      <c r="C31" s="21" t="str">
        <f t="shared" si="4"/>
        <v/>
      </c>
      <c r="D31" s="22" t="str">
        <f>IFERROR(MATCH(C31,Plating_inox[[#All],[connector part numbers]],0),"")</f>
        <v/>
      </c>
      <c r="E31" s="21" t="str">
        <f t="shared" si="5"/>
        <v/>
      </c>
      <c r="F31" s="26" t="str">
        <f>IFERROR(MATCH(E31,shell_size_inox[[#All],[connector part numbers]],0),"")</f>
        <v/>
      </c>
      <c r="G31" s="20" t="str">
        <f t="shared" si="6"/>
        <v/>
      </c>
      <c r="H31" s="22" t="str">
        <f>IFERROR(MATCH(G31,Contact_type_inox[[#All],[connector part numbers]],0),"")</f>
        <v/>
      </c>
      <c r="M31" s="21" t="str">
        <f t="shared" si="7"/>
        <v/>
      </c>
      <c r="N31" s="22" t="str">
        <f>IFERROR(MATCH(M31,Shell_style_inox[[#All],[connector part numbers]],0),"")</f>
        <v/>
      </c>
      <c r="O31" s="21" t="str">
        <f t="shared" si="8"/>
        <v/>
      </c>
      <c r="P31" s="22" t="str">
        <f>IFERROR(MATCH(O31,Plating_inox[[#All],[connector part numbers]],0),"")</f>
        <v/>
      </c>
      <c r="Q31" s="21" t="str">
        <f t="shared" si="9"/>
        <v/>
      </c>
      <c r="R31" s="22" t="str">
        <f>IFERROR(MATCH(Q31,shell_size_inox[[#All],[connector part numbers]],0),"")</f>
        <v/>
      </c>
      <c r="S31" s="20" t="str">
        <f t="shared" si="10"/>
        <v/>
      </c>
      <c r="T31" s="22" t="str">
        <f>IFERROR(MATCH(S31,Contact_type_inox[[#All],[connector part numbers]],0),"")</f>
        <v/>
      </c>
    </row>
    <row r="32" spans="1:20" x14ac:dyDescent="0.25">
      <c r="A32" s="21" t="str">
        <f t="shared" si="3"/>
        <v/>
      </c>
      <c r="B32" s="22" t="str">
        <f>IFERROR(MATCH(A32,Shell_style_inox[[#All],[connector part numbers]],0),"")</f>
        <v/>
      </c>
      <c r="C32" s="21" t="str">
        <f t="shared" si="4"/>
        <v/>
      </c>
      <c r="D32" s="22" t="str">
        <f>IFERROR(MATCH(C32,Plating_inox[[#All],[connector part numbers]],0),"")</f>
        <v/>
      </c>
      <c r="E32" s="21" t="str">
        <f t="shared" si="5"/>
        <v/>
      </c>
      <c r="F32" s="26" t="str">
        <f>IFERROR(MATCH(E32,shell_size_inox[[#All],[connector part numbers]],0),"")</f>
        <v/>
      </c>
      <c r="G32" s="20" t="str">
        <f t="shared" si="6"/>
        <v/>
      </c>
      <c r="H32" s="22" t="str">
        <f>IFERROR(MATCH(G32,Contact_type_inox[[#All],[connector part numbers]],0),"")</f>
        <v/>
      </c>
      <c r="M32" s="21" t="str">
        <f t="shared" si="7"/>
        <v/>
      </c>
      <c r="N32" s="22" t="str">
        <f>IFERROR(MATCH(M32,Shell_style_inox[[#All],[connector part numbers]],0),"")</f>
        <v/>
      </c>
      <c r="O32" s="21" t="str">
        <f t="shared" si="8"/>
        <v/>
      </c>
      <c r="P32" s="22" t="str">
        <f>IFERROR(MATCH(O32,Plating_inox[[#All],[connector part numbers]],0),"")</f>
        <v/>
      </c>
      <c r="Q32" s="21" t="str">
        <f t="shared" si="9"/>
        <v/>
      </c>
      <c r="R32" s="22" t="str">
        <f>IFERROR(MATCH(Q32,shell_size_inox[[#All],[connector part numbers]],0),"")</f>
        <v/>
      </c>
      <c r="S32" s="20" t="str">
        <f t="shared" si="10"/>
        <v/>
      </c>
      <c r="T32" s="22" t="str">
        <f>IFERROR(MATCH(S32,Contact_type_inox[[#All],[connector part numbers]],0),"")</f>
        <v/>
      </c>
    </row>
    <row r="33" spans="1:20" x14ac:dyDescent="0.25">
      <c r="A33" s="21" t="str">
        <f t="shared" si="3"/>
        <v/>
      </c>
      <c r="B33" s="22" t="str">
        <f>IFERROR(MATCH(A33,Shell_style_inox[[#All],[connector part numbers]],0),"")</f>
        <v/>
      </c>
      <c r="C33" s="21" t="str">
        <f t="shared" si="4"/>
        <v/>
      </c>
      <c r="D33" s="22" t="str">
        <f>IFERROR(MATCH(C33,Plating_inox[[#All],[connector part numbers]],0),"")</f>
        <v/>
      </c>
      <c r="E33" s="21" t="str">
        <f t="shared" si="5"/>
        <v/>
      </c>
      <c r="F33" s="26" t="str">
        <f>IFERROR(MATCH(E33,shell_size_inox[[#All],[connector part numbers]],0),"")</f>
        <v/>
      </c>
      <c r="G33" s="20" t="str">
        <f t="shared" si="6"/>
        <v/>
      </c>
      <c r="H33" s="22" t="str">
        <f>IFERROR(MATCH(G33,Contact_type_inox[[#All],[connector part numbers]],0),"")</f>
        <v/>
      </c>
      <c r="M33" s="21" t="str">
        <f t="shared" si="7"/>
        <v/>
      </c>
      <c r="N33" s="22" t="str">
        <f>IFERROR(MATCH(M33,Shell_style_inox[[#All],[connector part numbers]],0),"")</f>
        <v/>
      </c>
      <c r="O33" s="21" t="str">
        <f t="shared" si="8"/>
        <v/>
      </c>
      <c r="P33" s="22" t="str">
        <f>IFERROR(MATCH(O33,Plating_inox[[#All],[connector part numbers]],0),"")</f>
        <v/>
      </c>
      <c r="Q33" s="21" t="str">
        <f t="shared" si="9"/>
        <v/>
      </c>
      <c r="R33" s="22" t="str">
        <f>IFERROR(MATCH(Q33,shell_size_inox[[#All],[connector part numbers]],0),"")</f>
        <v/>
      </c>
      <c r="S33" s="20" t="str">
        <f t="shared" si="10"/>
        <v/>
      </c>
      <c r="T33" s="22" t="str">
        <f>IFERROR(MATCH(S33,Contact_type_inox[[#All],[connector part numbers]],0),"")</f>
        <v/>
      </c>
    </row>
    <row r="34" spans="1:20" x14ac:dyDescent="0.25">
      <c r="A34" s="21" t="str">
        <f t="shared" si="3"/>
        <v/>
      </c>
      <c r="B34" s="22" t="str">
        <f>IFERROR(MATCH(A34,Shell_style_inox[[#All],[connector part numbers]],0),"")</f>
        <v/>
      </c>
      <c r="C34" s="21" t="str">
        <f t="shared" si="4"/>
        <v/>
      </c>
      <c r="D34" s="22" t="str">
        <f>IFERROR(MATCH(C34,Plating_inox[[#All],[connector part numbers]],0),"")</f>
        <v/>
      </c>
      <c r="E34" s="21" t="str">
        <f t="shared" si="5"/>
        <v/>
      </c>
      <c r="F34" s="26" t="str">
        <f>IFERROR(MATCH(E34,shell_size_inox[[#All],[connector part numbers]],0),"")</f>
        <v/>
      </c>
      <c r="G34" s="20" t="str">
        <f t="shared" si="6"/>
        <v/>
      </c>
      <c r="H34" s="22" t="str">
        <f>IFERROR(MATCH(G34,Contact_type_inox[[#All],[connector part numbers]],0),"")</f>
        <v/>
      </c>
      <c r="M34" s="21" t="str">
        <f t="shared" si="7"/>
        <v/>
      </c>
      <c r="N34" s="22" t="str">
        <f>IFERROR(MATCH(M34,Shell_style_inox[[#All],[connector part numbers]],0),"")</f>
        <v/>
      </c>
      <c r="O34" s="21" t="str">
        <f t="shared" si="8"/>
        <v/>
      </c>
      <c r="P34" s="22" t="str">
        <f>IFERROR(MATCH(O34,Plating_inox[[#All],[connector part numbers]],0),"")</f>
        <v/>
      </c>
      <c r="Q34" s="21" t="str">
        <f t="shared" si="9"/>
        <v/>
      </c>
      <c r="R34" s="22" t="str">
        <f>IFERROR(MATCH(Q34,shell_size_inox[[#All],[connector part numbers]],0),"")</f>
        <v/>
      </c>
      <c r="S34" s="20" t="str">
        <f t="shared" si="10"/>
        <v/>
      </c>
      <c r="T34" s="22" t="str">
        <f>IFERROR(MATCH(S34,Contact_type_inox[[#All],[connector part numbers]],0),"")</f>
        <v/>
      </c>
    </row>
    <row r="35" spans="1:20" x14ac:dyDescent="0.25">
      <c r="A35" s="21" t="str">
        <f t="shared" si="3"/>
        <v/>
      </c>
      <c r="B35" s="22" t="str">
        <f>IFERROR(MATCH(A35,Shell_style_inox[[#All],[connector part numbers]],0),"")</f>
        <v/>
      </c>
      <c r="C35" s="21" t="str">
        <f t="shared" si="4"/>
        <v/>
      </c>
      <c r="D35" s="22" t="str">
        <f>IFERROR(MATCH(C35,Plating_inox[[#All],[connector part numbers]],0),"")</f>
        <v/>
      </c>
      <c r="E35" s="21" t="str">
        <f t="shared" si="5"/>
        <v/>
      </c>
      <c r="F35" s="26" t="str">
        <f>IFERROR(MATCH(E35,shell_size_inox[[#All],[connector part numbers]],0),"")</f>
        <v/>
      </c>
      <c r="G35" s="20" t="str">
        <f t="shared" si="6"/>
        <v/>
      </c>
      <c r="H35" s="22" t="str">
        <f>IFERROR(MATCH(G35,Contact_type_inox[[#All],[connector part numbers]],0),"")</f>
        <v/>
      </c>
      <c r="M35" s="21" t="str">
        <f t="shared" si="7"/>
        <v/>
      </c>
      <c r="N35" s="22" t="str">
        <f>IFERROR(MATCH(M35,Shell_style_inox[[#All],[connector part numbers]],0),"")</f>
        <v/>
      </c>
      <c r="O35" s="21" t="str">
        <f t="shared" si="8"/>
        <v/>
      </c>
      <c r="P35" s="22" t="str">
        <f>IFERROR(MATCH(O35,Plating_inox[[#All],[connector part numbers]],0),"")</f>
        <v/>
      </c>
      <c r="Q35" s="21" t="str">
        <f t="shared" si="9"/>
        <v/>
      </c>
      <c r="R35" s="22" t="str">
        <f>IFERROR(MATCH(Q35,shell_size_inox[[#All],[connector part numbers]],0),"")</f>
        <v/>
      </c>
      <c r="S35" s="20" t="str">
        <f t="shared" si="10"/>
        <v/>
      </c>
      <c r="T35" s="22" t="str">
        <f>IFERROR(MATCH(S35,Contact_type_inox[[#All],[connector part numbers]],0),"")</f>
        <v/>
      </c>
    </row>
    <row r="36" spans="1:20" x14ac:dyDescent="0.25">
      <c r="A36" s="21" t="str">
        <f t="shared" si="3"/>
        <v/>
      </c>
      <c r="B36" s="22" t="str">
        <f>IFERROR(MATCH(A36,Shell_style_inox[[#All],[connector part numbers]],0),"")</f>
        <v/>
      </c>
      <c r="C36" s="21" t="str">
        <f t="shared" si="4"/>
        <v/>
      </c>
      <c r="D36" s="22" t="str">
        <f>IFERROR(MATCH(C36,Plating_inox[[#All],[connector part numbers]],0),"")</f>
        <v/>
      </c>
      <c r="E36" s="21" t="str">
        <f t="shared" si="5"/>
        <v/>
      </c>
      <c r="F36" s="26" t="str">
        <f>IFERROR(MATCH(E36,shell_size_inox[[#All],[connector part numbers]],0),"")</f>
        <v/>
      </c>
      <c r="G36" s="20" t="str">
        <f t="shared" si="6"/>
        <v/>
      </c>
      <c r="H36" s="22" t="str">
        <f>IFERROR(MATCH(G36,Contact_type_inox[[#All],[connector part numbers]],0),"")</f>
        <v/>
      </c>
      <c r="M36" s="21" t="str">
        <f t="shared" si="7"/>
        <v/>
      </c>
      <c r="N36" s="22" t="str">
        <f>IFERROR(MATCH(M36,Shell_style_inox[[#All],[connector part numbers]],0),"")</f>
        <v/>
      </c>
      <c r="O36" s="21" t="str">
        <f t="shared" si="8"/>
        <v/>
      </c>
      <c r="P36" s="22" t="str">
        <f>IFERROR(MATCH(O36,Plating_inox[[#All],[connector part numbers]],0),"")</f>
        <v/>
      </c>
      <c r="Q36" s="21" t="str">
        <f t="shared" si="9"/>
        <v/>
      </c>
      <c r="R36" s="22" t="str">
        <f>IFERROR(MATCH(Q36,shell_size_inox[[#All],[connector part numbers]],0),"")</f>
        <v/>
      </c>
      <c r="S36" s="20" t="str">
        <f t="shared" si="10"/>
        <v/>
      </c>
      <c r="T36" s="22" t="str">
        <f>IFERROR(MATCH(S36,Contact_type_inox[[#All],[connector part numbers]],0),"")</f>
        <v/>
      </c>
    </row>
    <row r="37" spans="1:20" ht="15.75" thickBot="1" x14ac:dyDescent="0.3">
      <c r="A37" s="23" t="str">
        <f t="shared" si="3"/>
        <v/>
      </c>
      <c r="B37" s="25" t="str">
        <f>IFERROR(MATCH(A37,Shell_style_inox[[#All],[connector part numbers]],0),"")</f>
        <v/>
      </c>
      <c r="C37" s="23" t="str">
        <f t="shared" si="4"/>
        <v/>
      </c>
      <c r="D37" s="25" t="str">
        <f>IFERROR(MATCH(C37,Plating_inox[[#All],[connector part numbers]],0),"")</f>
        <v/>
      </c>
      <c r="E37" s="23" t="str">
        <f t="shared" si="5"/>
        <v/>
      </c>
      <c r="F37" s="27" t="str">
        <f>IFERROR(MATCH(E37,shell_size_inox[[#All],[connector part numbers]],0),"")</f>
        <v/>
      </c>
      <c r="G37" s="24" t="str">
        <f t="shared" si="6"/>
        <v/>
      </c>
      <c r="H37" s="25" t="str">
        <f>IFERROR(MATCH(G37,Contact_type_inox[[#All],[connector part numbers]],0),"")</f>
        <v/>
      </c>
      <c r="M37" s="23" t="str">
        <f t="shared" si="7"/>
        <v/>
      </c>
      <c r="N37" s="25" t="str">
        <f>IFERROR(MATCH(M37,shell_style_ALU[[#All],[connector part numbers]],0),"")</f>
        <v/>
      </c>
      <c r="O37" s="23" t="str">
        <f t="shared" si="8"/>
        <v/>
      </c>
      <c r="P37" s="25" t="str">
        <f>IFERROR(MATCH(O37,Plating_inox[[#All],[connector part numbers]],0),"")</f>
        <v/>
      </c>
      <c r="Q37" s="23" t="str">
        <f t="shared" si="9"/>
        <v/>
      </c>
      <c r="R37" s="25" t="str">
        <f>IFERROR(MATCH(Q37,shell_size_inox[[#All],[connector part numbers]],0),"")</f>
        <v/>
      </c>
      <c r="S37" s="24" t="str">
        <f t="shared" si="10"/>
        <v/>
      </c>
      <c r="T37" s="25" t="str">
        <f>IFERROR(MATCH(S37,Contact_type_inox[[#All],[connector part numbers]],0),"")</f>
        <v/>
      </c>
    </row>
    <row r="38" spans="1:20" s="4" customFormat="1" x14ac:dyDescent="0.25"/>
  </sheetData>
  <mergeCells count="12">
    <mergeCell ref="C1:C12"/>
    <mergeCell ref="M1:M12"/>
    <mergeCell ref="M24:T24"/>
    <mergeCell ref="M25:N25"/>
    <mergeCell ref="O25:P25"/>
    <mergeCell ref="Q25:R25"/>
    <mergeCell ref="S25:T25"/>
    <mergeCell ref="A25:B25"/>
    <mergeCell ref="C25:D25"/>
    <mergeCell ref="E25:F25"/>
    <mergeCell ref="G25:H25"/>
    <mergeCell ref="A24:H24"/>
  </mergeCell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8"/>
  <sheetViews>
    <sheetView topLeftCell="J1" zoomScale="85" zoomScaleNormal="85" workbookViewId="0">
      <selection activeCell="V2" sqref="V2"/>
    </sheetView>
  </sheetViews>
  <sheetFormatPr baseColWidth="10" defaultRowHeight="15" x14ac:dyDescent="0.25"/>
  <cols>
    <col min="4" max="4" width="12.42578125" bestFit="1" customWidth="1"/>
    <col min="5" max="5" width="25.28515625" customWidth="1"/>
    <col min="6" max="6" width="17.28515625" customWidth="1"/>
    <col min="7" max="7" width="14.5703125" customWidth="1"/>
    <col min="8" max="8" width="15.85546875" customWidth="1"/>
    <col min="9" max="9" width="14" customWidth="1"/>
    <col min="10" max="10" width="20" customWidth="1"/>
    <col min="11" max="11" width="19.140625" customWidth="1"/>
    <col min="14" max="14" width="12.42578125" bestFit="1" customWidth="1"/>
    <col min="15" max="15" width="18.85546875" customWidth="1"/>
    <col min="16" max="16" width="13.7109375" customWidth="1"/>
    <col min="17" max="17" width="16.42578125" customWidth="1"/>
    <col min="18" max="18" width="15" customWidth="1"/>
    <col min="19" max="19" width="14.7109375" customWidth="1"/>
    <col min="20" max="20" width="22" customWidth="1"/>
    <col min="21" max="21" width="19.140625" customWidth="1"/>
    <col min="22" max="22" width="18.28515625" customWidth="1"/>
  </cols>
  <sheetData>
    <row r="1" spans="2:22" x14ac:dyDescent="0.25">
      <c r="C1" s="38" t="s">
        <v>32</v>
      </c>
      <c r="D1" t="s">
        <v>76</v>
      </c>
      <c r="E1" s="13" t="s">
        <v>32</v>
      </c>
      <c r="F1" t="s">
        <v>34</v>
      </c>
      <c r="G1" t="s">
        <v>35</v>
      </c>
      <c r="H1" t="s">
        <v>36</v>
      </c>
      <c r="I1" t="s">
        <v>37</v>
      </c>
      <c r="J1" t="s">
        <v>38</v>
      </c>
      <c r="K1" t="s">
        <v>39</v>
      </c>
      <c r="M1" s="38" t="s">
        <v>33</v>
      </c>
      <c r="N1" t="s">
        <v>76</v>
      </c>
      <c r="O1" t="s">
        <v>33</v>
      </c>
      <c r="P1" t="s">
        <v>40</v>
      </c>
      <c r="Q1" t="s">
        <v>41</v>
      </c>
      <c r="R1" t="s">
        <v>42</v>
      </c>
      <c r="S1" t="s">
        <v>43</v>
      </c>
      <c r="T1" t="s">
        <v>44</v>
      </c>
      <c r="U1" t="s">
        <v>45</v>
      </c>
      <c r="V1" t="s">
        <v>46</v>
      </c>
    </row>
    <row r="2" spans="2:22" x14ac:dyDescent="0.25">
      <c r="C2" s="38"/>
      <c r="D2" t="str">
        <f>IF(entrée!A2="composite",entrée!B2,"")</f>
        <v/>
      </c>
      <c r="E2" t="str">
        <f t="shared" ref="E2:E12" si="0">"D38999/"&amp;CONCATENATE(F2,G2,H2,I2,J2,K2)</f>
        <v>D38999/</v>
      </c>
      <c r="F2" t="str">
        <f>IFERROR(INDEX(Shell_style_composite[#All],B26,3),"")</f>
        <v/>
      </c>
      <c r="G2" t="str">
        <f>IFERROR(INDEX(Plating_composite[#All],D26,3),"")</f>
        <v/>
      </c>
      <c r="H2" t="str">
        <f>IFERROR(INDEX(Shell_size_composite[#All],F26,3),"")</f>
        <v/>
      </c>
      <c r="I2" t="str">
        <f t="shared" ref="I2:I12" si="1">MID(D2,8,2)</f>
        <v/>
      </c>
      <c r="J2" t="str">
        <f>IFERROR(INDEX(Contact_type_composite[#All],H26,3),"")</f>
        <v/>
      </c>
      <c r="K2" t="str">
        <f t="shared" ref="K2:K12" si="2">MID(D2,11,1)</f>
        <v/>
      </c>
      <c r="M2" s="38"/>
      <c r="N2" t="str">
        <f>IF(entrée!A2="composite",entrée!B2,"")</f>
        <v/>
      </c>
      <c r="O2" t="str">
        <f>"EN3645"&amp;CONCATENATE(ref_COMPOSITE_EN36452022[[#This Row],[PLATING EN]],ref_COMPOSITE_EN36452022[[#This Row],[SHELL STYLE EN]],ref_COMPOSITE_EN36452022[[#This Row],[SHELL SIZE EN]],ref_COMPOSITE_EN36452022[[#This Row],[GROUNDING]],ref_COMPOSITE_EN36452022[[#This Row],[CONTACT LAYOUT EN]],ref_COMPOSITE_EN36452022[[#This Row],[CONTACT TYPE EN]],ref_COMPOSITE_EN36452022[[#This Row],[ORIENTATION EN]])</f>
        <v>EN3645N</v>
      </c>
      <c r="P2" t="str">
        <f>IFERROR(INDEX(Plating_composite[#All],P26,4),"")</f>
        <v/>
      </c>
      <c r="Q2" t="str">
        <f>IFERROR(INDEX(Shell_style_composite[#All],N26,4),"")</f>
        <v/>
      </c>
      <c r="R2" t="str">
        <f>IFERROR(INDEX(Shell_size_composite[#All],R26,4),"")</f>
        <v/>
      </c>
      <c r="S2" s="1" t="s">
        <v>21</v>
      </c>
      <c r="T2" t="str">
        <f>IFERROR(MID(ref_COMPOSITE_EN36452022[[#This Row],[ref_fab]],8,2),"")</f>
        <v/>
      </c>
      <c r="U2" t="str">
        <f>IFERROR(INDEX(Contact_type_composite[#All],T26,4),"")</f>
        <v/>
      </c>
      <c r="V2" t="str">
        <f>IFERROR(MID(ref_COMPOSITE_EN36452022[[#This Row],[ref_fab]],11,1),"")</f>
        <v/>
      </c>
    </row>
    <row r="3" spans="2:22" x14ac:dyDescent="0.25">
      <c r="C3" s="38"/>
      <c r="D3" t="str">
        <f>IF(entrée!A3="composite",entrée!B3,"")</f>
        <v/>
      </c>
      <c r="E3" t="str">
        <f t="shared" si="0"/>
        <v>D38999/</v>
      </c>
      <c r="F3" t="str">
        <f>IFERROR(INDEX(Shell_style_composite[#All],B27,3),"")</f>
        <v/>
      </c>
      <c r="G3" t="str">
        <f>IFERROR(INDEX(Plating_composite[#All],D27,3),"")</f>
        <v/>
      </c>
      <c r="H3" t="str">
        <f>IFERROR(INDEX(Shell_size_composite[#All],F27,3),"")</f>
        <v/>
      </c>
      <c r="I3" t="str">
        <f t="shared" si="1"/>
        <v/>
      </c>
      <c r="J3" t="str">
        <f>IFERROR(INDEX(Contact_type_composite[#All],H27,3),"")</f>
        <v/>
      </c>
      <c r="K3" t="str">
        <f t="shared" si="2"/>
        <v/>
      </c>
      <c r="M3" s="38"/>
      <c r="N3" t="str">
        <f>IF(entrée!A3="composite",entrée!B3,"")</f>
        <v/>
      </c>
      <c r="O3" t="str">
        <f>"EN3645"&amp;CONCATENATE(ref_COMPOSITE_EN36452022[[#This Row],[PLATING EN]],ref_COMPOSITE_EN36452022[[#This Row],[SHELL STYLE EN]],ref_COMPOSITE_EN36452022[[#This Row],[SHELL SIZE EN]],ref_COMPOSITE_EN36452022[[#This Row],[GROUNDING]],ref_COMPOSITE_EN36452022[[#This Row],[CONTACT LAYOUT EN]],ref_COMPOSITE_EN36452022[[#This Row],[CONTACT TYPE EN]])</f>
        <v>EN3645N</v>
      </c>
      <c r="P3" t="str">
        <f>IFERROR(INDEX(Plating_composite[#All],P27,4),"")</f>
        <v/>
      </c>
      <c r="Q3" t="str">
        <f>IFERROR(INDEX(Shell_style_composite[#All],N27,4),"")</f>
        <v/>
      </c>
      <c r="R3" t="str">
        <f>IFERROR(INDEX(Shell_size_composite[#All],R27,4),"")</f>
        <v/>
      </c>
      <c r="S3" s="1" t="s">
        <v>21</v>
      </c>
      <c r="T3" t="str">
        <f>IFERROR(MID(ref_COMPOSITE_EN36452022[[#This Row],[ref_fab]],8,2),"")</f>
        <v/>
      </c>
      <c r="U3" t="str">
        <f>IFERROR(INDEX(Contact_type_composite[#All],T27,4),"")</f>
        <v/>
      </c>
      <c r="V3" t="str">
        <f>IFERROR(MID(ref_COMPOSITE_EN36452022[[#This Row],[ref_fab]],11,1),"")</f>
        <v/>
      </c>
    </row>
    <row r="4" spans="2:22" x14ac:dyDescent="0.25">
      <c r="C4" s="38"/>
      <c r="D4" t="str">
        <f>IF(entrée!A4="composite",entrée!B4,"")</f>
        <v/>
      </c>
      <c r="E4" t="str">
        <f t="shared" si="0"/>
        <v>D38999/</v>
      </c>
      <c r="F4" t="str">
        <f>IFERROR(INDEX(Shell_style_composite[#All],B28,3),"")</f>
        <v/>
      </c>
      <c r="G4" t="str">
        <f>IFERROR(INDEX(Plating_composite[#All],D28,3),"")</f>
        <v/>
      </c>
      <c r="H4" t="str">
        <f>IFERROR(INDEX(Shell_size_composite[#All],F28,3),"")</f>
        <v/>
      </c>
      <c r="I4" t="str">
        <f t="shared" si="1"/>
        <v/>
      </c>
      <c r="J4" t="str">
        <f>IFERROR(INDEX(Contact_type_composite[#All],H28,3),"")</f>
        <v/>
      </c>
      <c r="K4" t="str">
        <f t="shared" si="2"/>
        <v/>
      </c>
      <c r="M4" s="38"/>
      <c r="N4" t="str">
        <f>IF(entrée!A4="composite",entrée!B4,"")</f>
        <v/>
      </c>
      <c r="O4" t="str">
        <f>"EN3645"&amp;CONCATENATE(ref_COMPOSITE_EN36452022[[#This Row],[PLATING EN]],ref_COMPOSITE_EN36452022[[#This Row],[SHELL STYLE EN]],ref_COMPOSITE_EN36452022[[#This Row],[SHELL SIZE EN]],ref_COMPOSITE_EN36452022[[#This Row],[GROUNDING]],ref_COMPOSITE_EN36452022[[#This Row],[CONTACT LAYOUT EN]],ref_COMPOSITE_EN36452022[[#This Row],[CONTACT TYPE EN]])</f>
        <v>EN3645N</v>
      </c>
      <c r="P4" t="str">
        <f>IFERROR(INDEX(Plating_composite[#All],P28,4),"")</f>
        <v/>
      </c>
      <c r="Q4" t="str">
        <f>IFERROR(INDEX(Shell_style_composite[#All],N28,4),"")</f>
        <v/>
      </c>
      <c r="R4" t="str">
        <f>IFERROR(INDEX(Shell_size_composite[#All],R28,4),"")</f>
        <v/>
      </c>
      <c r="S4" s="1" t="s">
        <v>21</v>
      </c>
      <c r="T4" t="str">
        <f>IFERROR(MID(ref_COMPOSITE_EN36452022[[#This Row],[ref_fab]],8,2),"")</f>
        <v/>
      </c>
      <c r="U4" t="str">
        <f>IFERROR(INDEX(Contact_type_composite[#All],T28,4),"")</f>
        <v/>
      </c>
      <c r="V4" t="str">
        <f>IFERROR(MID(ref_COMPOSITE_EN36452022[[#This Row],[ref_fab]],11,1),"")</f>
        <v/>
      </c>
    </row>
    <row r="5" spans="2:22" x14ac:dyDescent="0.25">
      <c r="C5" s="38"/>
      <c r="D5" t="str">
        <f>IF(entrée!A5="composite",entrée!B5,"")</f>
        <v/>
      </c>
      <c r="E5" t="str">
        <f t="shared" si="0"/>
        <v>D38999/</v>
      </c>
      <c r="F5" t="str">
        <f>IFERROR(INDEX(Shell_style_composite[#All],B29,3),"")</f>
        <v/>
      </c>
      <c r="G5" t="str">
        <f>IFERROR(INDEX(Plating_composite[#All],D29,3),"")</f>
        <v/>
      </c>
      <c r="H5" t="str">
        <f>IFERROR(INDEX(Shell_size_composite[#All],F29,3),"")</f>
        <v/>
      </c>
      <c r="I5" t="str">
        <f t="shared" si="1"/>
        <v/>
      </c>
      <c r="J5" t="str">
        <f>IFERROR(INDEX(Contact_type_composite[#All],H29,3),"")</f>
        <v/>
      </c>
      <c r="K5" t="str">
        <f t="shared" si="2"/>
        <v/>
      </c>
      <c r="M5" s="38"/>
      <c r="N5" t="str">
        <f>IF(entrée!A5="composite",entrée!B5,"")</f>
        <v/>
      </c>
      <c r="O5" t="str">
        <f>"EN3645"&amp;CONCATENATE(ref_COMPOSITE_EN36452022[[#This Row],[PLATING EN]],ref_COMPOSITE_EN36452022[[#This Row],[SHELL STYLE EN]],ref_COMPOSITE_EN36452022[[#This Row],[SHELL SIZE EN]],ref_COMPOSITE_EN36452022[[#This Row],[GROUNDING]],ref_COMPOSITE_EN36452022[[#This Row],[CONTACT LAYOUT EN]],ref_COMPOSITE_EN36452022[[#This Row],[CONTACT TYPE EN]])</f>
        <v>EN3645N</v>
      </c>
      <c r="P5" t="str">
        <f>IFERROR(INDEX(Plating_composite[#All],P29,4),"")</f>
        <v/>
      </c>
      <c r="Q5" t="str">
        <f>IFERROR(INDEX(Shell_style_composite[#All],N29,4),"")</f>
        <v/>
      </c>
      <c r="R5" t="str">
        <f>IFERROR(INDEX(Shell_size_composite[#All],R29,4),"")</f>
        <v/>
      </c>
      <c r="S5" s="1" t="s">
        <v>21</v>
      </c>
      <c r="T5" t="str">
        <f>IFERROR(MID(ref_COMPOSITE_EN36452022[[#This Row],[ref_fab]],8,2),"")</f>
        <v/>
      </c>
      <c r="U5" t="str">
        <f>IFERROR(INDEX(Contact_type_composite[#All],T29,4),"")</f>
        <v/>
      </c>
      <c r="V5" t="str">
        <f>IFERROR(MID(ref_COMPOSITE_EN36452022[[#This Row],[ref_fab]],11,1),"")</f>
        <v/>
      </c>
    </row>
    <row r="6" spans="2:22" x14ac:dyDescent="0.25">
      <c r="C6" s="38"/>
      <c r="D6" s="14" t="str">
        <f>IF(entrée!A6="composite",entrée!B6,"")</f>
        <v/>
      </c>
      <c r="E6" t="str">
        <f t="shared" si="0"/>
        <v>D38999/</v>
      </c>
      <c r="F6" t="str">
        <f>IFERROR(INDEX(Shell_style_composite[#All],B30,3),"")</f>
        <v/>
      </c>
      <c r="G6" s="15" t="str">
        <f>IFERROR(INDEX(Plating_composite[#All],D30,3),"")</f>
        <v/>
      </c>
      <c r="H6" t="str">
        <f>IFERROR(INDEX(Shell_size_composite[#All],F30,3),"")</f>
        <v/>
      </c>
      <c r="I6" t="str">
        <f t="shared" si="1"/>
        <v/>
      </c>
      <c r="J6" t="str">
        <f>IFERROR(INDEX(Contact_type_composite[#All],H30,3),"")</f>
        <v/>
      </c>
      <c r="K6" t="str">
        <f t="shared" si="2"/>
        <v/>
      </c>
      <c r="M6" s="38"/>
      <c r="N6" t="str">
        <f>IF(entrée!A6="composite",entrée!B6,"")</f>
        <v/>
      </c>
      <c r="O6" t="str">
        <f>"EN3645"&amp;CONCATENATE(ref_COMPOSITE_EN36452022[[#This Row],[PLATING EN]],ref_COMPOSITE_EN36452022[[#This Row],[SHELL STYLE EN]],ref_COMPOSITE_EN36452022[[#This Row],[SHELL SIZE EN]],ref_COMPOSITE_EN36452022[[#This Row],[GROUNDING]],ref_COMPOSITE_EN36452022[[#This Row],[CONTACT LAYOUT EN]],ref_COMPOSITE_EN36452022[[#This Row],[CONTACT TYPE EN]])</f>
        <v>EN3645N</v>
      </c>
      <c r="P6" t="str">
        <f>IFERROR(INDEX(Plating_composite[#All],P30,4),"")</f>
        <v/>
      </c>
      <c r="Q6" t="str">
        <f>IFERROR(INDEX(Shell_style_composite[#All],N30,4),"")</f>
        <v/>
      </c>
      <c r="R6" t="str">
        <f>IFERROR(INDEX(Shell_size_composite[#All],R30,4),"")</f>
        <v/>
      </c>
      <c r="S6" s="1" t="s">
        <v>21</v>
      </c>
      <c r="T6" t="str">
        <f>IFERROR(MID(ref_COMPOSITE_EN36452022[[#This Row],[ref_fab]],8,2),"")</f>
        <v/>
      </c>
      <c r="U6" t="str">
        <f>IFERROR(INDEX(Contact_type_composite[#All],T30,4),"")</f>
        <v/>
      </c>
      <c r="V6" t="str">
        <f>IFERROR(MID(ref_COMPOSITE_EN36452022[[#This Row],[ref_fab]],11,1),"")</f>
        <v/>
      </c>
    </row>
    <row r="7" spans="2:22" x14ac:dyDescent="0.25">
      <c r="C7" s="38"/>
      <c r="D7" s="14" t="str">
        <f>IF(entrée!A7="composite",entrée!B7,"")</f>
        <v/>
      </c>
      <c r="E7" t="str">
        <f t="shared" si="0"/>
        <v>D38999/</v>
      </c>
      <c r="F7" t="str">
        <f>IFERROR(INDEX(Shell_style_composite[#All],B31,3),"")</f>
        <v/>
      </c>
      <c r="G7" t="str">
        <f>IFERROR(INDEX(Plating_composite[#All],D31,3),"")</f>
        <v/>
      </c>
      <c r="H7" t="str">
        <f>IFERROR(INDEX(Shell_size_composite[#All],F31,3),"")</f>
        <v/>
      </c>
      <c r="I7" t="str">
        <f t="shared" si="1"/>
        <v/>
      </c>
      <c r="J7" t="str">
        <f>IFERROR(INDEX(Contact_type_composite[#All],H31,3),"")</f>
        <v/>
      </c>
      <c r="K7" t="str">
        <f t="shared" si="2"/>
        <v/>
      </c>
      <c r="M7" s="38"/>
      <c r="N7" t="str">
        <f>IF(entrée!A7="composite",entrée!B7,"")</f>
        <v/>
      </c>
      <c r="O7" t="str">
        <f>"EN3645"&amp;CONCATENATE(ref_COMPOSITE_EN36452022[[#This Row],[PLATING EN]],ref_COMPOSITE_EN36452022[[#This Row],[SHELL STYLE EN]],ref_COMPOSITE_EN36452022[[#This Row],[SHELL SIZE EN]],ref_COMPOSITE_EN36452022[[#This Row],[GROUNDING]],ref_COMPOSITE_EN36452022[[#This Row],[CONTACT LAYOUT EN]],ref_COMPOSITE_EN36452022[[#This Row],[CONTACT TYPE EN]])</f>
        <v>EN3645N</v>
      </c>
      <c r="P7" t="str">
        <f>IFERROR(INDEX(Plating_composite[#All],P31,4),"")</f>
        <v/>
      </c>
      <c r="Q7" t="str">
        <f>IFERROR(INDEX(Shell_style_composite[#All],N31,4),"")</f>
        <v/>
      </c>
      <c r="R7" t="str">
        <f>IFERROR(INDEX(Shell_size_composite[#All],R31,4),"")</f>
        <v/>
      </c>
      <c r="S7" s="1" t="s">
        <v>21</v>
      </c>
      <c r="T7" t="str">
        <f>IFERROR(MID(ref_COMPOSITE_EN36452022[[#This Row],[ref_fab]],8,2),"")</f>
        <v/>
      </c>
      <c r="U7" t="str">
        <f>IFERROR(INDEX(Contact_type_composite[#All],T31,4),"")</f>
        <v/>
      </c>
      <c r="V7" t="str">
        <f>IFERROR(MID(ref_COMPOSITE_EN36452022[[#This Row],[ref_fab]],11,1),"")</f>
        <v/>
      </c>
    </row>
    <row r="8" spans="2:22" x14ac:dyDescent="0.25">
      <c r="C8" s="38"/>
      <c r="D8" s="14" t="str">
        <f>IF(entrée!A8="composite",entrée!B8,"")</f>
        <v/>
      </c>
      <c r="E8" t="str">
        <f t="shared" si="0"/>
        <v>D38999/</v>
      </c>
      <c r="F8" s="17" t="str">
        <f>IFERROR(INDEX(Shell_style_composite[#All],B32,3),"")</f>
        <v/>
      </c>
      <c r="G8" s="17" t="str">
        <f>IFERROR(INDEX(Plating_composite[#All],D32,3),"")</f>
        <v/>
      </c>
      <c r="H8" s="17" t="str">
        <f>IFERROR(INDEX(Shell_size_composite[#All],F32,3),"")</f>
        <v/>
      </c>
      <c r="I8" t="str">
        <f t="shared" si="1"/>
        <v/>
      </c>
      <c r="J8" s="17" t="str">
        <f>IFERROR(INDEX(Contact_type_composite[#All],H32,3),"")</f>
        <v/>
      </c>
      <c r="K8" t="str">
        <f t="shared" si="2"/>
        <v/>
      </c>
      <c r="M8" s="38"/>
      <c r="N8" t="str">
        <f>IF(entrée!A8="composite",entrée!B8,"")</f>
        <v/>
      </c>
      <c r="O8" t="str">
        <f>"EN3645"&amp;CONCATENATE(ref_COMPOSITE_EN36452022[[#This Row],[PLATING EN]],ref_COMPOSITE_EN36452022[[#This Row],[SHELL STYLE EN]],ref_COMPOSITE_EN36452022[[#This Row],[SHELL SIZE EN]],ref_COMPOSITE_EN36452022[[#This Row],[GROUNDING]],ref_COMPOSITE_EN36452022[[#This Row],[CONTACT LAYOUT EN]],ref_COMPOSITE_EN36452022[[#This Row],[CONTACT TYPE EN]])</f>
        <v>EN3645N</v>
      </c>
      <c r="P8" t="str">
        <f>IFERROR(INDEX(Plating_composite[#All],P32,4),"")</f>
        <v/>
      </c>
      <c r="Q8" t="str">
        <f>IFERROR(INDEX(Shell_style_composite[#All],N32,4),"")</f>
        <v/>
      </c>
      <c r="R8" t="str">
        <f>IFERROR(INDEX(Shell_size_composite[#All],R32,4),"")</f>
        <v/>
      </c>
      <c r="S8" s="1" t="s">
        <v>21</v>
      </c>
      <c r="T8" t="str">
        <f>IFERROR(MID(ref_COMPOSITE_EN36452022[[#This Row],[ref_fab]],8,2),"")</f>
        <v/>
      </c>
      <c r="U8" t="str">
        <f>IFERROR(INDEX(Contact_type_composite[#All],T32,4),"")</f>
        <v/>
      </c>
      <c r="V8" t="str">
        <f>IFERROR(MID(ref_COMPOSITE_EN36452022[[#This Row],[ref_fab]],11,1),"")</f>
        <v/>
      </c>
    </row>
    <row r="9" spans="2:22" x14ac:dyDescent="0.25">
      <c r="C9" s="38"/>
      <c r="D9" t="str">
        <f>IF(entrée!A9="composite",entrée!B9,"")</f>
        <v/>
      </c>
      <c r="E9" t="str">
        <f t="shared" si="0"/>
        <v>D38999/</v>
      </c>
      <c r="F9" s="17" t="str">
        <f>IFERROR(INDEX(Shell_style_composite[#All],B33,3),"")</f>
        <v/>
      </c>
      <c r="G9" s="17" t="str">
        <f>IFERROR(INDEX(Plating_composite[#All],D33,3),"")</f>
        <v/>
      </c>
      <c r="H9" s="17" t="str">
        <f>IFERROR(INDEX(Shell_size_composite[#All],F33,3),"")</f>
        <v/>
      </c>
      <c r="I9" s="14" t="str">
        <f t="shared" si="1"/>
        <v/>
      </c>
      <c r="J9" s="18" t="str">
        <f>IFERROR(INDEX(Contact_type_composite[#All],H33,3),"")</f>
        <v/>
      </c>
      <c r="K9" s="14" t="str">
        <f t="shared" si="2"/>
        <v/>
      </c>
      <c r="M9" s="38"/>
      <c r="N9" t="str">
        <f>IF(entrée!A9="composite",entrée!B9,"")</f>
        <v/>
      </c>
      <c r="O9" t="str">
        <f>"EN3645"&amp;CONCATENATE(ref_COMPOSITE_EN36452022[[#This Row],[PLATING EN]],ref_COMPOSITE_EN36452022[[#This Row],[SHELL STYLE EN]],ref_COMPOSITE_EN36452022[[#This Row],[SHELL SIZE EN]],ref_COMPOSITE_EN36452022[[#This Row],[GROUNDING]],ref_COMPOSITE_EN36452022[[#This Row],[CONTACT LAYOUT EN]],ref_COMPOSITE_EN36452022[[#This Row],[CONTACT TYPE EN]])</f>
        <v>EN3645N</v>
      </c>
      <c r="P9" t="str">
        <f>IFERROR(INDEX(Plating_composite[#All],P33,4),"")</f>
        <v/>
      </c>
      <c r="Q9" t="str">
        <f>IFERROR(INDEX(Shell_style_composite[#All],N33,4),"")</f>
        <v/>
      </c>
      <c r="R9" t="str">
        <f>IFERROR(INDEX(Shell_size_composite[#All],R33,4),"")</f>
        <v/>
      </c>
      <c r="S9" s="1" t="s">
        <v>21</v>
      </c>
      <c r="T9" t="str">
        <f>IFERROR(MID(ref_COMPOSITE_EN36452022[[#This Row],[ref_fab]],8,2),"")</f>
        <v/>
      </c>
      <c r="U9" t="str">
        <f>IFERROR(INDEX(Contact_type_composite[#All],T33,4),"")</f>
        <v/>
      </c>
      <c r="V9" t="str">
        <f>IFERROR(MID(ref_COMPOSITE_EN36452022[[#This Row],[ref_fab]],11,1),"")</f>
        <v/>
      </c>
    </row>
    <row r="10" spans="2:22" x14ac:dyDescent="0.25">
      <c r="C10" s="38"/>
      <c r="D10" t="str">
        <f>IF(entrée!A10="composite",entrée!B10,"")</f>
        <v/>
      </c>
      <c r="E10" t="str">
        <f t="shared" si="0"/>
        <v>D38999/</v>
      </c>
      <c r="F10" s="17" t="str">
        <f>IFERROR(INDEX(Shell_style_composite[#All],B34,3),"")</f>
        <v/>
      </c>
      <c r="G10" s="17" t="str">
        <f>IFERROR(INDEX(Plating_composite[#All],D34,3),"")</f>
        <v/>
      </c>
      <c r="H10" s="17" t="str">
        <f>IFERROR(INDEX(Shell_size_composite[#All],F34,3),"")</f>
        <v/>
      </c>
      <c r="I10" t="str">
        <f t="shared" si="1"/>
        <v/>
      </c>
      <c r="J10" s="17" t="str">
        <f>IFERROR(INDEX(Contact_type_composite[#All],H34,3),"")</f>
        <v/>
      </c>
      <c r="K10" t="str">
        <f t="shared" si="2"/>
        <v/>
      </c>
      <c r="M10" s="38"/>
      <c r="N10" t="str">
        <f>IF(entrée!A10="composite",entrée!B10,"")</f>
        <v/>
      </c>
      <c r="O10" t="str">
        <f>"EN3645"&amp;CONCATENATE(ref_COMPOSITE_EN36452022[[#This Row],[PLATING EN]],ref_COMPOSITE_EN36452022[[#This Row],[SHELL STYLE EN]],ref_COMPOSITE_EN36452022[[#This Row],[SHELL SIZE EN]],ref_COMPOSITE_EN36452022[[#This Row],[GROUNDING]],ref_COMPOSITE_EN36452022[[#This Row],[CONTACT LAYOUT EN]],ref_COMPOSITE_EN36452022[[#This Row],[CONTACT TYPE EN]])</f>
        <v>EN3645N</v>
      </c>
      <c r="P10" t="str">
        <f>IFERROR(INDEX(Plating_composite[#All],P34,4),"")</f>
        <v/>
      </c>
      <c r="Q10" t="str">
        <f>IFERROR(INDEX(Shell_style_composite[#All],N34,4),"")</f>
        <v/>
      </c>
      <c r="R10" t="str">
        <f>IFERROR(INDEX(Shell_size_composite[#All],R34,4),"")</f>
        <v/>
      </c>
      <c r="S10" s="1" t="s">
        <v>21</v>
      </c>
      <c r="T10" t="str">
        <f>IFERROR(MID(ref_COMPOSITE_EN36452022[[#This Row],[ref_fab]],8,2),"")</f>
        <v/>
      </c>
      <c r="U10" t="str">
        <f>IFERROR(INDEX(Contact_type_composite[#All],T34,4),"")</f>
        <v/>
      </c>
      <c r="V10" t="str">
        <f>IFERROR(MID(ref_COMPOSITE_EN36452022[[#This Row],[ref_fab]],11,1),"")</f>
        <v/>
      </c>
    </row>
    <row r="11" spans="2:22" x14ac:dyDescent="0.25">
      <c r="C11" s="38"/>
      <c r="D11" t="str">
        <f>IF(entrée!A11="composite",entrée!B11,"")</f>
        <v/>
      </c>
      <c r="E11" t="str">
        <f t="shared" si="0"/>
        <v>D38999/</v>
      </c>
      <c r="F11" s="17" t="str">
        <f>IFERROR(INDEX(Shell_style_composite[#All],B35,3),"")</f>
        <v/>
      </c>
      <c r="G11" s="17" t="str">
        <f>IFERROR(INDEX(Plating_composite[#All],D35,3),"")</f>
        <v/>
      </c>
      <c r="H11" s="17" t="str">
        <f>IFERROR(INDEX(Shell_size_composite[#All],F35,3),"")</f>
        <v/>
      </c>
      <c r="I11" t="str">
        <f t="shared" si="1"/>
        <v/>
      </c>
      <c r="J11" s="17" t="str">
        <f>IFERROR(INDEX(Contact_type_composite[#All],H35,3),"")</f>
        <v/>
      </c>
      <c r="K11" t="str">
        <f t="shared" si="2"/>
        <v/>
      </c>
      <c r="M11" s="38"/>
      <c r="N11" t="str">
        <f>IF(entrée!A11="composite",entrée!B11,"")</f>
        <v/>
      </c>
      <c r="O11" t="str">
        <f>"EN3645"&amp;CONCATENATE(ref_COMPOSITE_EN36452022[[#This Row],[PLATING EN]],ref_COMPOSITE_EN36452022[[#This Row],[SHELL STYLE EN]],ref_COMPOSITE_EN36452022[[#This Row],[SHELL SIZE EN]],ref_COMPOSITE_EN36452022[[#This Row],[GROUNDING]],ref_COMPOSITE_EN36452022[[#This Row],[CONTACT LAYOUT EN]],ref_COMPOSITE_EN36452022[[#This Row],[CONTACT TYPE EN]])</f>
        <v>EN3645N</v>
      </c>
      <c r="P11" t="str">
        <f>IFERROR(INDEX(Plating_composite[#All],P35,4),"")</f>
        <v/>
      </c>
      <c r="Q11" t="str">
        <f>IFERROR(INDEX(Shell_style_composite[#All],N35,4),"")</f>
        <v/>
      </c>
      <c r="R11" t="str">
        <f>IFERROR(INDEX(Shell_size_composite[#All],R35,4),"")</f>
        <v/>
      </c>
      <c r="S11" s="1" t="s">
        <v>21</v>
      </c>
      <c r="T11" t="str">
        <f>IFERROR(MID(ref_COMPOSITE_EN36452022[[#This Row],[ref_fab]],8,2),"")</f>
        <v/>
      </c>
      <c r="U11" t="str">
        <f>IFERROR(INDEX(Contact_type_composite[#All],T35,4),"")</f>
        <v/>
      </c>
      <c r="V11" t="str">
        <f>IFERROR(MID(ref_COMPOSITE_EN36452022[[#This Row],[ref_fab]],11,1),"")</f>
        <v/>
      </c>
    </row>
    <row r="12" spans="2:22" x14ac:dyDescent="0.25">
      <c r="C12" s="38"/>
      <c r="D12" t="str">
        <f>IF(entrée!A12="composite",entrée!B12,"")</f>
        <v/>
      </c>
      <c r="E12" t="str">
        <f t="shared" si="0"/>
        <v>D38999/</v>
      </c>
      <c r="F12" s="17" t="str">
        <f>IFERROR(INDEX(Shell_style_composite[#All],B36,3),"")</f>
        <v/>
      </c>
      <c r="G12" s="17" t="str">
        <f>IFERROR(INDEX(Plating_composite[#All],D36,3),"")</f>
        <v/>
      </c>
      <c r="H12" s="17" t="str">
        <f>IFERROR(INDEX(Shell_size_composite[#All],F36,3),"")</f>
        <v/>
      </c>
      <c r="I12" t="str">
        <f t="shared" si="1"/>
        <v/>
      </c>
      <c r="J12" s="17" t="str">
        <f>IFERROR(INDEX(Contact_type_composite[#All],H36,3),"")</f>
        <v/>
      </c>
      <c r="K12" t="str">
        <f t="shared" si="2"/>
        <v/>
      </c>
      <c r="M12" s="38"/>
      <c r="N12" t="str">
        <f>IF(entrée!A12="composite",entrée!B12,"")</f>
        <v/>
      </c>
      <c r="O12" t="str">
        <f>"EN3645"&amp;CONCATENATE(ref_COMPOSITE_EN36452022[[#This Row],[PLATING EN]],ref_COMPOSITE_EN36452022[[#This Row],[SHELL STYLE EN]],ref_COMPOSITE_EN36452022[[#This Row],[SHELL SIZE EN]],ref_COMPOSITE_EN36452022[[#This Row],[GROUNDING]],ref_COMPOSITE_EN36452022[[#This Row],[CONTACT LAYOUT EN]],ref_COMPOSITE_EN36452022[[#This Row],[CONTACT TYPE EN]])</f>
        <v>EN3645N</v>
      </c>
      <c r="P12" t="str">
        <f>IFERROR(INDEX(Plating_composite[#All],P36,4),"")</f>
        <v/>
      </c>
      <c r="Q12" t="str">
        <f>IFERROR(INDEX(Shell_style_composite[#All],N36,4),"")</f>
        <v/>
      </c>
      <c r="R12" t="str">
        <f>IFERROR(INDEX(Shell_size_composite[#All],R36,4),"")</f>
        <v/>
      </c>
      <c r="S12" s="1" t="s">
        <v>21</v>
      </c>
      <c r="T12" t="str">
        <f>IFERROR(MID(ref_COMPOSITE_EN36452022[[#This Row],[ref_fab]],8,2),"")</f>
        <v/>
      </c>
      <c r="U12" t="str">
        <f>IFERROR(INDEX(Contact_type_composite[#All],T36,4),"")</f>
        <v/>
      </c>
      <c r="V12" t="str">
        <f>IFERROR(MID(ref_COMPOSITE_EN36452022[[#This Row],[ref_fab]],11,1),"")</f>
        <v/>
      </c>
    </row>
    <row r="13" spans="2:22" x14ac:dyDescent="0.25">
      <c r="B13" s="1"/>
    </row>
    <row r="14" spans="2:22" x14ac:dyDescent="0.25">
      <c r="B14" s="1"/>
    </row>
    <row r="15" spans="2:22" x14ac:dyDescent="0.25">
      <c r="B15" s="1"/>
    </row>
    <row r="16" spans="2:22" x14ac:dyDescent="0.25">
      <c r="B16" s="1"/>
    </row>
    <row r="23" spans="1:20" ht="15.75" thickBot="1" x14ac:dyDescent="0.3"/>
    <row r="24" spans="1:20" ht="15.75" thickBot="1" x14ac:dyDescent="0.3">
      <c r="A24" s="35" t="s">
        <v>105</v>
      </c>
      <c r="B24" s="36"/>
      <c r="C24" s="36"/>
      <c r="D24" s="36"/>
      <c r="E24" s="36"/>
      <c r="F24" s="36"/>
      <c r="G24" s="36"/>
      <c r="H24" s="37"/>
      <c r="M24" s="35" t="s">
        <v>106</v>
      </c>
      <c r="N24" s="36"/>
      <c r="O24" s="36"/>
      <c r="P24" s="36"/>
      <c r="Q24" s="36"/>
      <c r="R24" s="36"/>
      <c r="S24" s="36"/>
      <c r="T24" s="37"/>
    </row>
    <row r="25" spans="1:20" x14ac:dyDescent="0.25">
      <c r="A25" s="39" t="s">
        <v>97</v>
      </c>
      <c r="B25" s="33"/>
      <c r="C25" s="31" t="s">
        <v>35</v>
      </c>
      <c r="D25" s="32"/>
      <c r="E25" s="31" t="s">
        <v>36</v>
      </c>
      <c r="F25" s="32"/>
      <c r="G25" s="31" t="s">
        <v>38</v>
      </c>
      <c r="H25" s="32"/>
      <c r="M25" s="31" t="s">
        <v>97</v>
      </c>
      <c r="N25" s="32"/>
      <c r="O25" s="31" t="s">
        <v>40</v>
      </c>
      <c r="P25" s="32"/>
      <c r="Q25" s="31" t="s">
        <v>36</v>
      </c>
      <c r="R25" s="32"/>
      <c r="S25" s="33" t="s">
        <v>45</v>
      </c>
      <c r="T25" s="34"/>
    </row>
    <row r="26" spans="1:20" x14ac:dyDescent="0.25">
      <c r="A26" s="21" t="str">
        <f>IFERROR(MID(D2,3,1)*1,"")</f>
        <v/>
      </c>
      <c r="B26" s="20" t="str">
        <f>IFERROR(MATCH(A26,Shell_style_composite[[#All],[connector part numbers]],0),"")</f>
        <v/>
      </c>
      <c r="C26" s="21" t="str">
        <f>IFERROR(MID(D2,7,1),"")</f>
        <v/>
      </c>
      <c r="D26" s="22" t="str">
        <f>IFERROR(MATCH(C26,Plating_composite[[#All],[connector part numbers]],0),"")</f>
        <v/>
      </c>
      <c r="E26" s="21" t="str">
        <f>IFERROR(MID(D2,5,2)*1,"")</f>
        <v/>
      </c>
      <c r="F26" s="26" t="str">
        <f>IFERROR(MATCH(E26,Shell_size_composite[[#All],[connector part numbers]],0),"")</f>
        <v/>
      </c>
      <c r="G26" s="21" t="str">
        <f>IFERROR(MID(D2,10,1),"")</f>
        <v/>
      </c>
      <c r="H26" s="22" t="str">
        <f>IFERROR(MATCH(G26,Contact_type_composite[[#All],[connector part numbers]],0),"")</f>
        <v/>
      </c>
      <c r="M26" s="21" t="str">
        <f>IFERROR(MID(N2,3,1)*1,"")</f>
        <v/>
      </c>
      <c r="N26" s="22" t="str">
        <f>IFERROR(MATCH(M26,Shell_style_composite[[#All],[connector part numbers]],0),"")</f>
        <v/>
      </c>
      <c r="O26" s="21" t="str">
        <f>IFERROR(MID(N2,7,1),"")</f>
        <v/>
      </c>
      <c r="P26" s="22" t="str">
        <f>IFERROR(MATCH(O26,Plating_composite[[#All],[connector part numbers]],0),"")</f>
        <v/>
      </c>
      <c r="Q26" s="21" t="str">
        <f>IFERROR(MID(N2,5,2)*1,"")</f>
        <v/>
      </c>
      <c r="R26" s="22" t="str">
        <f>IFERROR(MATCH(Q26,Shell_size_composite[[#All],[connector part numbers]],0),"")</f>
        <v/>
      </c>
      <c r="S26" s="20" t="str">
        <f>IFERROR(MID(N2,10,1),"")</f>
        <v/>
      </c>
      <c r="T26" s="22" t="str">
        <f>IFERROR(MATCH(S26,Contact_type_composite[[#All],[connector part numbers]],0),"")</f>
        <v/>
      </c>
    </row>
    <row r="27" spans="1:20" x14ac:dyDescent="0.25">
      <c r="A27" s="21" t="str">
        <f t="shared" ref="A27:A37" si="3">IFERROR(MID(D3,3,1)*1,"")</f>
        <v/>
      </c>
      <c r="B27" s="20" t="str">
        <f>IFERROR(MATCH(A27,Shell_style_composite[[#All],[connector part numbers]],0),"")</f>
        <v/>
      </c>
      <c r="C27" s="21" t="str">
        <f t="shared" ref="C27:C37" si="4">IFERROR(MID(D3,7,1),"")</f>
        <v/>
      </c>
      <c r="D27" s="22" t="str">
        <f>IFERROR(MATCH(C27,Plating_composite[[#All],[connector part numbers]],0),"")</f>
        <v/>
      </c>
      <c r="E27" s="21" t="str">
        <f t="shared" ref="E27:E37" si="5">IFERROR(MID(D3,5,2)*1,"")</f>
        <v/>
      </c>
      <c r="F27" s="26" t="str">
        <f>IFERROR(MATCH(E27,Shell_size_composite[[#All],[connector part numbers]],0),"")</f>
        <v/>
      </c>
      <c r="G27" s="21" t="str">
        <f t="shared" ref="G27:G37" si="6">IFERROR(MID(D3,10,1),"")</f>
        <v/>
      </c>
      <c r="H27" s="22" t="str">
        <f>IFERROR(MATCH(G27,Contact_type_composite[[#All],[connector part numbers]],0),"")</f>
        <v/>
      </c>
      <c r="M27" s="21" t="str">
        <f t="shared" ref="M27:M37" si="7">IFERROR(MID(N3,3,1)*1,"")</f>
        <v/>
      </c>
      <c r="N27" s="22" t="str">
        <f>IFERROR(MATCH(M27,Shell_style_composite[[#All],[connector part numbers]],0),"")</f>
        <v/>
      </c>
      <c r="O27" s="21" t="str">
        <f t="shared" ref="O27:O37" si="8">IFERROR(MID(N3,7,1),"")</f>
        <v/>
      </c>
      <c r="P27" s="22" t="str">
        <f>IFERROR(MATCH(O27,Plating_composite[[#All],[connector part numbers]],0),"")</f>
        <v/>
      </c>
      <c r="Q27" s="21" t="str">
        <f t="shared" ref="Q27:Q37" si="9">IFERROR(MID(N3,5,2)*1,"")</f>
        <v/>
      </c>
      <c r="R27" s="22" t="str">
        <f>IFERROR(MATCH(Q27,Shell_size_composite[[#All],[connector part numbers]],0),"")</f>
        <v/>
      </c>
      <c r="S27" s="20" t="str">
        <f t="shared" ref="S27:S37" si="10">IFERROR(MID(N3,10,1),"")</f>
        <v/>
      </c>
      <c r="T27" s="22" t="str">
        <f>IFERROR(MATCH(S27,Contact_type_composite[[#All],[connector part numbers]],0),"")</f>
        <v/>
      </c>
    </row>
    <row r="28" spans="1:20" x14ac:dyDescent="0.25">
      <c r="A28" s="21" t="str">
        <f t="shared" si="3"/>
        <v/>
      </c>
      <c r="B28" s="20" t="str">
        <f>IFERROR(MATCH(A28,Shell_style_composite[[#All],[connector part numbers]],0),"")</f>
        <v/>
      </c>
      <c r="C28" s="21" t="str">
        <f t="shared" si="4"/>
        <v/>
      </c>
      <c r="D28" s="22" t="str">
        <f>IFERROR(MATCH(C28,Plating_composite[[#All],[connector part numbers]],0),"")</f>
        <v/>
      </c>
      <c r="E28" s="21" t="str">
        <f t="shared" si="5"/>
        <v/>
      </c>
      <c r="F28" s="26" t="str">
        <f>IFERROR(MATCH(E28,Shell_size_composite[[#All],[connector part numbers]],0),"")</f>
        <v/>
      </c>
      <c r="G28" s="21" t="str">
        <f t="shared" si="6"/>
        <v/>
      </c>
      <c r="H28" s="22" t="str">
        <f>IFERROR(MATCH(G28,Contact_type_composite[[#All],[connector part numbers]],0),"")</f>
        <v/>
      </c>
      <c r="M28" s="21" t="str">
        <f t="shared" si="7"/>
        <v/>
      </c>
      <c r="N28" s="22" t="str">
        <f>IFERROR(MATCH(M28,Shell_style_composite[[#All],[connector part numbers]],0),"")</f>
        <v/>
      </c>
      <c r="O28" s="21" t="str">
        <f t="shared" si="8"/>
        <v/>
      </c>
      <c r="P28" s="22" t="str">
        <f>IFERROR(MATCH(O28,Plating_composite[[#All],[connector part numbers]],0),"")</f>
        <v/>
      </c>
      <c r="Q28" s="21" t="str">
        <f t="shared" si="9"/>
        <v/>
      </c>
      <c r="R28" s="22" t="str">
        <f>IFERROR(MATCH(Q28,Shell_size_composite[[#All],[connector part numbers]],0),"")</f>
        <v/>
      </c>
      <c r="S28" s="20" t="str">
        <f t="shared" si="10"/>
        <v/>
      </c>
      <c r="T28" s="22" t="str">
        <f>IFERROR(MATCH(S28,Contact_type_composite[[#All],[connector part numbers]],0),"")</f>
        <v/>
      </c>
    </row>
    <row r="29" spans="1:20" x14ac:dyDescent="0.25">
      <c r="A29" s="21" t="str">
        <f t="shared" si="3"/>
        <v/>
      </c>
      <c r="B29" s="20" t="str">
        <f>IFERROR(MATCH(A29,Shell_style_composite[[#All],[connector part numbers]],0),"")</f>
        <v/>
      </c>
      <c r="C29" s="21" t="str">
        <f t="shared" si="4"/>
        <v/>
      </c>
      <c r="D29" s="22" t="str">
        <f>IFERROR(MATCH(C29,Plating_composite[[#All],[connector part numbers]],0),"")</f>
        <v/>
      </c>
      <c r="E29" s="21" t="str">
        <f t="shared" si="5"/>
        <v/>
      </c>
      <c r="F29" s="26" t="str">
        <f>IFERROR(MATCH(E29,Shell_size_composite[[#All],[connector part numbers]],0),"")</f>
        <v/>
      </c>
      <c r="G29" s="21" t="str">
        <f t="shared" si="6"/>
        <v/>
      </c>
      <c r="H29" s="22" t="str">
        <f>IFERROR(MATCH(G29,Contact_type_composite[[#All],[connector part numbers]],0),"")</f>
        <v/>
      </c>
      <c r="M29" s="21" t="str">
        <f t="shared" si="7"/>
        <v/>
      </c>
      <c r="N29" s="22" t="str">
        <f>IFERROR(MATCH(M29,Shell_style_composite[[#All],[connector part numbers]],0),"")</f>
        <v/>
      </c>
      <c r="O29" s="21" t="str">
        <f t="shared" si="8"/>
        <v/>
      </c>
      <c r="P29" s="22" t="str">
        <f>IFERROR(MATCH(O29,Plating_composite[[#All],[connector part numbers]],0),"")</f>
        <v/>
      </c>
      <c r="Q29" s="21" t="str">
        <f t="shared" si="9"/>
        <v/>
      </c>
      <c r="R29" s="22" t="str">
        <f>IFERROR(MATCH(Q29,Shell_size_composite[[#All],[connector part numbers]],0),"")</f>
        <v/>
      </c>
      <c r="S29" s="20" t="str">
        <f t="shared" si="10"/>
        <v/>
      </c>
      <c r="T29" s="22" t="str">
        <f>IFERROR(MATCH(S29,Contact_type_composite[[#All],[connector part numbers]],0),"")</f>
        <v/>
      </c>
    </row>
    <row r="30" spans="1:20" x14ac:dyDescent="0.25">
      <c r="A30" s="21" t="str">
        <f t="shared" si="3"/>
        <v/>
      </c>
      <c r="B30" s="20" t="str">
        <f>IFERROR(MATCH(A30,Shell_style_composite[[#All],[connector part numbers]],0),"")</f>
        <v/>
      </c>
      <c r="C30" s="21" t="str">
        <f t="shared" si="4"/>
        <v/>
      </c>
      <c r="D30" s="22" t="str">
        <f>IFERROR(MATCH(C30,Plating_composite[[#All],[connector part numbers]],0),"")</f>
        <v/>
      </c>
      <c r="E30" s="21" t="str">
        <f t="shared" si="5"/>
        <v/>
      </c>
      <c r="F30" s="26" t="str">
        <f>IFERROR(MATCH(E30,Shell_size_composite[[#All],[connector part numbers]],0),"")</f>
        <v/>
      </c>
      <c r="G30" s="21" t="str">
        <f t="shared" si="6"/>
        <v/>
      </c>
      <c r="H30" s="22" t="str">
        <f>IFERROR(MATCH(G30,Contact_type_composite[[#All],[connector part numbers]],0),"")</f>
        <v/>
      </c>
      <c r="M30" s="21" t="str">
        <f t="shared" si="7"/>
        <v/>
      </c>
      <c r="N30" s="22" t="str">
        <f>IFERROR(MATCH(M30,Shell_style_composite[[#All],[connector part numbers]],0),"")</f>
        <v/>
      </c>
      <c r="O30" s="21" t="str">
        <f t="shared" si="8"/>
        <v/>
      </c>
      <c r="P30" s="22" t="str">
        <f>IFERROR(MATCH(O30,Plating_composite[[#All],[connector part numbers]],0),"")</f>
        <v/>
      </c>
      <c r="Q30" s="21" t="str">
        <f t="shared" si="9"/>
        <v/>
      </c>
      <c r="R30" s="22" t="str">
        <f>IFERROR(MATCH(Q30,Shell_size_composite[[#All],[connector part numbers]],0),"")</f>
        <v/>
      </c>
      <c r="S30" s="20" t="str">
        <f t="shared" si="10"/>
        <v/>
      </c>
      <c r="T30" s="22" t="str">
        <f>IFERROR(MATCH(S30,Contact_type_composite[[#All],[connector part numbers]],0),"")</f>
        <v/>
      </c>
    </row>
    <row r="31" spans="1:20" x14ac:dyDescent="0.25">
      <c r="A31" s="21" t="str">
        <f t="shared" si="3"/>
        <v/>
      </c>
      <c r="B31" s="20" t="str">
        <f>IFERROR(MATCH(A31,Shell_style_composite[[#All],[connector part numbers]],0),"")</f>
        <v/>
      </c>
      <c r="C31" s="21" t="str">
        <f t="shared" si="4"/>
        <v/>
      </c>
      <c r="D31" s="22" t="str">
        <f>IFERROR(MATCH(C31,Plating_composite[[#All],[connector part numbers]],0),"")</f>
        <v/>
      </c>
      <c r="E31" s="21" t="str">
        <f t="shared" si="5"/>
        <v/>
      </c>
      <c r="F31" s="26" t="str">
        <f>IFERROR(MATCH(E31,Shell_size_composite[[#All],[connector part numbers]],0),"")</f>
        <v/>
      </c>
      <c r="G31" s="21" t="str">
        <f t="shared" si="6"/>
        <v/>
      </c>
      <c r="H31" s="22" t="str">
        <f>IFERROR(MATCH(G31,Contact_type_composite[[#All],[connector part numbers]],0),"")</f>
        <v/>
      </c>
      <c r="M31" s="21" t="str">
        <f t="shared" si="7"/>
        <v/>
      </c>
      <c r="N31" s="22" t="str">
        <f>IFERROR(MATCH(M31,Shell_style_composite[[#All],[connector part numbers]],0),"")</f>
        <v/>
      </c>
      <c r="O31" s="21" t="str">
        <f t="shared" si="8"/>
        <v/>
      </c>
      <c r="P31" s="22" t="str">
        <f>IFERROR(MATCH(O31,Plating_composite[[#All],[connector part numbers]],0),"")</f>
        <v/>
      </c>
      <c r="Q31" s="21" t="str">
        <f t="shared" si="9"/>
        <v/>
      </c>
      <c r="R31" s="22" t="str">
        <f>IFERROR(MATCH(Q31,Shell_size_composite[[#All],[connector part numbers]],0),"")</f>
        <v/>
      </c>
      <c r="S31" s="20" t="str">
        <f t="shared" si="10"/>
        <v/>
      </c>
      <c r="T31" s="22" t="str">
        <f>IFERROR(MATCH(S31,Contact_type_composite[[#All],[connector part numbers]],0),"")</f>
        <v/>
      </c>
    </row>
    <row r="32" spans="1:20" x14ac:dyDescent="0.25">
      <c r="A32" s="21" t="str">
        <f t="shared" si="3"/>
        <v/>
      </c>
      <c r="B32" s="20" t="str">
        <f>IFERROR(MATCH(A32,Shell_style_composite[[#All],[connector part numbers]],0),"")</f>
        <v/>
      </c>
      <c r="C32" s="21" t="str">
        <f t="shared" si="4"/>
        <v/>
      </c>
      <c r="D32" s="22" t="str">
        <f>IFERROR(MATCH(C32,Plating_composite[[#All],[connector part numbers]],0),"")</f>
        <v/>
      </c>
      <c r="E32" s="21" t="str">
        <f t="shared" si="5"/>
        <v/>
      </c>
      <c r="F32" s="26" t="str">
        <f>IFERROR(MATCH(E32,Shell_size_composite[[#All],[connector part numbers]],0),"")</f>
        <v/>
      </c>
      <c r="G32" s="21" t="str">
        <f t="shared" si="6"/>
        <v/>
      </c>
      <c r="H32" s="22" t="str">
        <f>IFERROR(MATCH(G32,Contact_type_composite[[#All],[connector part numbers]],0),"")</f>
        <v/>
      </c>
      <c r="M32" s="21" t="str">
        <f t="shared" si="7"/>
        <v/>
      </c>
      <c r="N32" s="22" t="str">
        <f>IFERROR(MATCH(M32,Shell_style_composite[[#All],[connector part numbers]],0),"")</f>
        <v/>
      </c>
      <c r="O32" s="21" t="str">
        <f t="shared" si="8"/>
        <v/>
      </c>
      <c r="P32" s="22" t="str">
        <f>IFERROR(MATCH(O32,Plating_composite[[#All],[connector part numbers]],0),"")</f>
        <v/>
      </c>
      <c r="Q32" s="21" t="str">
        <f t="shared" si="9"/>
        <v/>
      </c>
      <c r="R32" s="22" t="str">
        <f>IFERROR(MATCH(Q32,Shell_size_composite[[#All],[connector part numbers]],0),"")</f>
        <v/>
      </c>
      <c r="S32" s="20" t="str">
        <f t="shared" si="10"/>
        <v/>
      </c>
      <c r="T32" s="22" t="str">
        <f>IFERROR(MATCH(S32,Contact_type_composite[[#All],[connector part numbers]],0),"")</f>
        <v/>
      </c>
    </row>
    <row r="33" spans="1:20" x14ac:dyDescent="0.25">
      <c r="A33" s="21" t="str">
        <f t="shared" si="3"/>
        <v/>
      </c>
      <c r="B33" s="20" t="str">
        <f>IFERROR(MATCH(A33,Shell_style_composite[[#All],[connector part numbers]],0),"")</f>
        <v/>
      </c>
      <c r="C33" s="21" t="str">
        <f t="shared" si="4"/>
        <v/>
      </c>
      <c r="D33" s="22" t="str">
        <f>IFERROR(MATCH(C33,Plating_composite[[#All],[connector part numbers]],0),"")</f>
        <v/>
      </c>
      <c r="E33" s="21" t="str">
        <f t="shared" si="5"/>
        <v/>
      </c>
      <c r="F33" s="26" t="str">
        <f>IFERROR(MATCH(E33,Shell_size_composite[[#All],[connector part numbers]],0),"")</f>
        <v/>
      </c>
      <c r="G33" s="21" t="str">
        <f t="shared" si="6"/>
        <v/>
      </c>
      <c r="H33" s="22" t="str">
        <f>IFERROR(MATCH(G33,Contact_type_composite[[#All],[connector part numbers]],0),"")</f>
        <v/>
      </c>
      <c r="M33" s="21" t="str">
        <f t="shared" si="7"/>
        <v/>
      </c>
      <c r="N33" s="22" t="str">
        <f>IFERROR(MATCH(M33,Shell_style_composite[[#All],[connector part numbers]],0),"")</f>
        <v/>
      </c>
      <c r="O33" s="21" t="str">
        <f t="shared" si="8"/>
        <v/>
      </c>
      <c r="P33" s="22" t="str">
        <f>IFERROR(MATCH(O33,Plating_composite[[#All],[connector part numbers]],0),"")</f>
        <v/>
      </c>
      <c r="Q33" s="21" t="str">
        <f t="shared" si="9"/>
        <v/>
      </c>
      <c r="R33" s="22" t="str">
        <f>IFERROR(MATCH(Q33,Shell_size_composite[[#All],[connector part numbers]],0),"")</f>
        <v/>
      </c>
      <c r="S33" s="20" t="str">
        <f t="shared" si="10"/>
        <v/>
      </c>
      <c r="T33" s="22" t="str">
        <f>IFERROR(MATCH(S33,Contact_type_composite[[#All],[connector part numbers]],0),"")</f>
        <v/>
      </c>
    </row>
    <row r="34" spans="1:20" x14ac:dyDescent="0.25">
      <c r="A34" s="21" t="str">
        <f t="shared" si="3"/>
        <v/>
      </c>
      <c r="B34" s="20" t="str">
        <f>IFERROR(MATCH(A34,Shell_style_composite[[#All],[connector part numbers]],0),"")</f>
        <v/>
      </c>
      <c r="C34" s="21" t="str">
        <f t="shared" si="4"/>
        <v/>
      </c>
      <c r="D34" s="22" t="str">
        <f>IFERROR(MATCH(C34,Plating_composite[[#All],[connector part numbers]],0),"")</f>
        <v/>
      </c>
      <c r="E34" s="21" t="str">
        <f t="shared" si="5"/>
        <v/>
      </c>
      <c r="F34" s="26" t="str">
        <f>IFERROR(MATCH(E34,Shell_size_composite[[#All],[connector part numbers]],0),"")</f>
        <v/>
      </c>
      <c r="G34" s="21" t="str">
        <f t="shared" si="6"/>
        <v/>
      </c>
      <c r="H34" s="22" t="str">
        <f>IFERROR(MATCH(G34,Contact_type_composite[[#All],[connector part numbers]],0),"")</f>
        <v/>
      </c>
      <c r="M34" s="21" t="str">
        <f t="shared" si="7"/>
        <v/>
      </c>
      <c r="N34" s="22" t="str">
        <f>IFERROR(MATCH(M34,Shell_style_composite[[#All],[connector part numbers]],0),"")</f>
        <v/>
      </c>
      <c r="O34" s="21" t="str">
        <f t="shared" si="8"/>
        <v/>
      </c>
      <c r="P34" s="22" t="str">
        <f>IFERROR(MATCH(O34,Plating_composite[[#All],[connector part numbers]],0),"")</f>
        <v/>
      </c>
      <c r="Q34" s="21" t="str">
        <f t="shared" si="9"/>
        <v/>
      </c>
      <c r="R34" s="22" t="str">
        <f>IFERROR(MATCH(Q34,Shell_size_composite[[#All],[connector part numbers]],0),"")</f>
        <v/>
      </c>
      <c r="S34" s="20" t="str">
        <f t="shared" si="10"/>
        <v/>
      </c>
      <c r="T34" s="22" t="str">
        <f>IFERROR(MATCH(S34,Contact_type_composite[[#All],[connector part numbers]],0),"")</f>
        <v/>
      </c>
    </row>
    <row r="35" spans="1:20" x14ac:dyDescent="0.25">
      <c r="A35" s="21" t="str">
        <f t="shared" si="3"/>
        <v/>
      </c>
      <c r="B35" s="20" t="str">
        <f>IFERROR(MATCH(A35,Shell_style_composite[[#All],[connector part numbers]],0),"")</f>
        <v/>
      </c>
      <c r="C35" s="21" t="str">
        <f t="shared" si="4"/>
        <v/>
      </c>
      <c r="D35" s="22" t="str">
        <f>IFERROR(MATCH(C35,Plating_composite[[#All],[connector part numbers]],0),"")</f>
        <v/>
      </c>
      <c r="E35" s="21" t="str">
        <f t="shared" si="5"/>
        <v/>
      </c>
      <c r="F35" s="26" t="str">
        <f>IFERROR(MATCH(E35,Shell_size_composite[[#All],[connector part numbers]],0),"")</f>
        <v/>
      </c>
      <c r="G35" s="21" t="str">
        <f t="shared" si="6"/>
        <v/>
      </c>
      <c r="H35" s="22" t="str">
        <f>IFERROR(MATCH(G35,Contact_type_composite[[#All],[connector part numbers]],0),"")</f>
        <v/>
      </c>
      <c r="M35" s="21" t="str">
        <f t="shared" si="7"/>
        <v/>
      </c>
      <c r="N35" s="22" t="str">
        <f>IFERROR(MATCH(M35,Shell_style_composite[[#All],[connector part numbers]],0),"")</f>
        <v/>
      </c>
      <c r="O35" s="21" t="str">
        <f t="shared" si="8"/>
        <v/>
      </c>
      <c r="P35" s="22" t="str">
        <f>IFERROR(MATCH(O35,Plating_composite[[#All],[connector part numbers]],0),"")</f>
        <v/>
      </c>
      <c r="Q35" s="21" t="str">
        <f t="shared" si="9"/>
        <v/>
      </c>
      <c r="R35" s="22" t="str">
        <f>IFERROR(MATCH(Q35,Shell_size_composite[[#All],[connector part numbers]],0),"")</f>
        <v/>
      </c>
      <c r="S35" s="20" t="str">
        <f t="shared" si="10"/>
        <v/>
      </c>
      <c r="T35" s="22" t="str">
        <f>IFERROR(MATCH(S35,Contact_type_composite[[#All],[connector part numbers]],0),"")</f>
        <v/>
      </c>
    </row>
    <row r="36" spans="1:20" x14ac:dyDescent="0.25">
      <c r="A36" s="21" t="str">
        <f t="shared" si="3"/>
        <v/>
      </c>
      <c r="B36" s="20" t="str">
        <f>IFERROR(MATCH(A36,Shell_style_composite[[#All],[connector part numbers]],0),"")</f>
        <v/>
      </c>
      <c r="C36" s="21" t="str">
        <f t="shared" si="4"/>
        <v/>
      </c>
      <c r="D36" s="22" t="str">
        <f>IFERROR(MATCH(C36,Plating_composite[[#All],[connector part numbers]],0),"")</f>
        <v/>
      </c>
      <c r="E36" s="21" t="str">
        <f t="shared" si="5"/>
        <v/>
      </c>
      <c r="F36" s="26" t="str">
        <f>IFERROR(MATCH(E36,Shell_size_composite[[#All],[connector part numbers]],0),"")</f>
        <v/>
      </c>
      <c r="G36" s="21" t="str">
        <f t="shared" si="6"/>
        <v/>
      </c>
      <c r="H36" s="22" t="str">
        <f>IFERROR(MATCH(G36,Contact_type_composite[[#All],[connector part numbers]],0),"")</f>
        <v/>
      </c>
      <c r="M36" s="21" t="str">
        <f t="shared" si="7"/>
        <v/>
      </c>
      <c r="N36" s="22" t="str">
        <f>IFERROR(MATCH(M36,Shell_style_composite[[#All],[connector part numbers]],0),"")</f>
        <v/>
      </c>
      <c r="O36" s="21" t="str">
        <f t="shared" si="8"/>
        <v/>
      </c>
      <c r="P36" s="22" t="str">
        <f>IFERROR(MATCH(O36,Plating_composite[[#All],[connector part numbers]],0),"")</f>
        <v/>
      </c>
      <c r="Q36" s="21" t="str">
        <f t="shared" si="9"/>
        <v/>
      </c>
      <c r="R36" s="22" t="str">
        <f>IFERROR(MATCH(Q36,Shell_size_composite[[#All],[connector part numbers]],0),"")</f>
        <v/>
      </c>
      <c r="S36" s="20" t="str">
        <f t="shared" si="10"/>
        <v/>
      </c>
      <c r="T36" s="22" t="str">
        <f>IFERROR(MATCH(S36,Contact_type_composite[[#All],[connector part numbers]],0),"")</f>
        <v/>
      </c>
    </row>
    <row r="37" spans="1:20" ht="15.75" thickBot="1" x14ac:dyDescent="0.3">
      <c r="A37" s="23" t="str">
        <f t="shared" si="3"/>
        <v/>
      </c>
      <c r="B37" s="24" t="str">
        <f>IFERROR(MATCH(A37,Shell_style_composite[[#All],[connector part numbers]],0),"")</f>
        <v/>
      </c>
      <c r="C37" s="23" t="str">
        <f t="shared" si="4"/>
        <v/>
      </c>
      <c r="D37" s="25" t="str">
        <f>IFERROR(MATCH(C37,Plating_composite[[#All],[connector part numbers]],0),"")</f>
        <v/>
      </c>
      <c r="E37" s="23" t="str">
        <f t="shared" si="5"/>
        <v/>
      </c>
      <c r="F37" s="27" t="str">
        <f>IFERROR(MATCH(E37,Shell_size_composite[[#All],[connector part numbers]],0),"")</f>
        <v/>
      </c>
      <c r="G37" s="23" t="str">
        <f t="shared" si="6"/>
        <v/>
      </c>
      <c r="H37" s="25" t="str">
        <f>IFERROR(MATCH(G37,Contact_type_composite[[#All],[connector part numbers]],0),"")</f>
        <v/>
      </c>
      <c r="M37" s="23" t="str">
        <f t="shared" si="7"/>
        <v/>
      </c>
      <c r="N37" s="25" t="str">
        <f>IFERROR(MATCH(M37,Shell_style_composite[[#All],[connector part numbers]],0),"")</f>
        <v/>
      </c>
      <c r="O37" s="23" t="str">
        <f t="shared" si="8"/>
        <v/>
      </c>
      <c r="P37" s="25" t="str">
        <f>IFERROR(MATCH(O37,Plating_composite[[#All],[connector part numbers]],0),"")</f>
        <v/>
      </c>
      <c r="Q37" s="23" t="str">
        <f t="shared" si="9"/>
        <v/>
      </c>
      <c r="R37" s="25" t="str">
        <f>IFERROR(MATCH(Q37,Shell_size_composite[[#All],[connector part numbers]],0),"")</f>
        <v/>
      </c>
      <c r="S37" s="24" t="str">
        <f t="shared" si="10"/>
        <v/>
      </c>
      <c r="T37" s="25" t="str">
        <f>IFERROR(MATCH(S37,Contact_type_composite[[#All],[connector part numbers]],0),"")</f>
        <v/>
      </c>
    </row>
    <row r="38" spans="1:20" s="4" customFormat="1" x14ac:dyDescent="0.25"/>
  </sheetData>
  <mergeCells count="12">
    <mergeCell ref="Q25:R25"/>
    <mergeCell ref="S25:T25"/>
    <mergeCell ref="C1:C12"/>
    <mergeCell ref="M1:M12"/>
    <mergeCell ref="A24:H24"/>
    <mergeCell ref="M24:T24"/>
    <mergeCell ref="A25:B25"/>
    <mergeCell ref="C25:D25"/>
    <mergeCell ref="E25:F25"/>
    <mergeCell ref="G25:H25"/>
    <mergeCell ref="M25:N25"/>
    <mergeCell ref="O25:P25"/>
  </mergeCell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tableau souhaité</vt:lpstr>
      <vt:lpstr>Tableau manuelle</vt:lpstr>
      <vt:lpstr>donnée</vt:lpstr>
      <vt:lpstr>entrée</vt:lpstr>
      <vt:lpstr>ALU calcul caché</vt:lpstr>
      <vt:lpstr>INOX calcul caché</vt:lpstr>
      <vt:lpstr>composite calcul caché</vt:lpstr>
    </vt:vector>
  </TitlesOfParts>
  <Company>SAFRAN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CHATEAU Maxime (SAFRAN ELECTRONICS &amp; DEFENSE)</dc:creator>
  <cp:lastModifiedBy>CHATEAU Maxime (SAFRAN ELECTRONICS &amp; DEFENSE)</cp:lastModifiedBy>
  <dcterms:created xsi:type="dcterms:W3CDTF">2019-07-08T07:39:28Z</dcterms:created>
  <dcterms:modified xsi:type="dcterms:W3CDTF">2019-08-09T08:30:42Z</dcterms:modified>
</cp:coreProperties>
</file>