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410" windowWidth="20115" windowHeight="6735"/>
  </bookViews>
  <sheets>
    <sheet name="Tableau" sheetId="1" r:id="rId1"/>
    <sheet name="Stat ChauffECS" sheetId="2" r:id="rId2"/>
    <sheet name="Année de construction" sheetId="3" r:id="rId3"/>
  </sheets>
  <definedNames>
    <definedName name="_xlnm._FilterDatabase" localSheetId="0" hidden="1">Tableau!$A$2:$AC$2</definedName>
  </definedNames>
  <calcPr calcId="145621"/>
</workbook>
</file>

<file path=xl/calcChain.xml><?xml version="1.0" encoding="utf-8"?>
<calcChain xmlns="http://schemas.openxmlformats.org/spreadsheetml/2006/main">
  <c r="A9" i="1" l="1"/>
  <c r="D9" i="3"/>
  <c r="D8" i="3"/>
  <c r="D7" i="3"/>
  <c r="D6" i="3"/>
  <c r="D5" i="3"/>
  <c r="D4" i="3"/>
  <c r="D9" i="2"/>
  <c r="D8" i="2"/>
  <c r="D7" i="2"/>
  <c r="D6" i="2"/>
  <c r="D5" i="2"/>
  <c r="D4" i="2"/>
  <c r="W21" i="1" l="1"/>
  <c r="Z21" i="1"/>
  <c r="Z20" i="1"/>
  <c r="U21" i="1"/>
  <c r="P21" i="1"/>
  <c r="S21" i="1"/>
  <c r="L21" i="1"/>
  <c r="N21" i="1"/>
  <c r="U20" i="1" l="1"/>
  <c r="U18" i="1"/>
  <c r="P20" i="1"/>
  <c r="S20" i="1"/>
  <c r="L20" i="1"/>
  <c r="N20" i="1"/>
  <c r="Z19" i="1" l="1"/>
  <c r="L19" i="1"/>
  <c r="M19" i="1"/>
  <c r="N19" i="1"/>
  <c r="Z18" i="1" l="1"/>
  <c r="R5" i="1"/>
  <c r="P18" i="1"/>
  <c r="R18" i="1"/>
  <c r="S18" i="1"/>
  <c r="L18" i="1"/>
  <c r="M18" i="1"/>
  <c r="N18" i="1"/>
  <c r="Z17" i="1" l="1"/>
  <c r="U17" i="1"/>
  <c r="P17" i="1"/>
  <c r="S17" i="1"/>
  <c r="R17" i="1"/>
  <c r="M17" i="1"/>
  <c r="L17" i="1"/>
  <c r="N17" i="1"/>
  <c r="X16" i="1" l="1"/>
  <c r="X13" i="1"/>
  <c r="Z16" i="1"/>
  <c r="U14" i="1"/>
  <c r="U15" i="1"/>
  <c r="U6" i="1"/>
  <c r="U3" i="1"/>
  <c r="U16" i="1"/>
  <c r="P16" i="1"/>
  <c r="P15" i="1"/>
  <c r="P3" i="1"/>
  <c r="R10" i="1"/>
  <c r="S16" i="1"/>
  <c r="L16" i="1"/>
  <c r="N16" i="1"/>
  <c r="Z15" i="1" l="1"/>
  <c r="R15" i="1"/>
  <c r="S15" i="1"/>
  <c r="L15" i="1"/>
  <c r="M15" i="1"/>
  <c r="N15" i="1"/>
  <c r="Z14" i="1"/>
  <c r="P14" i="1"/>
  <c r="R14" i="1"/>
  <c r="S14" i="1"/>
  <c r="N14" i="1"/>
  <c r="M14" i="1"/>
  <c r="L14" i="1"/>
  <c r="L3" i="1" l="1"/>
  <c r="L4" i="1"/>
  <c r="L8" i="1"/>
  <c r="L9" i="1"/>
  <c r="L10" i="1"/>
  <c r="L11" i="1"/>
  <c r="L12" i="1"/>
  <c r="L13" i="1"/>
  <c r="L30" i="1" l="1"/>
  <c r="P13" i="1" l="1"/>
  <c r="R13" i="1"/>
  <c r="S13" i="1"/>
  <c r="K13" i="1"/>
  <c r="M13" i="1" s="1"/>
  <c r="U13" i="1"/>
  <c r="Z12" i="1"/>
  <c r="Z13" i="1"/>
  <c r="N13" i="1" l="1"/>
  <c r="U11" i="1"/>
  <c r="R4" i="1" l="1"/>
  <c r="R7" i="1"/>
  <c r="R8" i="1"/>
  <c r="R11" i="1"/>
  <c r="R3" i="1"/>
  <c r="S10" i="1"/>
  <c r="M8" i="1"/>
  <c r="M10" i="1"/>
  <c r="M11" i="1"/>
  <c r="N8" i="1"/>
  <c r="N9" i="1"/>
  <c r="N10" i="1"/>
  <c r="N11" i="1"/>
  <c r="Q30" i="1"/>
  <c r="P4" i="1"/>
  <c r="P5" i="1"/>
  <c r="P8" i="1"/>
  <c r="P9" i="1"/>
  <c r="P11" i="1"/>
  <c r="S4" i="1"/>
  <c r="S5" i="1"/>
  <c r="S7" i="1"/>
  <c r="S8" i="1"/>
  <c r="S9" i="1"/>
  <c r="S11" i="1"/>
  <c r="S3" i="1"/>
  <c r="W11" i="1"/>
  <c r="Z11" i="1"/>
  <c r="R30" i="1" l="1"/>
  <c r="P30" i="1"/>
  <c r="S30" i="1"/>
  <c r="W10" i="1"/>
  <c r="Z10" i="1"/>
  <c r="W9" i="1" l="1"/>
  <c r="Z9" i="1"/>
  <c r="U9" i="1"/>
  <c r="O30" i="1" l="1"/>
  <c r="U4" i="1"/>
  <c r="U5" i="1"/>
  <c r="U7" i="1"/>
  <c r="U8" i="1"/>
  <c r="Z8" i="1"/>
  <c r="Z3" i="1"/>
  <c r="U30" i="1" l="1"/>
  <c r="Z4" i="1"/>
  <c r="Z5" i="1"/>
  <c r="Z7" i="1"/>
  <c r="Z30" i="1" l="1"/>
  <c r="X30" i="1"/>
  <c r="W4" i="1" l="1"/>
  <c r="W5" i="1"/>
  <c r="W7" i="1"/>
  <c r="W3" i="1"/>
  <c r="W30" i="1" l="1"/>
  <c r="K4" i="1"/>
  <c r="K5" i="1"/>
  <c r="K7" i="1"/>
  <c r="K3" i="1"/>
  <c r="K30" i="1" l="1"/>
  <c r="N4" i="1"/>
  <c r="M4" i="1"/>
  <c r="N3" i="1"/>
  <c r="M3" i="1"/>
  <c r="N7" i="1"/>
  <c r="M7" i="1"/>
  <c r="M5" i="1"/>
  <c r="N5" i="1"/>
  <c r="F30" i="1"/>
  <c r="J30" i="1"/>
  <c r="T30" i="1"/>
  <c r="V30" i="1"/>
  <c r="I30" i="1"/>
  <c r="H30" i="1"/>
  <c r="M30" i="1" l="1"/>
  <c r="N30" i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</calcChain>
</file>

<file path=xl/sharedStrings.xml><?xml version="1.0" encoding="utf-8"?>
<sst xmlns="http://schemas.openxmlformats.org/spreadsheetml/2006/main" count="134" uniqueCount="64">
  <si>
    <t>Age</t>
  </si>
  <si>
    <t>Surface</t>
  </si>
  <si>
    <t>Nb de résident</t>
  </si>
  <si>
    <t>Energie chauffage</t>
  </si>
  <si>
    <t>Nb de repas</t>
  </si>
  <si>
    <t>Lingerie</t>
  </si>
  <si>
    <t>Gaz de ville</t>
  </si>
  <si>
    <t>Reseau de chaleur</t>
  </si>
  <si>
    <t>Bois/gaz</t>
  </si>
  <si>
    <t>Cuisine</t>
  </si>
  <si>
    <t>GPL</t>
  </si>
  <si>
    <t>Electrique</t>
  </si>
  <si>
    <t>Clim</t>
  </si>
  <si>
    <t>non</t>
  </si>
  <si>
    <t>oui</t>
  </si>
  <si>
    <t>Moyen</t>
  </si>
  <si>
    <t>Remarque</t>
  </si>
  <si>
    <t>Chauffage elec appoint</t>
  </si>
  <si>
    <t>faible</t>
  </si>
  <si>
    <t>Chauffage et ECS (MWh</t>
  </si>
  <si>
    <t>Conso elec (MWH)</t>
  </si>
  <si>
    <t>Conso eau (m3)</t>
  </si>
  <si>
    <t>Total conso (MWh)</t>
  </si>
  <si>
    <t>Total dépense (euros)</t>
  </si>
  <si>
    <t>Dépense Eau</t>
  </si>
  <si>
    <r>
      <t xml:space="preserve">Eau </t>
    </r>
    <r>
      <rPr>
        <sz val="11"/>
        <color theme="1"/>
        <rFont val="Calibri"/>
        <family val="2"/>
      </rPr>
      <t>€</t>
    </r>
    <r>
      <rPr>
        <sz val="9.35"/>
        <color theme="1"/>
        <rFont val="Calibri"/>
        <family val="2"/>
      </rPr>
      <t>/m3</t>
    </r>
  </si>
  <si>
    <t>Conso/res</t>
  </si>
  <si>
    <t>Fioul</t>
  </si>
  <si>
    <t>Conso elec/res</t>
  </si>
  <si>
    <t>Public</t>
  </si>
  <si>
    <t>PH</t>
  </si>
  <si>
    <t>PA</t>
  </si>
  <si>
    <t>Geothermie</t>
  </si>
  <si>
    <t>Chauf et ecs/res</t>
  </si>
  <si>
    <t>Oui</t>
  </si>
  <si>
    <t>Rafraichisseur</t>
  </si>
  <si>
    <t>gaz</t>
  </si>
  <si>
    <t>Conso/surf</t>
  </si>
  <si>
    <t>Dep Tot/res</t>
  </si>
  <si>
    <t>Pas de linge plat</t>
  </si>
  <si>
    <t xml:space="preserve">Dépense chauffage/ECS </t>
  </si>
  <si>
    <t>Conso chauff/surf</t>
  </si>
  <si>
    <t>ChauffECS Dep/res</t>
  </si>
  <si>
    <t>pas de cuisine</t>
  </si>
  <si>
    <t>Rechaud electrique</t>
  </si>
  <si>
    <t>Ballon electrique</t>
  </si>
  <si>
    <t>Electricité</t>
  </si>
  <si>
    <t>Torchons seulement</t>
  </si>
  <si>
    <t>Gaz</t>
  </si>
  <si>
    <t>Moyenne</t>
  </si>
  <si>
    <t>Une maison en chauffage elec</t>
  </si>
  <si>
    <t>Gaz de Ville</t>
  </si>
  <si>
    <t>Type de production</t>
  </si>
  <si>
    <t>Réseau de chaleur</t>
  </si>
  <si>
    <t>Année de construction</t>
  </si>
  <si>
    <t>Avant 1945</t>
  </si>
  <si>
    <t>entre 1945 et 1974</t>
  </si>
  <si>
    <t>entre 2000 et 2005</t>
  </si>
  <si>
    <t>entre 1975 et 2000</t>
  </si>
  <si>
    <t>entre 2005 et 2012</t>
  </si>
  <si>
    <t>entre 2012 et 2019</t>
  </si>
  <si>
    <t>Année 1</t>
  </si>
  <si>
    <t>Année 2</t>
  </si>
  <si>
    <t>Année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</si>
</sst>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2" borderId="6" xfId="0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2" borderId="8" xfId="0" applyFill="1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0" fontId="0" fillId="2" borderId="8" xfId="0" applyFill="1" applyBorder="1"/>
    <xf numFmtId="0" fontId="0" fillId="0" borderId="0" xfId="0" applyBorder="1" applyAlignment="1">
      <alignment horizontal="left" vertical="center"/>
    </xf>
    <xf numFmtId="0" fontId="0" fillId="0" borderId="4" xfId="0" applyBorder="1"/>
    <xf numFmtId="0" fontId="0" fillId="2" borderId="7" xfId="0" applyFill="1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1" xfId="0" applyNumberFormat="1" applyBorder="1" applyAlignment="1">
      <alignment horizontal="center" vertical="center" wrapText="1"/>
    </xf>
    <xf numFmtId="9" fontId="0" fillId="0" borderId="2" xfId="0" applyNumberForma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1" fontId="0" fillId="0" borderId="4" xfId="0" applyNumberFormat="1" applyBorder="1" applyAlignment="1">
      <alignment wrapText="1"/>
    </xf>
    <xf numFmtId="1" fontId="0" fillId="0" borderId="5" xfId="0" applyNumberFormat="1" applyBorder="1" applyAlignment="1">
      <alignment wrapText="1"/>
    </xf>
    <xf numFmtId="1" fontId="0" fillId="0" borderId="3" xfId="0" applyNumberFormat="1" applyBorder="1" applyAlignment="1">
      <alignment wrapText="1"/>
    </xf>
    <xf numFmtId="164" fontId="0" fillId="0" borderId="1" xfId="0" applyNumberForma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wrapText="1"/>
    </xf>
    <xf numFmtId="0" fontId="0" fillId="3" borderId="0" xfId="0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0" xfId="0" applyFill="1"/>
    <xf numFmtId="1" fontId="0" fillId="3" borderId="0" xfId="0" applyNumberFormat="1" applyFill="1" applyBorder="1" applyAlignment="1">
      <alignment horizontal="center" vertical="center" wrapText="1"/>
    </xf>
    <xf numFmtId="3" fontId="0" fillId="3" borderId="1" xfId="0" applyNumberFormat="1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164" fontId="0" fillId="3" borderId="2" xfId="0" applyNumberFormat="1" applyFill="1" applyBorder="1" applyAlignment="1">
      <alignment horizontal="center" vertical="center" wrapText="1"/>
    </xf>
    <xf numFmtId="9" fontId="0" fillId="3" borderId="2" xfId="0" applyNumberForma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1" fontId="0" fillId="3" borderId="2" xfId="0" applyNumberForma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 wrapText="1"/>
    </xf>
    <xf numFmtId="164" fontId="0" fillId="4" borderId="2" xfId="0" applyNumberFormat="1" applyFill="1" applyBorder="1" applyAlignment="1">
      <alignment horizontal="center" vertical="center" wrapText="1"/>
    </xf>
    <xf numFmtId="1" fontId="0" fillId="4" borderId="1" xfId="0" applyNumberForma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2" borderId="7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Type d'énergie de chauffage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'Stat ChauffECS'!$C$4:$C$9</c:f>
              <c:strCache>
                <c:ptCount val="6"/>
                <c:pt idx="0">
                  <c:v>Gaz de Ville</c:v>
                </c:pt>
                <c:pt idx="1">
                  <c:v>Fioul</c:v>
                </c:pt>
                <c:pt idx="2">
                  <c:v>Electricité</c:v>
                </c:pt>
                <c:pt idx="3">
                  <c:v>Bois/gaz</c:v>
                </c:pt>
                <c:pt idx="4">
                  <c:v>Geothermie</c:v>
                </c:pt>
                <c:pt idx="5">
                  <c:v>Réseau de chaleur</c:v>
                </c:pt>
              </c:strCache>
            </c:strRef>
          </c:cat>
          <c:val>
            <c:numRef>
              <c:f>'Stat ChauffECS'!$D$4:$D$9</c:f>
              <c:numCache>
                <c:formatCode>General</c:formatCode>
                <c:ptCount val="6"/>
                <c:pt idx="0">
                  <c:v>11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Année de construction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'Année de construction'!$C$4:$C$9</c:f>
              <c:strCache>
                <c:ptCount val="6"/>
                <c:pt idx="0">
                  <c:v>Avant 1945</c:v>
                </c:pt>
                <c:pt idx="1">
                  <c:v>entre 1945 et 1974</c:v>
                </c:pt>
                <c:pt idx="2">
                  <c:v>entre 1975 et 2000</c:v>
                </c:pt>
                <c:pt idx="3">
                  <c:v>entre 2000 et 2005</c:v>
                </c:pt>
                <c:pt idx="4">
                  <c:v>entre 2005 et 2012</c:v>
                </c:pt>
                <c:pt idx="5">
                  <c:v>entre 2012 et 2019</c:v>
                </c:pt>
              </c:strCache>
            </c:strRef>
          </c:cat>
          <c:val>
            <c:numRef>
              <c:f>'Année de construction'!$D$4:$D$9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11</c:v>
                </c:pt>
                <c:pt idx="3">
                  <c:v>8</c:v>
                </c:pt>
                <c:pt idx="4">
                  <c:v>4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304799</xdr:colOff>
      <xdr:row>1</xdr:row>
      <xdr:rowOff>28576</xdr:rowOff>
    </xdr:from>
    <xdr:to>
      <xdr:col>12</xdr:col>
      <xdr:colOff>561974</xdr:colOff>
      <xdr:row>16</xdr:row>
      <xdr:rowOff>128588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628649</xdr:colOff>
      <xdr:row>1</xdr:row>
      <xdr:rowOff>9525</xdr:rowOff>
    </xdr:from>
    <xdr:to>
      <xdr:col>13</xdr:col>
      <xdr:colOff>161925</xdr:colOff>
      <xdr:row>21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tabSelected="1" zoomScale="85" zoomScaleNormal="85" workbookViewId="0">
      <selection activeCell="H5" sqref="H5"/>
    </sheetView>
  </sheetViews>
  <sheetFormatPr baseColWidth="10" defaultRowHeight="15" x14ac:dyDescent="0.25"/>
  <cols>
    <col min="1" max="1" width="3" customWidth="1"/>
    <col min="2" max="2" width="8.42578125" customWidth="1"/>
    <col min="3" max="3" width="8" style="1" customWidth="1"/>
    <col min="4" max="4" width="7" style="1" customWidth="1"/>
    <col min="5" max="5" width="6.7109375" style="1" customWidth="1"/>
    <col min="6" max="6" width="15.42578125" style="1" customWidth="1"/>
    <col min="7" max="7" width="23.7109375" style="1" customWidth="1"/>
    <col min="8" max="8" width="10" style="1" customWidth="1"/>
    <col min="9" max="9" width="15.42578125" style="1" customWidth="1"/>
    <col min="10" max="10" width="21.28515625" style="1" customWidth="1"/>
    <col min="11" max="15" width="10.85546875" style="1" customWidth="1"/>
    <col min="16" max="19" width="11.140625" style="1" customWidth="1"/>
    <col min="20" max="20" width="12.140625" style="1" customWidth="1"/>
    <col min="21" max="22" width="10.28515625" style="1" customWidth="1"/>
    <col min="23" max="26" width="10.42578125" style="1" customWidth="1"/>
    <col min="27" max="28" width="11.7109375" style="1" customWidth="1"/>
    <col min="29" max="29" width="22.28515625" customWidth="1"/>
  </cols>
  <sheetData>
    <row r="1" spans="1:29" ht="15.75" thickBot="1" x14ac:dyDescent="0.3">
      <c r="C1" s="51" t="s">
        <v>0</v>
      </c>
      <c r="D1" s="52"/>
      <c r="E1" s="53"/>
    </row>
    <row r="2" spans="1:29" ht="30.75" customHeight="1" x14ac:dyDescent="0.25">
      <c r="B2" s="12" t="s">
        <v>29</v>
      </c>
      <c r="C2" s="15" t="s">
        <v>61</v>
      </c>
      <c r="D2" s="7" t="s">
        <v>62</v>
      </c>
      <c r="E2" s="5" t="s">
        <v>63</v>
      </c>
      <c r="F2" s="7" t="s">
        <v>1</v>
      </c>
      <c r="G2" s="7" t="s">
        <v>3</v>
      </c>
      <c r="H2" s="7" t="s">
        <v>2</v>
      </c>
      <c r="I2" s="7" t="s">
        <v>4</v>
      </c>
      <c r="J2" s="5" t="s">
        <v>5</v>
      </c>
      <c r="K2" s="15" t="s">
        <v>22</v>
      </c>
      <c r="L2" s="7" t="s">
        <v>38</v>
      </c>
      <c r="M2" s="7" t="s">
        <v>37</v>
      </c>
      <c r="N2" s="7" t="s">
        <v>26</v>
      </c>
      <c r="O2" s="7" t="s">
        <v>23</v>
      </c>
      <c r="P2" s="15" t="s">
        <v>42</v>
      </c>
      <c r="Q2" s="7" t="s">
        <v>40</v>
      </c>
      <c r="R2" s="7" t="s">
        <v>41</v>
      </c>
      <c r="S2" s="7" t="s">
        <v>33</v>
      </c>
      <c r="T2" s="5" t="s">
        <v>19</v>
      </c>
      <c r="U2" s="7" t="s">
        <v>28</v>
      </c>
      <c r="V2" s="5" t="s">
        <v>20</v>
      </c>
      <c r="W2" s="15" t="s">
        <v>25</v>
      </c>
      <c r="X2" s="7" t="s">
        <v>24</v>
      </c>
      <c r="Y2" s="7" t="s">
        <v>21</v>
      </c>
      <c r="Z2" s="5" t="s">
        <v>26</v>
      </c>
      <c r="AA2" s="7" t="s">
        <v>12</v>
      </c>
      <c r="AB2" s="5" t="s">
        <v>9</v>
      </c>
      <c r="AC2" s="6" t="s">
        <v>16</v>
      </c>
    </row>
    <row r="3" spans="1:29" ht="24" customHeight="1" x14ac:dyDescent="0.25">
      <c r="A3">
        <v>1</v>
      </c>
      <c r="B3" s="13" t="s">
        <v>31</v>
      </c>
      <c r="C3" s="18">
        <v>1975</v>
      </c>
      <c r="D3" s="2">
        <v>1991</v>
      </c>
      <c r="E3" s="4"/>
      <c r="F3" s="2">
        <v>4300</v>
      </c>
      <c r="G3" s="2" t="s">
        <v>6</v>
      </c>
      <c r="H3" s="2">
        <v>76</v>
      </c>
      <c r="I3" s="3">
        <v>50000</v>
      </c>
      <c r="J3" s="23">
        <v>0.3</v>
      </c>
      <c r="K3" s="22">
        <f>T3+V3</f>
        <v>617</v>
      </c>
      <c r="L3" s="10">
        <f>O3/H3</f>
        <v>750</v>
      </c>
      <c r="M3" s="26">
        <f>K3*1000/F3</f>
        <v>143.48837209302326</v>
      </c>
      <c r="N3" s="26">
        <f>K3/H3</f>
        <v>8.1184210526315788</v>
      </c>
      <c r="O3" s="11">
        <v>57000</v>
      </c>
      <c r="P3" s="24">
        <f>Q3/H3</f>
        <v>486.84210526315792</v>
      </c>
      <c r="Q3" s="10">
        <v>37000</v>
      </c>
      <c r="R3" s="26">
        <f>T3/F3*1000</f>
        <v>104.65116279069768</v>
      </c>
      <c r="S3" s="25">
        <f>T3/H3</f>
        <v>5.9210526315789478</v>
      </c>
      <c r="T3" s="4">
        <v>450</v>
      </c>
      <c r="U3" s="25">
        <f t="shared" ref="U3:U9" si="0">V3/H3</f>
        <v>2.1973684210526314</v>
      </c>
      <c r="V3" s="17">
        <v>167</v>
      </c>
      <c r="W3" s="30">
        <f>X3/Y3</f>
        <v>4.75</v>
      </c>
      <c r="X3" s="3">
        <v>19000</v>
      </c>
      <c r="Y3" s="2">
        <v>4000</v>
      </c>
      <c r="Z3" s="32">
        <f>Y3/H3</f>
        <v>52.631578947368418</v>
      </c>
      <c r="AA3" s="2" t="s">
        <v>13</v>
      </c>
      <c r="AB3" s="4" t="s">
        <v>6</v>
      </c>
    </row>
    <row r="4" spans="1:29" ht="24.75" customHeight="1" x14ac:dyDescent="0.25">
      <c r="A4">
        <v>2</v>
      </c>
      <c r="B4" s="13" t="s">
        <v>31</v>
      </c>
      <c r="C4" s="18">
        <v>2005</v>
      </c>
      <c r="D4" s="2"/>
      <c r="E4" s="4"/>
      <c r="F4" s="2">
        <v>4000</v>
      </c>
      <c r="G4" s="2" t="s">
        <v>7</v>
      </c>
      <c r="H4" s="2">
        <v>84</v>
      </c>
      <c r="I4" s="2">
        <v>90000</v>
      </c>
      <c r="J4" s="4" t="s">
        <v>39</v>
      </c>
      <c r="K4" s="22">
        <f>T4+V4</f>
        <v>896</v>
      </c>
      <c r="L4" s="26">
        <f>O4/H4</f>
        <v>807.14285714285711</v>
      </c>
      <c r="M4" s="26">
        <f>K4*1000/F4</f>
        <v>224</v>
      </c>
      <c r="N4" s="26">
        <f>K4/H4</f>
        <v>10.666666666666666</v>
      </c>
      <c r="O4" s="11">
        <v>67800</v>
      </c>
      <c r="P4" s="24">
        <f>Q4/H4</f>
        <v>452.38095238095241</v>
      </c>
      <c r="Q4" s="10">
        <v>38000</v>
      </c>
      <c r="R4" s="26">
        <f>T4/F4*1000</f>
        <v>155.75</v>
      </c>
      <c r="S4" s="25">
        <f>T4/H4</f>
        <v>7.416666666666667</v>
      </c>
      <c r="T4" s="4">
        <v>623</v>
      </c>
      <c r="U4" s="25">
        <f t="shared" si="0"/>
        <v>3.25</v>
      </c>
      <c r="V4" s="17">
        <v>273</v>
      </c>
      <c r="W4" s="30">
        <f>X4/Y4</f>
        <v>3.599867065470256</v>
      </c>
      <c r="X4" s="3">
        <v>10832</v>
      </c>
      <c r="Y4" s="3">
        <v>3009</v>
      </c>
      <c r="Z4" s="32">
        <f>Y4/H4</f>
        <v>35.821428571428569</v>
      </c>
      <c r="AA4" s="3" t="s">
        <v>14</v>
      </c>
      <c r="AB4" s="4" t="s">
        <v>10</v>
      </c>
      <c r="AC4" t="s">
        <v>17</v>
      </c>
    </row>
    <row r="5" spans="1:29" x14ac:dyDescent="0.25">
      <c r="A5">
        <v>3</v>
      </c>
      <c r="B5" s="13" t="s">
        <v>31</v>
      </c>
      <c r="C5" s="18">
        <v>2011</v>
      </c>
      <c r="D5" s="2"/>
      <c r="E5" s="4"/>
      <c r="F5" s="2">
        <v>5160</v>
      </c>
      <c r="G5" s="2" t="s">
        <v>8</v>
      </c>
      <c r="H5" s="2">
        <v>80</v>
      </c>
      <c r="I5" s="2">
        <v>62500</v>
      </c>
      <c r="J5" s="4" t="s">
        <v>39</v>
      </c>
      <c r="K5" s="22">
        <f>T5+V5</f>
        <v>670</v>
      </c>
      <c r="L5" s="10"/>
      <c r="M5" s="26">
        <f>K5*1000/F5</f>
        <v>129.84496124031008</v>
      </c>
      <c r="N5" s="26">
        <f>K5/H5</f>
        <v>8.375</v>
      </c>
      <c r="O5" s="10"/>
      <c r="P5" s="24">
        <f>Q5/H5</f>
        <v>400</v>
      </c>
      <c r="Q5" s="10">
        <v>32000</v>
      </c>
      <c r="R5" s="26">
        <f>T5/F5*1000</f>
        <v>67.829457364341081</v>
      </c>
      <c r="S5" s="25">
        <f>T5/H5</f>
        <v>4.375</v>
      </c>
      <c r="T5" s="4">
        <v>350</v>
      </c>
      <c r="U5" s="25">
        <f t="shared" si="0"/>
        <v>4</v>
      </c>
      <c r="V5" s="4">
        <v>320</v>
      </c>
      <c r="W5" s="30">
        <f>X5/Y5</f>
        <v>4.5027027027027025</v>
      </c>
      <c r="X5" s="2">
        <v>16660</v>
      </c>
      <c r="Y5" s="2">
        <v>3700</v>
      </c>
      <c r="Z5" s="32">
        <f>Y5/H5</f>
        <v>46.25</v>
      </c>
      <c r="AA5" s="2" t="s">
        <v>14</v>
      </c>
      <c r="AB5" s="4" t="s">
        <v>11</v>
      </c>
    </row>
    <row r="6" spans="1:29" x14ac:dyDescent="0.25">
      <c r="A6">
        <v>4</v>
      </c>
      <c r="B6" s="13" t="s">
        <v>31</v>
      </c>
      <c r="C6" s="16">
        <v>1995</v>
      </c>
      <c r="D6" s="3"/>
      <c r="E6" s="17"/>
      <c r="F6" s="2"/>
      <c r="G6" s="2" t="s">
        <v>6</v>
      </c>
      <c r="H6" s="2">
        <v>90</v>
      </c>
      <c r="I6" s="2">
        <v>80300</v>
      </c>
      <c r="J6" s="4" t="s">
        <v>39</v>
      </c>
      <c r="K6" s="22"/>
      <c r="L6" s="10"/>
      <c r="M6" s="26"/>
      <c r="N6" s="26"/>
      <c r="O6" s="10"/>
      <c r="P6" s="24"/>
      <c r="Q6" s="10"/>
      <c r="R6" s="26"/>
      <c r="S6" s="25"/>
      <c r="T6" s="4"/>
      <c r="U6" s="25">
        <f t="shared" si="0"/>
        <v>2.4444444444444446</v>
      </c>
      <c r="V6" s="4">
        <v>220</v>
      </c>
      <c r="W6" s="30"/>
      <c r="X6" s="2"/>
      <c r="Y6" s="2"/>
      <c r="Z6" s="32"/>
      <c r="AA6" s="2" t="s">
        <v>15</v>
      </c>
      <c r="AB6" s="4" t="s">
        <v>6</v>
      </c>
    </row>
    <row r="7" spans="1:29" x14ac:dyDescent="0.25">
      <c r="A7">
        <v>5</v>
      </c>
      <c r="B7" s="13" t="s">
        <v>31</v>
      </c>
      <c r="C7" s="18">
        <v>1978</v>
      </c>
      <c r="D7" s="2">
        <v>2012</v>
      </c>
      <c r="E7" s="4"/>
      <c r="F7" s="2">
        <v>2390</v>
      </c>
      <c r="G7" s="2" t="s">
        <v>11</v>
      </c>
      <c r="H7" s="2">
        <v>44</v>
      </c>
      <c r="I7" s="2">
        <v>32000</v>
      </c>
      <c r="J7" s="4" t="s">
        <v>39</v>
      </c>
      <c r="K7" s="22">
        <f>T7+V7</f>
        <v>405</v>
      </c>
      <c r="L7" s="10"/>
      <c r="M7" s="26">
        <f>K7*1000/F7</f>
        <v>169.45606694560669</v>
      </c>
      <c r="N7" s="26">
        <f>K7/H7</f>
        <v>9.204545454545455</v>
      </c>
      <c r="O7" s="10"/>
      <c r="P7" s="24"/>
      <c r="Q7" s="10"/>
      <c r="R7" s="26">
        <f>T7/F7*1000</f>
        <v>92.05020920502092</v>
      </c>
      <c r="S7" s="25">
        <f>T7/H7</f>
        <v>5</v>
      </c>
      <c r="T7" s="4">
        <v>220</v>
      </c>
      <c r="U7" s="25">
        <f t="shared" si="0"/>
        <v>4.2045454545454541</v>
      </c>
      <c r="V7" s="4">
        <v>185</v>
      </c>
      <c r="W7" s="30">
        <f>X7/Y7</f>
        <v>4.0085388994307403</v>
      </c>
      <c r="X7" s="2">
        <v>8450</v>
      </c>
      <c r="Y7" s="2">
        <v>2108</v>
      </c>
      <c r="Z7" s="32">
        <f t="shared" ref="Z7:Z21" si="1">Y7/H7</f>
        <v>47.909090909090907</v>
      </c>
      <c r="AA7" s="2" t="s">
        <v>18</v>
      </c>
      <c r="AB7" s="4" t="s">
        <v>11</v>
      </c>
    </row>
    <row r="8" spans="1:29" x14ac:dyDescent="0.25">
      <c r="A8">
        <v>6</v>
      </c>
      <c r="B8" s="13" t="s">
        <v>31</v>
      </c>
      <c r="C8" s="18">
        <v>1976</v>
      </c>
      <c r="D8" s="2">
        <v>2006</v>
      </c>
      <c r="E8" s="4"/>
      <c r="F8" s="2">
        <v>3961</v>
      </c>
      <c r="G8" s="2" t="s">
        <v>27</v>
      </c>
      <c r="H8" s="2">
        <v>50</v>
      </c>
      <c r="I8" s="2">
        <v>36500</v>
      </c>
      <c r="J8" s="4" t="s">
        <v>39</v>
      </c>
      <c r="K8" s="18">
        <v>683</v>
      </c>
      <c r="L8" s="26">
        <f t="shared" ref="L8:L21" si="2">O8/H8</f>
        <v>1517.6</v>
      </c>
      <c r="M8" s="26">
        <f>K8*1000/F8</f>
        <v>172.43120424135319</v>
      </c>
      <c r="N8" s="26">
        <f>K8/H8</f>
        <v>13.66</v>
      </c>
      <c r="O8" s="2">
        <v>75880</v>
      </c>
      <c r="P8" s="24">
        <f>Q8/H8</f>
        <v>1046</v>
      </c>
      <c r="Q8" s="2">
        <v>52300</v>
      </c>
      <c r="R8" s="26">
        <f>T8/F8*1000</f>
        <v>126.23074981065388</v>
      </c>
      <c r="S8" s="25">
        <f>T8/H8</f>
        <v>10</v>
      </c>
      <c r="T8" s="4">
        <v>500</v>
      </c>
      <c r="U8" s="25">
        <f t="shared" si="0"/>
        <v>3.66</v>
      </c>
      <c r="V8" s="4">
        <v>183</v>
      </c>
      <c r="W8" s="30"/>
      <c r="X8" s="2">
        <v>5203</v>
      </c>
      <c r="Y8" s="2">
        <v>2696</v>
      </c>
      <c r="Z8" s="32">
        <f t="shared" si="1"/>
        <v>53.92</v>
      </c>
      <c r="AA8" s="2"/>
      <c r="AB8" s="4"/>
    </row>
    <row r="9" spans="1:29" ht="30" x14ac:dyDescent="0.25">
      <c r="A9">
        <f t="shared" ref="A9:A29" si="3">A8+1</f>
        <v>7</v>
      </c>
      <c r="B9" s="13" t="s">
        <v>31</v>
      </c>
      <c r="C9" s="18">
        <v>1976</v>
      </c>
      <c r="D9" s="2"/>
      <c r="E9" s="4"/>
      <c r="F9" s="2"/>
      <c r="G9" s="2" t="s">
        <v>6</v>
      </c>
      <c r="H9" s="2">
        <v>56</v>
      </c>
      <c r="I9" s="2">
        <v>18850</v>
      </c>
      <c r="J9" s="4" t="s">
        <v>39</v>
      </c>
      <c r="K9" s="2">
        <v>700</v>
      </c>
      <c r="L9" s="26">
        <f t="shared" si="2"/>
        <v>733.03571428571433</v>
      </c>
      <c r="M9" s="26"/>
      <c r="N9" s="26">
        <f>K9/H9</f>
        <v>12.5</v>
      </c>
      <c r="O9" s="2">
        <v>41050</v>
      </c>
      <c r="P9" s="24">
        <f>Q9/H9</f>
        <v>442.85714285714283</v>
      </c>
      <c r="Q9" s="2">
        <v>24800</v>
      </c>
      <c r="R9" s="26"/>
      <c r="S9" s="25">
        <f>T9/H9</f>
        <v>10.178571428571429</v>
      </c>
      <c r="T9" s="4">
        <v>570</v>
      </c>
      <c r="U9" s="25">
        <f t="shared" si="0"/>
        <v>2.3214285714285716</v>
      </c>
      <c r="V9" s="4">
        <v>130</v>
      </c>
      <c r="W9" s="30">
        <f>X9/Y9</f>
        <v>3.5995438253502772</v>
      </c>
      <c r="X9" s="2">
        <v>11047</v>
      </c>
      <c r="Y9" s="2">
        <v>3069</v>
      </c>
      <c r="Z9" s="32">
        <f t="shared" si="1"/>
        <v>54.803571428571431</v>
      </c>
      <c r="AA9" s="2" t="s">
        <v>35</v>
      </c>
      <c r="AB9" s="4" t="s">
        <v>36</v>
      </c>
    </row>
    <row r="10" spans="1:29" s="38" customFormat="1" x14ac:dyDescent="0.25">
      <c r="A10">
        <f t="shared" si="3"/>
        <v>8</v>
      </c>
      <c r="B10" s="34" t="s">
        <v>30</v>
      </c>
      <c r="C10" s="35">
        <v>1996</v>
      </c>
      <c r="D10" s="36">
        <v>2011</v>
      </c>
      <c r="E10" s="37"/>
      <c r="F10" s="36">
        <v>1366</v>
      </c>
      <c r="G10" s="36" t="s">
        <v>32</v>
      </c>
      <c r="H10" s="36">
        <v>42</v>
      </c>
      <c r="I10" s="36"/>
      <c r="J10" s="37" t="s">
        <v>39</v>
      </c>
      <c r="K10" s="35">
        <v>385</v>
      </c>
      <c r="L10" s="39">
        <f t="shared" si="2"/>
        <v>1146.0952380952381</v>
      </c>
      <c r="M10" s="39">
        <f>K10*1000/F10</f>
        <v>281.84480234260616</v>
      </c>
      <c r="N10" s="39">
        <f>K10/H10</f>
        <v>9.1666666666666661</v>
      </c>
      <c r="O10" s="36">
        <v>48136</v>
      </c>
      <c r="P10" s="40"/>
      <c r="Q10" s="36"/>
      <c r="R10" s="39">
        <f>T10/F10*1000</f>
        <v>114.93411420204978</v>
      </c>
      <c r="S10" s="41">
        <f>T10/H10</f>
        <v>3.7380952380952381</v>
      </c>
      <c r="T10" s="37">
        <v>157</v>
      </c>
      <c r="U10" s="41"/>
      <c r="V10" s="37"/>
      <c r="W10" s="42">
        <f>X10/Y10</f>
        <v>3.1998101566207877</v>
      </c>
      <c r="X10" s="36">
        <v>6742</v>
      </c>
      <c r="Y10" s="36">
        <v>2107</v>
      </c>
      <c r="Z10" s="43">
        <f t="shared" si="1"/>
        <v>50.166666666666664</v>
      </c>
      <c r="AA10" s="36" t="s">
        <v>34</v>
      </c>
      <c r="AB10" s="37" t="s">
        <v>11</v>
      </c>
    </row>
    <row r="11" spans="1:29" x14ac:dyDescent="0.25">
      <c r="A11">
        <f t="shared" si="3"/>
        <v>9</v>
      </c>
      <c r="B11" s="13" t="s">
        <v>31</v>
      </c>
      <c r="C11" s="18">
        <v>1975</v>
      </c>
      <c r="D11" s="2">
        <v>1991</v>
      </c>
      <c r="E11" s="4">
        <v>2002</v>
      </c>
      <c r="F11" s="2">
        <v>4000</v>
      </c>
      <c r="G11" s="2" t="s">
        <v>46</v>
      </c>
      <c r="H11" s="2">
        <v>37</v>
      </c>
      <c r="I11" s="2"/>
      <c r="J11" s="4" t="s">
        <v>39</v>
      </c>
      <c r="K11" s="18">
        <v>611</v>
      </c>
      <c r="L11" s="26">
        <f t="shared" si="2"/>
        <v>1628.5945945945946</v>
      </c>
      <c r="M11" s="26">
        <f>K11*1000/F11</f>
        <v>152.75</v>
      </c>
      <c r="N11" s="26">
        <f>K11/H11</f>
        <v>16.513513513513512</v>
      </c>
      <c r="O11" s="2">
        <v>60258</v>
      </c>
      <c r="P11" s="24">
        <f>Q11/H11</f>
        <v>1116.3243243243244</v>
      </c>
      <c r="Q11" s="2">
        <v>41304</v>
      </c>
      <c r="R11" s="26">
        <f>T11/F11*1000</f>
        <v>88.5</v>
      </c>
      <c r="S11" s="25">
        <f>T11/H11</f>
        <v>9.5675675675675684</v>
      </c>
      <c r="T11" s="4">
        <v>354</v>
      </c>
      <c r="U11" s="25">
        <f>V11/H11</f>
        <v>4.2162162162162158</v>
      </c>
      <c r="V11" s="4">
        <v>156</v>
      </c>
      <c r="W11" s="31">
        <f>X11/Y11</f>
        <v>3.6994516792323511</v>
      </c>
      <c r="X11" s="2">
        <v>10795</v>
      </c>
      <c r="Y11" s="2">
        <v>2918</v>
      </c>
      <c r="Z11" s="32">
        <f t="shared" si="1"/>
        <v>78.86486486486487</v>
      </c>
      <c r="AA11" s="2" t="s">
        <v>14</v>
      </c>
      <c r="AB11" s="4" t="s">
        <v>11</v>
      </c>
    </row>
    <row r="12" spans="1:29" x14ac:dyDescent="0.25">
      <c r="A12">
        <f t="shared" si="3"/>
        <v>10</v>
      </c>
      <c r="B12" s="13" t="s">
        <v>31</v>
      </c>
      <c r="C12" s="18">
        <v>2006</v>
      </c>
      <c r="D12" s="2"/>
      <c r="E12" s="4"/>
      <c r="F12" s="2"/>
      <c r="G12" s="2" t="s">
        <v>6</v>
      </c>
      <c r="H12" s="2">
        <v>87</v>
      </c>
      <c r="I12" s="2">
        <v>146000</v>
      </c>
      <c r="J12" s="4" t="s">
        <v>39</v>
      </c>
      <c r="K12" s="18"/>
      <c r="L12" s="10">
        <f t="shared" si="2"/>
        <v>0</v>
      </c>
      <c r="M12" s="26"/>
      <c r="N12" s="26"/>
      <c r="O12" s="2"/>
      <c r="P12" s="24"/>
      <c r="Q12" s="2"/>
      <c r="R12" s="26"/>
      <c r="S12" s="25"/>
      <c r="T12" s="4"/>
      <c r="U12" s="25"/>
      <c r="V12" s="4"/>
      <c r="W12" s="31"/>
      <c r="X12" s="2"/>
      <c r="Y12" s="2"/>
      <c r="Z12" s="32">
        <f t="shared" si="1"/>
        <v>0</v>
      </c>
      <c r="AA12" s="2"/>
      <c r="AB12" s="4"/>
    </row>
    <row r="13" spans="1:29" x14ac:dyDescent="0.25">
      <c r="A13">
        <f t="shared" si="3"/>
        <v>11</v>
      </c>
      <c r="B13" s="13" t="s">
        <v>31</v>
      </c>
      <c r="C13" s="18">
        <v>2008</v>
      </c>
      <c r="D13" s="2"/>
      <c r="E13" s="4"/>
      <c r="F13" s="2">
        <v>2646</v>
      </c>
      <c r="G13" s="2" t="s">
        <v>8</v>
      </c>
      <c r="H13" s="2">
        <v>38</v>
      </c>
      <c r="I13" s="2">
        <v>36500</v>
      </c>
      <c r="J13" s="4" t="s">
        <v>39</v>
      </c>
      <c r="K13" s="18">
        <f>428+143</f>
        <v>571</v>
      </c>
      <c r="L13" s="26">
        <f t="shared" si="2"/>
        <v>1141.3947368421052</v>
      </c>
      <c r="M13" s="26">
        <f>K13*1000/F13</f>
        <v>215.79743008314438</v>
      </c>
      <c r="N13" s="26">
        <f t="shared" ref="N13:N21" si="4">K13/H13</f>
        <v>15.026315789473685</v>
      </c>
      <c r="O13" s="2">
        <v>43373</v>
      </c>
      <c r="P13" s="24">
        <f t="shared" ref="P13:P18" si="5">Q13/H13</f>
        <v>672.5</v>
      </c>
      <c r="Q13" s="2">
        <v>25555</v>
      </c>
      <c r="R13" s="26">
        <f>T13/F13*1000</f>
        <v>161.75359032501891</v>
      </c>
      <c r="S13" s="25">
        <f t="shared" ref="S13:S18" si="6">T13/H13</f>
        <v>11.263157894736842</v>
      </c>
      <c r="T13" s="4">
        <v>428</v>
      </c>
      <c r="U13" s="25">
        <f t="shared" ref="U13:U18" si="7">V13/H13</f>
        <v>3.763157894736842</v>
      </c>
      <c r="V13" s="4">
        <v>143</v>
      </c>
      <c r="W13" s="31">
        <v>4.6900000000000004</v>
      </c>
      <c r="X13" s="26">
        <f>Y13*W13</f>
        <v>14646.87</v>
      </c>
      <c r="Y13" s="2">
        <v>3123</v>
      </c>
      <c r="Z13" s="32">
        <f t="shared" si="1"/>
        <v>82.184210526315795</v>
      </c>
      <c r="AA13" s="2" t="s">
        <v>14</v>
      </c>
      <c r="AB13" s="4" t="s">
        <v>11</v>
      </c>
    </row>
    <row r="14" spans="1:29" s="38" customFormat="1" x14ac:dyDescent="0.25">
      <c r="A14">
        <f t="shared" si="3"/>
        <v>12</v>
      </c>
      <c r="B14" s="34" t="s">
        <v>30</v>
      </c>
      <c r="C14" s="35">
        <v>1996</v>
      </c>
      <c r="D14" s="36"/>
      <c r="E14" s="37"/>
      <c r="F14" s="36">
        <v>450</v>
      </c>
      <c r="G14" s="36" t="s">
        <v>6</v>
      </c>
      <c r="H14" s="36">
        <v>8</v>
      </c>
      <c r="I14" s="36">
        <v>7000</v>
      </c>
      <c r="J14" s="44">
        <v>1</v>
      </c>
      <c r="K14" s="35">
        <v>85</v>
      </c>
      <c r="L14" s="36">
        <f t="shared" si="2"/>
        <v>824</v>
      </c>
      <c r="M14" s="39">
        <f>K14*1000/F14</f>
        <v>188.88888888888889</v>
      </c>
      <c r="N14" s="39">
        <f t="shared" si="4"/>
        <v>10.625</v>
      </c>
      <c r="O14" s="36">
        <v>6592</v>
      </c>
      <c r="P14" s="40">
        <f t="shared" si="5"/>
        <v>497.25</v>
      </c>
      <c r="Q14" s="36">
        <v>3978</v>
      </c>
      <c r="R14" s="39">
        <f>T14/F14*1000</f>
        <v>157.77777777777777</v>
      </c>
      <c r="S14" s="41">
        <f t="shared" si="6"/>
        <v>8.875</v>
      </c>
      <c r="T14" s="37">
        <v>71</v>
      </c>
      <c r="U14" s="41">
        <f t="shared" si="7"/>
        <v>1.75</v>
      </c>
      <c r="V14" s="37">
        <v>14</v>
      </c>
      <c r="W14" s="42">
        <v>4.17</v>
      </c>
      <c r="X14" s="36">
        <v>1532</v>
      </c>
      <c r="Y14" s="36">
        <v>367</v>
      </c>
      <c r="Z14" s="43">
        <f t="shared" si="1"/>
        <v>45.875</v>
      </c>
      <c r="AA14" s="36" t="s">
        <v>13</v>
      </c>
      <c r="AB14" s="37" t="s">
        <v>11</v>
      </c>
    </row>
    <row r="15" spans="1:29" s="38" customFormat="1" x14ac:dyDescent="0.25">
      <c r="A15">
        <f t="shared" si="3"/>
        <v>13</v>
      </c>
      <c r="B15" s="34" t="s">
        <v>30</v>
      </c>
      <c r="C15" s="35">
        <v>2004</v>
      </c>
      <c r="D15" s="36"/>
      <c r="E15" s="37"/>
      <c r="F15" s="36">
        <v>550</v>
      </c>
      <c r="G15" s="36" t="s">
        <v>6</v>
      </c>
      <c r="H15" s="36">
        <v>9</v>
      </c>
      <c r="I15" s="36">
        <v>7800</v>
      </c>
      <c r="J15" s="44">
        <v>1</v>
      </c>
      <c r="K15" s="35">
        <v>129</v>
      </c>
      <c r="L15" s="39">
        <f t="shared" si="2"/>
        <v>1082.4444444444443</v>
      </c>
      <c r="M15" s="39">
        <f>K15*1000/F15</f>
        <v>234.54545454545453</v>
      </c>
      <c r="N15" s="39">
        <f t="shared" si="4"/>
        <v>14.333333333333334</v>
      </c>
      <c r="O15" s="36">
        <v>9742</v>
      </c>
      <c r="P15" s="40">
        <f t="shared" si="5"/>
        <v>668.88888888888891</v>
      </c>
      <c r="Q15" s="36">
        <v>6020</v>
      </c>
      <c r="R15" s="39">
        <f>T15/F15*1000</f>
        <v>194.54545454545456</v>
      </c>
      <c r="S15" s="41">
        <f t="shared" si="6"/>
        <v>11.888888888888889</v>
      </c>
      <c r="T15" s="37">
        <v>107</v>
      </c>
      <c r="U15" s="41">
        <f t="shared" si="7"/>
        <v>2.4444444444444446</v>
      </c>
      <c r="V15" s="37">
        <v>22</v>
      </c>
      <c r="W15" s="42">
        <v>3.3</v>
      </c>
      <c r="X15" s="36">
        <v>1557</v>
      </c>
      <c r="Y15" s="36">
        <v>472</v>
      </c>
      <c r="Z15" s="43">
        <f t="shared" si="1"/>
        <v>52.444444444444443</v>
      </c>
      <c r="AA15" s="36" t="s">
        <v>14</v>
      </c>
      <c r="AB15" s="37" t="s">
        <v>11</v>
      </c>
    </row>
    <row r="16" spans="1:29" x14ac:dyDescent="0.25">
      <c r="A16">
        <f t="shared" si="3"/>
        <v>14</v>
      </c>
      <c r="B16" s="13" t="s">
        <v>31</v>
      </c>
      <c r="C16" s="18">
        <v>1995</v>
      </c>
      <c r="D16" s="2"/>
      <c r="E16" s="4"/>
      <c r="F16" s="2"/>
      <c r="G16" s="2" t="s">
        <v>6</v>
      </c>
      <c r="H16" s="2">
        <v>80</v>
      </c>
      <c r="I16" s="2">
        <v>87600</v>
      </c>
      <c r="J16" s="4" t="s">
        <v>39</v>
      </c>
      <c r="K16" s="18">
        <v>821</v>
      </c>
      <c r="L16" s="26">
        <f t="shared" si="2"/>
        <v>759.47500000000002</v>
      </c>
      <c r="M16" s="26"/>
      <c r="N16" s="26">
        <f t="shared" si="4"/>
        <v>10.262499999999999</v>
      </c>
      <c r="O16" s="2">
        <v>60758</v>
      </c>
      <c r="P16" s="24">
        <f t="shared" si="5"/>
        <v>296.60000000000002</v>
      </c>
      <c r="Q16" s="2">
        <v>23728</v>
      </c>
      <c r="R16" s="26"/>
      <c r="S16" s="25">
        <f t="shared" si="6"/>
        <v>6.7374999999999998</v>
      </c>
      <c r="T16" s="4">
        <v>539</v>
      </c>
      <c r="U16" s="25">
        <f t="shared" si="7"/>
        <v>3.5375000000000001</v>
      </c>
      <c r="V16" s="4">
        <v>283</v>
      </c>
      <c r="W16" s="18">
        <v>3.3</v>
      </c>
      <c r="X16" s="26">
        <f>Y16*W16</f>
        <v>12579.599999999999</v>
      </c>
      <c r="Y16" s="2">
        <v>3812</v>
      </c>
      <c r="Z16" s="32">
        <f t="shared" si="1"/>
        <v>47.65</v>
      </c>
      <c r="AA16" s="2" t="s">
        <v>14</v>
      </c>
      <c r="AB16" s="4" t="s">
        <v>11</v>
      </c>
    </row>
    <row r="17" spans="1:29" ht="17.25" customHeight="1" x14ac:dyDescent="0.25">
      <c r="A17">
        <f t="shared" si="3"/>
        <v>15</v>
      </c>
      <c r="B17" s="13" t="s">
        <v>31</v>
      </c>
      <c r="C17" s="18">
        <v>1996</v>
      </c>
      <c r="D17" s="2">
        <v>2001</v>
      </c>
      <c r="E17" s="4">
        <v>2014</v>
      </c>
      <c r="F17" s="2">
        <v>1186</v>
      </c>
      <c r="G17" s="2" t="s">
        <v>6</v>
      </c>
      <c r="H17" s="2">
        <v>18</v>
      </c>
      <c r="I17" s="2" t="s">
        <v>43</v>
      </c>
      <c r="J17" s="23">
        <v>0.5</v>
      </c>
      <c r="K17" s="18">
        <v>207</v>
      </c>
      <c r="L17" s="26">
        <f t="shared" si="2"/>
        <v>742.5</v>
      </c>
      <c r="M17" s="26">
        <f>K17*1000/F17</f>
        <v>174.53625632377739</v>
      </c>
      <c r="N17" s="26">
        <f t="shared" si="4"/>
        <v>11.5</v>
      </c>
      <c r="O17" s="2">
        <v>13365</v>
      </c>
      <c r="P17" s="24">
        <f t="shared" si="5"/>
        <v>354.88888888888891</v>
      </c>
      <c r="Q17" s="2">
        <v>6388</v>
      </c>
      <c r="R17" s="26">
        <f>T17/F17*1000</f>
        <v>134.06408094435076</v>
      </c>
      <c r="S17" s="25">
        <f t="shared" si="6"/>
        <v>8.8333333333333339</v>
      </c>
      <c r="T17" s="4">
        <v>159</v>
      </c>
      <c r="U17" s="25">
        <f t="shared" si="7"/>
        <v>2.6666666666666665</v>
      </c>
      <c r="V17" s="4">
        <v>48</v>
      </c>
      <c r="W17" s="18">
        <v>3.3</v>
      </c>
      <c r="X17" s="2">
        <v>2647</v>
      </c>
      <c r="Y17" s="2">
        <v>802</v>
      </c>
      <c r="Z17" s="32">
        <f t="shared" si="1"/>
        <v>44.555555555555557</v>
      </c>
      <c r="AA17" s="2" t="s">
        <v>18</v>
      </c>
      <c r="AB17" s="4" t="s">
        <v>44</v>
      </c>
      <c r="AC17" t="s">
        <v>45</v>
      </c>
    </row>
    <row r="18" spans="1:29" s="38" customFormat="1" ht="15" customHeight="1" x14ac:dyDescent="0.25">
      <c r="A18">
        <f t="shared" si="3"/>
        <v>16</v>
      </c>
      <c r="B18" s="34" t="s">
        <v>30</v>
      </c>
      <c r="C18" s="35">
        <v>2001</v>
      </c>
      <c r="D18" s="36"/>
      <c r="E18" s="37"/>
      <c r="F18" s="36">
        <v>2350</v>
      </c>
      <c r="G18" s="36" t="s">
        <v>6</v>
      </c>
      <c r="H18" s="36">
        <v>49</v>
      </c>
      <c r="I18" s="36" t="s">
        <v>43</v>
      </c>
      <c r="J18" s="37" t="s">
        <v>39</v>
      </c>
      <c r="K18" s="35">
        <v>482</v>
      </c>
      <c r="L18" s="39">
        <f t="shared" si="2"/>
        <v>742.26530612244903</v>
      </c>
      <c r="M18" s="39">
        <f>K18*1000/F18</f>
        <v>205.10638297872342</v>
      </c>
      <c r="N18" s="39">
        <f t="shared" si="4"/>
        <v>9.8367346938775508</v>
      </c>
      <c r="O18" s="36">
        <v>36371</v>
      </c>
      <c r="P18" s="45">
        <f t="shared" si="5"/>
        <v>426.9795918367347</v>
      </c>
      <c r="Q18" s="39">
        <v>20922</v>
      </c>
      <c r="R18" s="39">
        <f>T18/F18*1000</f>
        <v>156.17021276595744</v>
      </c>
      <c r="S18" s="39">
        <f t="shared" si="6"/>
        <v>7.4897959183673466</v>
      </c>
      <c r="T18" s="46">
        <v>367</v>
      </c>
      <c r="U18" s="41">
        <f t="shared" si="7"/>
        <v>2.3265306122448979</v>
      </c>
      <c r="V18" s="37">
        <v>114</v>
      </c>
      <c r="W18" s="35">
        <v>3.41</v>
      </c>
      <c r="X18" s="36">
        <v>8263</v>
      </c>
      <c r="Y18" s="36">
        <v>2415</v>
      </c>
      <c r="Z18" s="43">
        <f t="shared" si="1"/>
        <v>49.285714285714285</v>
      </c>
      <c r="AA18" s="36" t="s">
        <v>18</v>
      </c>
      <c r="AB18" s="37" t="s">
        <v>44</v>
      </c>
    </row>
    <row r="19" spans="1:29" x14ac:dyDescent="0.25">
      <c r="A19">
        <f t="shared" si="3"/>
        <v>17</v>
      </c>
      <c r="B19" s="13" t="s">
        <v>31</v>
      </c>
      <c r="C19" s="18">
        <v>1990</v>
      </c>
      <c r="D19" s="2"/>
      <c r="E19" s="4"/>
      <c r="F19" s="2">
        <v>3806</v>
      </c>
      <c r="G19" s="2" t="s">
        <v>46</v>
      </c>
      <c r="H19" s="2">
        <v>60</v>
      </c>
      <c r="I19" s="2">
        <v>65700</v>
      </c>
      <c r="J19" s="4" t="s">
        <v>47</v>
      </c>
      <c r="K19" s="18">
        <v>576</v>
      </c>
      <c r="L19" s="47">
        <f t="shared" si="2"/>
        <v>1083.9666666666667</v>
      </c>
      <c r="M19" s="26">
        <f>K19*1000/F19</f>
        <v>151.3399894902785</v>
      </c>
      <c r="N19" s="2">
        <f t="shared" si="4"/>
        <v>9.6</v>
      </c>
      <c r="O19" s="2">
        <v>65038</v>
      </c>
      <c r="P19" s="49"/>
      <c r="Q19" s="47"/>
      <c r="R19" s="47"/>
      <c r="S19" s="47"/>
      <c r="T19" s="4"/>
      <c r="U19" s="2"/>
      <c r="V19" s="4"/>
      <c r="W19" s="18">
        <v>3.25</v>
      </c>
      <c r="X19" s="2">
        <v>9661</v>
      </c>
      <c r="Y19" s="2">
        <v>2833</v>
      </c>
      <c r="Z19" s="48">
        <f t="shared" si="1"/>
        <v>47.216666666666669</v>
      </c>
      <c r="AA19" s="2" t="s">
        <v>18</v>
      </c>
      <c r="AB19" s="4" t="s">
        <v>11</v>
      </c>
    </row>
    <row r="20" spans="1:29" x14ac:dyDescent="0.25">
      <c r="A20">
        <f t="shared" si="3"/>
        <v>18</v>
      </c>
      <c r="B20" s="13" t="s">
        <v>31</v>
      </c>
      <c r="C20" s="18">
        <v>1978</v>
      </c>
      <c r="D20" s="2"/>
      <c r="E20" s="4"/>
      <c r="F20" s="2"/>
      <c r="G20" s="2" t="s">
        <v>6</v>
      </c>
      <c r="H20" s="2">
        <v>56</v>
      </c>
      <c r="I20" s="2">
        <v>38000</v>
      </c>
      <c r="J20" s="23">
        <v>1</v>
      </c>
      <c r="K20" s="18">
        <v>800</v>
      </c>
      <c r="L20" s="47">
        <f t="shared" si="2"/>
        <v>914.28571428571433</v>
      </c>
      <c r="M20" s="26"/>
      <c r="N20" s="26">
        <f t="shared" si="4"/>
        <v>14.285714285714286</v>
      </c>
      <c r="O20" s="2">
        <v>51200</v>
      </c>
      <c r="P20" s="49">
        <f>Q20/H20</f>
        <v>473.21428571428572</v>
      </c>
      <c r="Q20" s="47">
        <v>26500</v>
      </c>
      <c r="R20" s="47"/>
      <c r="S20" s="47">
        <f>T20/H20</f>
        <v>11</v>
      </c>
      <c r="T20" s="4">
        <v>616</v>
      </c>
      <c r="U20" s="25">
        <f>V20/H20</f>
        <v>3.2678571428571428</v>
      </c>
      <c r="V20" s="4">
        <v>183</v>
      </c>
      <c r="W20" s="18">
        <v>3.47</v>
      </c>
      <c r="X20" s="2">
        <v>8966</v>
      </c>
      <c r="Y20" s="2">
        <v>2584</v>
      </c>
      <c r="Z20" s="48">
        <f t="shared" si="1"/>
        <v>46.142857142857146</v>
      </c>
      <c r="AA20" s="2" t="s">
        <v>18</v>
      </c>
      <c r="AB20" s="4" t="s">
        <v>48</v>
      </c>
    </row>
    <row r="21" spans="1:29" x14ac:dyDescent="0.25">
      <c r="A21">
        <f t="shared" si="3"/>
        <v>19</v>
      </c>
      <c r="B21" s="13" t="s">
        <v>31</v>
      </c>
      <c r="C21" s="18">
        <v>1940</v>
      </c>
      <c r="D21" s="2">
        <v>1981</v>
      </c>
      <c r="E21" s="4">
        <v>2005</v>
      </c>
      <c r="F21" s="2"/>
      <c r="G21" s="2" t="s">
        <v>6</v>
      </c>
      <c r="H21" s="2">
        <v>120</v>
      </c>
      <c r="I21" s="2">
        <v>90155</v>
      </c>
      <c r="J21" s="4" t="s">
        <v>39</v>
      </c>
      <c r="K21" s="18">
        <v>1877</v>
      </c>
      <c r="L21" s="47">
        <f t="shared" si="2"/>
        <v>1264.1666666666667</v>
      </c>
      <c r="M21" s="2"/>
      <c r="N21" s="25">
        <f t="shared" si="4"/>
        <v>15.641666666666667</v>
      </c>
      <c r="O21" s="2">
        <v>151700</v>
      </c>
      <c r="P21" s="49">
        <f>Q21/H21</f>
        <v>786.10833333333335</v>
      </c>
      <c r="Q21" s="47">
        <v>94333</v>
      </c>
      <c r="R21" s="47"/>
      <c r="S21" s="47">
        <f>T21/H21</f>
        <v>11.824999999999999</v>
      </c>
      <c r="T21" s="4">
        <v>1419</v>
      </c>
      <c r="U21" s="25">
        <f>V21/H21</f>
        <v>3.8250000000000002</v>
      </c>
      <c r="V21" s="4">
        <v>459</v>
      </c>
      <c r="W21" s="50">
        <f>X21/Y21</f>
        <v>3.8002309468822171</v>
      </c>
      <c r="X21" s="2">
        <v>26328</v>
      </c>
      <c r="Y21" s="2">
        <v>6928</v>
      </c>
      <c r="Z21" s="48">
        <f t="shared" si="1"/>
        <v>57.733333333333334</v>
      </c>
      <c r="AA21" s="2" t="s">
        <v>49</v>
      </c>
      <c r="AB21" s="4" t="s">
        <v>48</v>
      </c>
      <c r="AC21" t="s">
        <v>50</v>
      </c>
    </row>
    <row r="22" spans="1:29" x14ac:dyDescent="0.25">
      <c r="A22">
        <f t="shared" si="3"/>
        <v>20</v>
      </c>
      <c r="B22" s="13"/>
      <c r="C22" s="18"/>
      <c r="D22" s="2"/>
      <c r="E22" s="4"/>
      <c r="F22" s="2"/>
      <c r="G22" s="2"/>
      <c r="H22" s="2"/>
      <c r="I22" s="2"/>
      <c r="J22" s="4"/>
      <c r="K22" s="18"/>
      <c r="L22" s="2"/>
      <c r="M22" s="2"/>
      <c r="N22" s="2"/>
      <c r="O22" s="2"/>
      <c r="P22" s="18"/>
      <c r="Q22" s="2"/>
      <c r="R22" s="2"/>
      <c r="S22" s="2"/>
      <c r="T22" s="4"/>
      <c r="U22" s="2"/>
      <c r="V22" s="4"/>
      <c r="W22" s="18"/>
      <c r="X22" s="2"/>
      <c r="Y22" s="2"/>
      <c r="Z22" s="4"/>
      <c r="AA22" s="2"/>
      <c r="AB22" s="4"/>
    </row>
    <row r="23" spans="1:29" x14ac:dyDescent="0.25">
      <c r="A23">
        <f t="shared" si="3"/>
        <v>21</v>
      </c>
      <c r="B23" s="13"/>
      <c r="C23" s="18"/>
      <c r="D23" s="2"/>
      <c r="E23" s="4"/>
      <c r="F23" s="2"/>
      <c r="G23" s="2"/>
      <c r="H23" s="2"/>
      <c r="I23" s="2"/>
      <c r="J23" s="4"/>
      <c r="K23" s="18"/>
      <c r="L23" s="2"/>
      <c r="M23" s="2"/>
      <c r="N23" s="2"/>
      <c r="O23" s="2"/>
      <c r="P23" s="18"/>
      <c r="Q23" s="2"/>
      <c r="R23" s="2"/>
      <c r="S23" s="2"/>
      <c r="T23" s="4"/>
      <c r="U23" s="2"/>
      <c r="V23" s="4"/>
      <c r="W23" s="18"/>
      <c r="X23" s="2"/>
      <c r="Y23" s="2"/>
      <c r="Z23" s="4"/>
      <c r="AA23" s="2"/>
      <c r="AB23" s="4"/>
    </row>
    <row r="24" spans="1:29" x14ac:dyDescent="0.25">
      <c r="A24">
        <f t="shared" si="3"/>
        <v>22</v>
      </c>
      <c r="B24" s="13"/>
      <c r="C24" s="18"/>
      <c r="D24" s="2"/>
      <c r="E24" s="4"/>
      <c r="F24" s="2"/>
      <c r="G24" s="2"/>
      <c r="H24" s="2"/>
      <c r="I24" s="2"/>
      <c r="J24" s="4"/>
      <c r="K24" s="18"/>
      <c r="L24" s="2"/>
      <c r="M24" s="2"/>
      <c r="N24" s="2"/>
      <c r="O24" s="2"/>
      <c r="P24" s="18"/>
      <c r="Q24" s="2"/>
      <c r="R24" s="2"/>
      <c r="S24" s="2"/>
      <c r="T24" s="4"/>
      <c r="U24" s="2"/>
      <c r="V24" s="4"/>
      <c r="W24" s="18"/>
      <c r="X24" s="2"/>
      <c r="Y24" s="2"/>
      <c r="Z24" s="4"/>
      <c r="AA24" s="2"/>
      <c r="AB24" s="4"/>
    </row>
    <row r="25" spans="1:29" x14ac:dyDescent="0.25">
      <c r="A25">
        <f t="shared" si="3"/>
        <v>23</v>
      </c>
      <c r="B25" s="13"/>
      <c r="C25" s="18"/>
      <c r="D25" s="2"/>
      <c r="E25" s="4"/>
      <c r="F25" s="2"/>
      <c r="G25" s="2"/>
      <c r="H25" s="2"/>
      <c r="I25" s="2"/>
      <c r="J25" s="4"/>
      <c r="K25" s="18"/>
      <c r="L25" s="2"/>
      <c r="M25" s="2"/>
      <c r="N25" s="2"/>
      <c r="O25" s="2"/>
      <c r="P25" s="18"/>
      <c r="Q25" s="2"/>
      <c r="R25" s="2"/>
      <c r="S25" s="2"/>
      <c r="T25" s="4"/>
      <c r="U25" s="2"/>
      <c r="V25" s="4"/>
      <c r="W25" s="18"/>
      <c r="X25" s="2"/>
      <c r="Y25" s="2"/>
      <c r="Z25" s="4"/>
      <c r="AA25" s="2"/>
      <c r="AB25" s="4"/>
    </row>
    <row r="26" spans="1:29" x14ac:dyDescent="0.25">
      <c r="A26">
        <f t="shared" si="3"/>
        <v>24</v>
      </c>
      <c r="B26" s="13"/>
      <c r="C26" s="18"/>
      <c r="D26" s="2"/>
      <c r="E26" s="4"/>
      <c r="F26" s="2"/>
      <c r="G26" s="2"/>
      <c r="H26" s="2"/>
      <c r="I26" s="2"/>
      <c r="J26" s="4"/>
      <c r="K26" s="18"/>
      <c r="L26" s="2"/>
      <c r="M26" s="2"/>
      <c r="N26" s="2"/>
      <c r="O26" s="2"/>
      <c r="P26" s="18"/>
      <c r="Q26" s="2"/>
      <c r="R26" s="2"/>
      <c r="S26" s="2"/>
      <c r="T26" s="4"/>
      <c r="U26" s="2"/>
      <c r="V26" s="4"/>
      <c r="W26" s="18"/>
      <c r="X26" s="2"/>
      <c r="Y26" s="2"/>
      <c r="Z26" s="4"/>
      <c r="AA26" s="2"/>
      <c r="AB26" s="4"/>
    </row>
    <row r="27" spans="1:29" x14ac:dyDescent="0.25">
      <c r="A27">
        <f t="shared" si="3"/>
        <v>25</v>
      </c>
      <c r="B27" s="13"/>
      <c r="C27" s="18"/>
      <c r="D27" s="2"/>
      <c r="E27" s="4"/>
      <c r="F27" s="2"/>
      <c r="G27" s="2"/>
      <c r="H27" s="2"/>
      <c r="I27" s="2"/>
      <c r="J27" s="4"/>
      <c r="K27" s="18"/>
      <c r="L27" s="2"/>
      <c r="M27" s="2"/>
      <c r="N27" s="2"/>
      <c r="O27" s="2"/>
      <c r="P27" s="18"/>
      <c r="Q27" s="2"/>
      <c r="R27" s="2"/>
      <c r="S27" s="2"/>
      <c r="T27" s="4"/>
      <c r="U27" s="2"/>
      <c r="V27" s="4"/>
      <c r="W27" s="18"/>
      <c r="X27" s="2"/>
      <c r="Y27" s="2"/>
      <c r="Z27" s="4"/>
      <c r="AA27" s="2"/>
      <c r="AB27" s="4"/>
    </row>
    <row r="28" spans="1:29" x14ac:dyDescent="0.25">
      <c r="A28">
        <f t="shared" si="3"/>
        <v>26</v>
      </c>
      <c r="B28" s="13"/>
      <c r="C28" s="18"/>
      <c r="D28" s="2"/>
      <c r="E28" s="4"/>
      <c r="F28" s="2"/>
      <c r="G28" s="2"/>
      <c r="H28" s="2"/>
      <c r="I28" s="2"/>
      <c r="J28" s="4"/>
      <c r="K28" s="18"/>
      <c r="L28" s="2"/>
      <c r="M28" s="2"/>
      <c r="N28" s="2"/>
      <c r="O28" s="2"/>
      <c r="P28" s="18"/>
      <c r="Q28" s="2"/>
      <c r="R28" s="2"/>
      <c r="S28" s="2"/>
      <c r="T28" s="4"/>
      <c r="U28" s="2"/>
      <c r="V28" s="4"/>
      <c r="W28" s="18"/>
      <c r="X28" s="2"/>
      <c r="Y28" s="2"/>
      <c r="Z28" s="4"/>
      <c r="AA28" s="2"/>
      <c r="AB28" s="4"/>
    </row>
    <row r="29" spans="1:29" ht="15.75" thickBot="1" x14ac:dyDescent="0.3">
      <c r="A29">
        <f t="shared" si="3"/>
        <v>27</v>
      </c>
      <c r="B29" s="14"/>
      <c r="C29" s="19"/>
      <c r="D29" s="8"/>
      <c r="E29" s="9"/>
      <c r="F29" s="8"/>
      <c r="G29" s="8"/>
      <c r="H29" s="8"/>
      <c r="I29" s="8"/>
      <c r="J29" s="9"/>
      <c r="K29" s="19"/>
      <c r="L29" s="8"/>
      <c r="M29" s="8"/>
      <c r="N29" s="8"/>
      <c r="O29" s="8"/>
      <c r="P29" s="19"/>
      <c r="Q29" s="8"/>
      <c r="R29" s="8"/>
      <c r="S29" s="8"/>
      <c r="T29" s="9"/>
      <c r="U29" s="8"/>
      <c r="V29" s="9"/>
      <c r="W29" s="19"/>
      <c r="X29" s="8"/>
      <c r="Y29" s="8"/>
      <c r="Z29" s="9"/>
      <c r="AA29" s="8"/>
      <c r="AB29" s="9"/>
    </row>
    <row r="30" spans="1:29" ht="15.75" thickBot="1" x14ac:dyDescent="0.3">
      <c r="C30" s="20"/>
      <c r="D30" s="21"/>
      <c r="E30" s="21"/>
      <c r="F30" s="27">
        <f t="shared" ref="F30" si="8">AVERAGE(F3:F29)</f>
        <v>2781.9230769230771</v>
      </c>
      <c r="G30" s="21"/>
      <c r="H30" s="27">
        <f>AVERAGE(H3:H29)</f>
        <v>57.05263157894737</v>
      </c>
      <c r="I30" s="27">
        <f>AVERAGE(I3:I29)</f>
        <v>56593.666666666664</v>
      </c>
      <c r="J30" s="28">
        <f t="shared" ref="J30:Z30" si="9">AVERAGE(J3:J29)</f>
        <v>0.76</v>
      </c>
      <c r="K30" s="27">
        <f t="shared" si="9"/>
        <v>618.52941176470586</v>
      </c>
      <c r="L30" s="27">
        <f t="shared" si="9"/>
        <v>946.06043369665304</v>
      </c>
      <c r="M30" s="27">
        <f>AVERAGE(M3:M29)</f>
        <v>188.00229301332053</v>
      </c>
      <c r="N30" s="27">
        <f t="shared" si="9"/>
        <v>11.724475183711141</v>
      </c>
      <c r="O30" s="27">
        <f t="shared" si="9"/>
        <v>52550.866666666669</v>
      </c>
      <c r="P30" s="29">
        <f t="shared" si="9"/>
        <v>580.05960810626482</v>
      </c>
      <c r="Q30" s="27">
        <f t="shared" si="9"/>
        <v>30916.285714285714</v>
      </c>
      <c r="R30" s="27">
        <f t="shared" si="9"/>
        <v>129.52140081094356</v>
      </c>
      <c r="S30" s="27">
        <f t="shared" si="9"/>
        <v>8.3818518479878907</v>
      </c>
      <c r="T30" s="28">
        <f t="shared" si="9"/>
        <v>433.125</v>
      </c>
      <c r="U30" s="33">
        <f t="shared" si="9"/>
        <v>3.117197491789832</v>
      </c>
      <c r="V30" s="28">
        <f t="shared" si="9"/>
        <v>181.25</v>
      </c>
      <c r="W30" s="29">
        <f t="shared" si="9"/>
        <v>3.7531340797305828</v>
      </c>
      <c r="X30" s="27">
        <f t="shared" si="9"/>
        <v>10288.792352941176</v>
      </c>
      <c r="Y30" s="27"/>
      <c r="Z30" s="27">
        <f t="shared" si="9"/>
        <v>49.636387963493235</v>
      </c>
    </row>
  </sheetData>
  <autoFilter ref="A2:AC2"/>
  <mergeCells count="1">
    <mergeCell ref="C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D9"/>
  <sheetViews>
    <sheetView workbookViewId="0">
      <selection activeCell="D4" sqref="D4"/>
    </sheetView>
  </sheetViews>
  <sheetFormatPr baseColWidth="10" defaultRowHeight="15" x14ac:dyDescent="0.25"/>
  <cols>
    <col min="3" max="3" width="19.7109375" customWidth="1"/>
  </cols>
  <sheetData>
    <row r="3" spans="3:4" x14ac:dyDescent="0.25">
      <c r="C3" t="s">
        <v>52</v>
      </c>
    </row>
    <row r="4" spans="3:4" x14ac:dyDescent="0.25">
      <c r="C4" t="s">
        <v>51</v>
      </c>
      <c r="D4">
        <f>COUNTIF(Tableau!G3:G29,"Gaz de Ville")</f>
        <v>11</v>
      </c>
    </row>
    <row r="5" spans="3:4" x14ac:dyDescent="0.25">
      <c r="C5" t="s">
        <v>27</v>
      </c>
      <c r="D5">
        <f>COUNTIF(Tableau!G3:G29,"Fioul")</f>
        <v>1</v>
      </c>
    </row>
    <row r="6" spans="3:4" x14ac:dyDescent="0.25">
      <c r="C6" t="s">
        <v>46</v>
      </c>
      <c r="D6">
        <f>COUNTIF(Tableau!G3:G29,"Electricité")</f>
        <v>2</v>
      </c>
    </row>
    <row r="7" spans="3:4" x14ac:dyDescent="0.25">
      <c r="C7" t="s">
        <v>8</v>
      </c>
      <c r="D7">
        <f>COUNTIF(Tableau!G3:G29,"Bois/gaz")</f>
        <v>2</v>
      </c>
    </row>
    <row r="8" spans="3:4" x14ac:dyDescent="0.25">
      <c r="C8" t="s">
        <v>32</v>
      </c>
      <c r="D8">
        <f>COUNTIF(Tableau!G3:G29,"Geothermie")</f>
        <v>1</v>
      </c>
    </row>
    <row r="9" spans="3:4" x14ac:dyDescent="0.25">
      <c r="C9" t="s">
        <v>53</v>
      </c>
      <c r="D9">
        <f>COUNTIF(Tableau!G3:G29,"Reseau de chaleur")</f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D9"/>
  <sheetViews>
    <sheetView workbookViewId="0">
      <selection activeCell="C13" sqref="C13"/>
    </sheetView>
  </sheetViews>
  <sheetFormatPr baseColWidth="10" defaultRowHeight="15" x14ac:dyDescent="0.25"/>
  <cols>
    <col min="3" max="3" width="28" customWidth="1"/>
  </cols>
  <sheetData>
    <row r="3" spans="3:4" x14ac:dyDescent="0.25">
      <c r="C3" t="s">
        <v>54</v>
      </c>
    </row>
    <row r="4" spans="3:4" x14ac:dyDescent="0.25">
      <c r="C4" t="s">
        <v>55</v>
      </c>
      <c r="D4">
        <f>COUNTIF(Tableau!C3:E29,"&gt;=0")-COUNTIF(Tableau!C3:E29,"&gt;=1945")</f>
        <v>1</v>
      </c>
    </row>
    <row r="5" spans="3:4" x14ac:dyDescent="0.25">
      <c r="C5" t="s">
        <v>56</v>
      </c>
      <c r="D5">
        <f>COUNTIF(Tableau!C3:E29,"&gt;=1945")-COUNTIF(Tableau!C3:E29,"&gt;=1976")</f>
        <v>2</v>
      </c>
    </row>
    <row r="6" spans="3:4" x14ac:dyDescent="0.25">
      <c r="C6" t="s">
        <v>58</v>
      </c>
      <c r="D6">
        <f>COUNTIF(Tableau!C3:E29,"&gt;=1977")-COUNTIF(Tableau!C3:E29,"&gt;=2000")</f>
        <v>11</v>
      </c>
    </row>
    <row r="7" spans="3:4" x14ac:dyDescent="0.25">
      <c r="C7" t="s">
        <v>57</v>
      </c>
      <c r="D7">
        <f>COUNTIF(Tableau!C3:E29,"&gt;=2001")-COUNTIF(Tableau!C3:E29,"&gt;=2007")</f>
        <v>8</v>
      </c>
    </row>
    <row r="8" spans="3:4" x14ac:dyDescent="0.25">
      <c r="C8" t="s">
        <v>59</v>
      </c>
      <c r="D8">
        <f>COUNTIF(Tableau!C3:E29,"&gt;=2007")-COUNTIF(Tableau!C3:E29,"&gt;=2014")</f>
        <v>4</v>
      </c>
    </row>
    <row r="9" spans="3:4" x14ac:dyDescent="0.25">
      <c r="C9" t="s">
        <v>60</v>
      </c>
      <c r="D9">
        <f>COUNTIF(Tableau!C3:E29,"&gt;=2014")-COUNTIF(Tableau!C3:E29,"&gt;=2020")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Stat ChauffECS</vt:lpstr>
      <vt:lpstr>Année de construction</vt:lpstr>
    </vt:vector>
  </TitlesOfParts>
  <Company>CG35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LEGAVRE Bastien</dc:creator>
  <cp:lastModifiedBy>LEGAVRE Bastien</cp:lastModifiedBy>
  <dcterms:created xsi:type="dcterms:W3CDTF">2018-10-24T10:02:12Z</dcterms:created>
  <dcterms:modified xsi:type="dcterms:W3CDTF">2019-02-21T08:51:59Z</dcterms:modified>
</cp:coreProperties>
</file>