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\Desktop\boulot\Projet final\"/>
    </mc:Choice>
  </mc:AlternateContent>
  <xr:revisionPtr revIDLastSave="0" documentId="13_ncr:1_{293770E7-AB0B-48E3-84C6-B201F7C421C3}" xr6:coauthVersionLast="43" xr6:coauthVersionMax="43" xr10:uidLastSave="{00000000-0000-0000-0000-000000000000}"/>
  <bookViews>
    <workbookView xWindow="-98" yWindow="-98" windowWidth="14595" windowHeight="8296" activeTab="1" xr2:uid="{8D33110D-D933-4511-B7AE-247F070935CE}"/>
  </bookViews>
  <sheets>
    <sheet name="Paramètres" sheetId="4" r:id="rId1"/>
    <sheet name="1" sheetId="2" r:id="rId2"/>
    <sheet name="1b" sheetId="3" r:id="rId3"/>
    <sheet name="Sheet1" sheetId="1" r:id="rId4"/>
  </sheets>
  <externalReferences>
    <externalReference r:id="rId5"/>
  </externalReferences>
  <definedNames>
    <definedName name="G_Kilos">Paramètres!$I:$I</definedName>
    <definedName name="G_metres">Paramètres!$K:$K</definedName>
    <definedName name="L_Hauteur_m">T_BdD[hauteur en m]</definedName>
    <definedName name="L_Kilos">T_BdD[Kilos]</definedName>
    <definedName name="Nature">'[1]Listes Valeurs'!$A$1:$A$5</definedName>
    <definedName name="NFronts">'[1]Listes Valeurs'!$D$1:$D$39</definedName>
    <definedName name="ouinon">'[1]Listes Valeurs'!$E$1:$E$2</definedName>
    <definedName name="_xlnm.Print_Area" localSheetId="1">'1'!$A$1:$AK$58</definedName>
    <definedName name="_xlnm.Print_Area" localSheetId="2">'1b'!$A$1:$AJ$70</definedName>
    <definedName name="Rives">'[1]Listes Valeurs'!$C$1:$C$2</definedName>
    <definedName name="Tableau4">Paramètres!$A:$C</definedName>
    <definedName name="Types">'[1]Listes Valeurs'!$B$1:$B$5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9" i="3" l="1"/>
  <c r="W8" i="3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18" i="2"/>
  <c r="AD58" i="2" l="1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P58" i="2"/>
  <c r="O58" i="2"/>
  <c r="N58" i="2"/>
  <c r="J58" i="2"/>
  <c r="H58" i="2"/>
  <c r="AK22" i="2" s="1"/>
  <c r="AM22" i="2" s="1"/>
  <c r="G58" i="2"/>
  <c r="F58" i="2"/>
  <c r="AK18" i="2" s="1"/>
  <c r="E58" i="2"/>
  <c r="D58" i="2"/>
  <c r="I9" i="2" s="1"/>
  <c r="L8" i="2" s="1"/>
  <c r="L10" i="2" s="1"/>
  <c r="C58" i="2"/>
  <c r="B58" i="2"/>
  <c r="AH8" i="2" s="1"/>
  <c r="AG57" i="2"/>
  <c r="AF57" i="2"/>
  <c r="AE57" i="2"/>
  <c r="M57" i="2"/>
  <c r="K57" i="2"/>
  <c r="L57" i="2" s="1"/>
  <c r="AG56" i="2"/>
  <c r="AE56" i="2"/>
  <c r="AF56" i="2" s="1"/>
  <c r="K56" i="2"/>
  <c r="AH56" i="2" s="1"/>
  <c r="AI56" i="2" s="1"/>
  <c r="M56" i="2"/>
  <c r="AH55" i="2"/>
  <c r="AI55" i="2" s="1"/>
  <c r="AG55" i="2"/>
  <c r="AF55" i="2"/>
  <c r="AE55" i="2"/>
  <c r="M55" i="2"/>
  <c r="K55" i="2"/>
  <c r="L55" i="2" s="1"/>
  <c r="AG54" i="2"/>
  <c r="AE54" i="2"/>
  <c r="AF54" i="2" s="1"/>
  <c r="L54" i="2"/>
  <c r="K54" i="2"/>
  <c r="M54" i="2"/>
  <c r="AG53" i="2"/>
  <c r="AF53" i="2"/>
  <c r="AE53" i="2"/>
  <c r="M53" i="2"/>
  <c r="K53" i="2"/>
  <c r="L53" i="2" s="1"/>
  <c r="AG52" i="2"/>
  <c r="AE52" i="2"/>
  <c r="AF52" i="2" s="1"/>
  <c r="K52" i="2"/>
  <c r="AH52" i="2" s="1"/>
  <c r="AI52" i="2" s="1"/>
  <c r="M52" i="2"/>
  <c r="AG51" i="2"/>
  <c r="AF51" i="2"/>
  <c r="AE51" i="2"/>
  <c r="M51" i="2"/>
  <c r="K51" i="2"/>
  <c r="L51" i="2" s="1"/>
  <c r="AG50" i="2"/>
  <c r="AE50" i="2"/>
  <c r="AF50" i="2" s="1"/>
  <c r="K50" i="2"/>
  <c r="L50" i="2" s="1"/>
  <c r="M50" i="2"/>
  <c r="AG49" i="2"/>
  <c r="AF49" i="2"/>
  <c r="AE49" i="2"/>
  <c r="M49" i="2"/>
  <c r="K49" i="2"/>
  <c r="L49" i="2" s="1"/>
  <c r="AG48" i="2"/>
  <c r="AE48" i="2"/>
  <c r="AF48" i="2" s="1"/>
  <c r="K48" i="2"/>
  <c r="AH48" i="2" s="1"/>
  <c r="AI48" i="2" s="1"/>
  <c r="M48" i="2"/>
  <c r="AG47" i="2"/>
  <c r="AF47" i="2"/>
  <c r="AE47" i="2"/>
  <c r="M47" i="2"/>
  <c r="K47" i="2"/>
  <c r="L47" i="2" s="1"/>
  <c r="AG46" i="2"/>
  <c r="AE46" i="2"/>
  <c r="AF46" i="2" s="1"/>
  <c r="K46" i="2"/>
  <c r="L46" i="2" s="1"/>
  <c r="M46" i="2"/>
  <c r="AG45" i="2"/>
  <c r="AF45" i="2"/>
  <c r="AE45" i="2"/>
  <c r="M45" i="2"/>
  <c r="K45" i="2"/>
  <c r="L45" i="2" s="1"/>
  <c r="AG44" i="2"/>
  <c r="AE44" i="2"/>
  <c r="AF44" i="2" s="1"/>
  <c r="K44" i="2"/>
  <c r="AH44" i="2" s="1"/>
  <c r="AI44" i="2" s="1"/>
  <c r="M44" i="2"/>
  <c r="AG43" i="2"/>
  <c r="AF43" i="2"/>
  <c r="AE43" i="2"/>
  <c r="M43" i="2"/>
  <c r="K43" i="2"/>
  <c r="L43" i="2" s="1"/>
  <c r="AG42" i="2"/>
  <c r="AE42" i="2"/>
  <c r="AF42" i="2" s="1"/>
  <c r="K42" i="2"/>
  <c r="L42" i="2" s="1"/>
  <c r="M42" i="2"/>
  <c r="AG41" i="2"/>
  <c r="AF41" i="2"/>
  <c r="AE41" i="2"/>
  <c r="M41" i="2"/>
  <c r="K41" i="2"/>
  <c r="L41" i="2" s="1"/>
  <c r="AM40" i="2"/>
  <c r="AH40" i="2"/>
  <c r="AI40" i="2" s="1"/>
  <c r="AG40" i="2"/>
  <c r="AF40" i="2"/>
  <c r="AE40" i="2"/>
  <c r="M40" i="2"/>
  <c r="K40" i="2"/>
  <c r="L40" i="2" s="1"/>
  <c r="AM39" i="2"/>
  <c r="AG39" i="2"/>
  <c r="AF39" i="2"/>
  <c r="AE39" i="2"/>
  <c r="M39" i="2"/>
  <c r="K39" i="2"/>
  <c r="L39" i="2" s="1"/>
  <c r="AM38" i="2"/>
  <c r="AG38" i="2"/>
  <c r="AF38" i="2"/>
  <c r="AE38" i="2"/>
  <c r="M38" i="2"/>
  <c r="K38" i="2"/>
  <c r="L38" i="2" s="1"/>
  <c r="AM37" i="2"/>
  <c r="AG37" i="2"/>
  <c r="AF37" i="2"/>
  <c r="AE37" i="2"/>
  <c r="M37" i="2"/>
  <c r="K37" i="2"/>
  <c r="L37" i="2" s="1"/>
  <c r="AM36" i="2"/>
  <c r="AG36" i="2"/>
  <c r="AF36" i="2"/>
  <c r="AE36" i="2"/>
  <c r="M36" i="2"/>
  <c r="K36" i="2"/>
  <c r="L36" i="2" s="1"/>
  <c r="AG35" i="2"/>
  <c r="AE35" i="2"/>
  <c r="AF35" i="2" s="1"/>
  <c r="K35" i="2"/>
  <c r="AH35" i="2" s="1"/>
  <c r="AI35" i="2" s="1"/>
  <c r="M35" i="2"/>
  <c r="AG34" i="2"/>
  <c r="AF34" i="2"/>
  <c r="AE34" i="2"/>
  <c r="M34" i="2"/>
  <c r="K34" i="2"/>
  <c r="L34" i="2" s="1"/>
  <c r="AM33" i="2"/>
  <c r="AG33" i="2"/>
  <c r="AF33" i="2"/>
  <c r="AE33" i="2"/>
  <c r="M33" i="2"/>
  <c r="K33" i="2"/>
  <c r="L33" i="2" s="1"/>
  <c r="AM32" i="2"/>
  <c r="AG32" i="2"/>
  <c r="AF32" i="2"/>
  <c r="AE32" i="2"/>
  <c r="M32" i="2"/>
  <c r="K32" i="2"/>
  <c r="L32" i="2" s="1"/>
  <c r="AM31" i="2"/>
  <c r="AH31" i="2"/>
  <c r="AI31" i="2" s="1"/>
  <c r="AG31" i="2"/>
  <c r="AF31" i="2"/>
  <c r="AE31" i="2"/>
  <c r="M31" i="2"/>
  <c r="K31" i="2"/>
  <c r="L31" i="2" s="1"/>
  <c r="AM30" i="2"/>
  <c r="AG30" i="2"/>
  <c r="AF30" i="2"/>
  <c r="AE30" i="2"/>
  <c r="M30" i="2"/>
  <c r="K30" i="2"/>
  <c r="L30" i="2" s="1"/>
  <c r="AG29" i="2"/>
  <c r="AE29" i="2"/>
  <c r="AF29" i="2" s="1"/>
  <c r="K29" i="2"/>
  <c r="AH29" i="2" s="1"/>
  <c r="AI29" i="2" s="1"/>
  <c r="M29" i="2"/>
  <c r="AG28" i="2"/>
  <c r="AF28" i="2"/>
  <c r="AE28" i="2"/>
  <c r="M28" i="2"/>
  <c r="K28" i="2"/>
  <c r="L28" i="2" s="1"/>
  <c r="AG27" i="2"/>
  <c r="AE27" i="2"/>
  <c r="AF27" i="2" s="1"/>
  <c r="K27" i="2"/>
  <c r="L27" i="2" s="1"/>
  <c r="M27" i="2"/>
  <c r="AG26" i="2"/>
  <c r="AE26" i="2"/>
  <c r="AF26" i="2" s="1"/>
  <c r="K26" i="2"/>
  <c r="AH26" i="2" s="1"/>
  <c r="AI26" i="2" s="1"/>
  <c r="M26" i="2"/>
  <c r="AM25" i="2"/>
  <c r="AG25" i="2"/>
  <c r="AE25" i="2"/>
  <c r="AF25" i="2" s="1"/>
  <c r="L25" i="2"/>
  <c r="K25" i="2"/>
  <c r="M25" i="2"/>
  <c r="AM24" i="2"/>
  <c r="AG24" i="2"/>
  <c r="AE24" i="2"/>
  <c r="AF24" i="2" s="1"/>
  <c r="K24" i="2"/>
  <c r="AH24" i="2" s="1"/>
  <c r="AI24" i="2" s="1"/>
  <c r="M24" i="2"/>
  <c r="AM23" i="2"/>
  <c r="AG23" i="2"/>
  <c r="AE23" i="2"/>
  <c r="AF23" i="2" s="1"/>
  <c r="K23" i="2"/>
  <c r="L23" i="2" s="1"/>
  <c r="M23" i="2"/>
  <c r="AG22" i="2"/>
  <c r="AF22" i="2"/>
  <c r="AE22" i="2"/>
  <c r="M22" i="2"/>
  <c r="K22" i="2"/>
  <c r="L22" i="2" s="1"/>
  <c r="AM21" i="2"/>
  <c r="AG21" i="2"/>
  <c r="AF21" i="2"/>
  <c r="AE21" i="2"/>
  <c r="M21" i="2"/>
  <c r="K21" i="2"/>
  <c r="L21" i="2" s="1"/>
  <c r="AG20" i="2"/>
  <c r="AE20" i="2"/>
  <c r="AF20" i="2" s="1"/>
  <c r="K20" i="2"/>
  <c r="L20" i="2" s="1"/>
  <c r="M20" i="2"/>
  <c r="AG19" i="2"/>
  <c r="AF19" i="2"/>
  <c r="AE19" i="2"/>
  <c r="M19" i="2"/>
  <c r="K19" i="2"/>
  <c r="L19" i="2" s="1"/>
  <c r="AG18" i="2"/>
  <c r="AE18" i="2"/>
  <c r="AF18" i="2" s="1"/>
  <c r="K18" i="2"/>
  <c r="L18" i="2" s="1"/>
  <c r="M18" i="2"/>
  <c r="I11" i="2"/>
  <c r="I10" i="2"/>
  <c r="L44" i="2" l="1"/>
  <c r="AK20" i="2"/>
  <c r="AM20" i="2" s="1"/>
  <c r="L24" i="2"/>
  <c r="L35" i="2"/>
  <c r="AH28" i="2"/>
  <c r="AI28" i="2" s="1"/>
  <c r="AH38" i="2"/>
  <c r="AI38" i="2" s="1"/>
  <c r="AH51" i="2"/>
  <c r="AI51" i="2" s="1"/>
  <c r="L56" i="2"/>
  <c r="AH22" i="2"/>
  <c r="AI22" i="2" s="1"/>
  <c r="AH43" i="2"/>
  <c r="AI43" i="2" s="1"/>
  <c r="L48" i="2"/>
  <c r="AH33" i="2"/>
  <c r="AI33" i="2" s="1"/>
  <c r="L26" i="2"/>
  <c r="L29" i="2"/>
  <c r="AH36" i="2"/>
  <c r="AI36" i="2" s="1"/>
  <c r="AH47" i="2"/>
  <c r="AI47" i="2" s="1"/>
  <c r="L52" i="2"/>
  <c r="AG58" i="2"/>
  <c r="AK8" i="2"/>
  <c r="AH9" i="2"/>
  <c r="AM18" i="2"/>
  <c r="AK11" i="2"/>
  <c r="AK10" i="2"/>
  <c r="AK12" i="2" s="1"/>
  <c r="AH19" i="2"/>
  <c r="AI19" i="2" s="1"/>
  <c r="AH21" i="2"/>
  <c r="AI21" i="2" s="1"/>
  <c r="AH30" i="2"/>
  <c r="AI30" i="2" s="1"/>
  <c r="AH32" i="2"/>
  <c r="AI32" i="2" s="1"/>
  <c r="AH34" i="2"/>
  <c r="AI34" i="2" s="1"/>
  <c r="AH37" i="2"/>
  <c r="AI37" i="2" s="1"/>
  <c r="AH39" i="2"/>
  <c r="AI39" i="2" s="1"/>
  <c r="AH41" i="2"/>
  <c r="AI41" i="2" s="1"/>
  <c r="AH45" i="2"/>
  <c r="AI45" i="2" s="1"/>
  <c r="AH49" i="2"/>
  <c r="AI49" i="2" s="1"/>
  <c r="AH53" i="2"/>
  <c r="AI53" i="2" s="1"/>
  <c r="AH57" i="2"/>
  <c r="AI57" i="2" s="1"/>
  <c r="AE58" i="2"/>
  <c r="AH18" i="2"/>
  <c r="AH20" i="2"/>
  <c r="AI20" i="2" s="1"/>
  <c r="AH23" i="2"/>
  <c r="AI23" i="2" s="1"/>
  <c r="AH25" i="2"/>
  <c r="AI25" i="2" s="1"/>
  <c r="AH27" i="2"/>
  <c r="AI27" i="2" s="1"/>
  <c r="AH42" i="2"/>
  <c r="AI42" i="2" s="1"/>
  <c r="AH46" i="2"/>
  <c r="AI46" i="2" s="1"/>
  <c r="AH50" i="2"/>
  <c r="AI50" i="2" s="1"/>
  <c r="AH54" i="2"/>
  <c r="AI54" i="2" s="1"/>
  <c r="K58" i="2"/>
  <c r="AM58" i="2" l="1"/>
  <c r="AK26" i="2"/>
  <c r="AK9" i="2" s="1"/>
  <c r="AH58" i="2"/>
  <c r="AI18" i="2"/>
</calcChain>
</file>

<file path=xl/sharedStrings.xml><?xml version="1.0" encoding="utf-8"?>
<sst xmlns="http://schemas.openxmlformats.org/spreadsheetml/2006/main" count="236" uniqueCount="143">
  <si>
    <t>PAGE</t>
  </si>
  <si>
    <t>1/2</t>
  </si>
  <si>
    <t>SIEGE :</t>
  </si>
  <si>
    <t>SERIVCE :</t>
  </si>
  <si>
    <t>Edition</t>
  </si>
  <si>
    <t>11.02.004C</t>
  </si>
  <si>
    <t>du 12/05/2005</t>
  </si>
  <si>
    <t>Modification</t>
  </si>
  <si>
    <t>du 08/01/2018</t>
  </si>
  <si>
    <t>PROCEDURE FORAGE-MINAGE SEILLES-MOHA  :  PLAN DE TIR</t>
  </si>
  <si>
    <t>Siège</t>
  </si>
  <si>
    <t>Moha</t>
  </si>
  <si>
    <t>Coord. X</t>
  </si>
  <si>
    <t>Espac</t>
  </si>
  <si>
    <t>m³</t>
  </si>
  <si>
    <t>Diam. forage</t>
  </si>
  <si>
    <t>Angle latéral</t>
  </si>
  <si>
    <t>m  utiles forés</t>
  </si>
  <si>
    <t>Charge instantanée</t>
  </si>
  <si>
    <t>Rive</t>
  </si>
  <si>
    <t>Gauche</t>
  </si>
  <si>
    <t>Coord. Y</t>
  </si>
  <si>
    <t>Banq. Moy.</t>
  </si>
  <si>
    <t>Densité</t>
  </si>
  <si>
    <t>Diam. calibre</t>
  </si>
  <si>
    <t>Angle frontal</t>
  </si>
  <si>
    <t>T/m</t>
  </si>
  <si>
    <t>G/T</t>
  </si>
  <si>
    <t>Front</t>
  </si>
  <si>
    <t>Type</t>
  </si>
  <si>
    <t>mono-étagé</t>
  </si>
  <si>
    <t>Ht Moyen</t>
  </si>
  <si>
    <t>Tonnes</t>
  </si>
  <si>
    <t>N° imputation</t>
  </si>
  <si>
    <t>Energie totale kJ</t>
  </si>
  <si>
    <t>Qualité</t>
  </si>
  <si>
    <t>Date</t>
  </si>
  <si>
    <t>Fourneaux</t>
  </si>
  <si>
    <t>Energie kJ/T</t>
  </si>
  <si>
    <t>N° tir</t>
  </si>
  <si>
    <t>Heure</t>
  </si>
  <si>
    <t>Energie MJ/m3</t>
  </si>
  <si>
    <t>Pied</t>
  </si>
  <si>
    <t xml:space="preserve">1er Charge </t>
  </si>
  <si>
    <t>Colonne</t>
  </si>
  <si>
    <t>N°</t>
  </si>
  <si>
    <t>Ht</t>
  </si>
  <si>
    <t>Surfo.</t>
  </si>
  <si>
    <t>Ep tête</t>
  </si>
  <si>
    <t>Ep pied</t>
  </si>
  <si>
    <t>DIN</t>
  </si>
  <si>
    <t>GEL</t>
  </si>
  <si>
    <t>ANFO</t>
  </si>
  <si>
    <t>hauteur</t>
  </si>
  <si>
    <t>bourrage</t>
  </si>
  <si>
    <t>Energie pied (MJ)</t>
  </si>
  <si>
    <t>Facteur Pied</t>
  </si>
  <si>
    <t>ballon</t>
  </si>
  <si>
    <t>Energie colo (MJ)</t>
  </si>
  <si>
    <t>Facteur Colo</t>
  </si>
  <si>
    <t>Total par</t>
  </si>
  <si>
    <t>Energie tot (MJ)</t>
  </si>
  <si>
    <t>Facteur total</t>
  </si>
  <si>
    <t>Explosifs</t>
  </si>
  <si>
    <t>fourneau</t>
  </si>
  <si>
    <t>Quantité</t>
  </si>
  <si>
    <t>kJ/kg</t>
  </si>
  <si>
    <t>Riodin HE</t>
  </si>
  <si>
    <t>Riogel XE</t>
  </si>
  <si>
    <t>Riogel HE</t>
  </si>
  <si>
    <t>Rioxam AL</t>
  </si>
  <si>
    <t>Rioxam HD</t>
  </si>
  <si>
    <t>cord. 40 g</t>
  </si>
  <si>
    <t>cord. 20 g</t>
  </si>
  <si>
    <t>cord. 12 g</t>
  </si>
  <si>
    <t>Total</t>
  </si>
  <si>
    <t>Détonateurs</t>
  </si>
  <si>
    <t>Riotronic 10M</t>
  </si>
  <si>
    <t>Riotronic 20M</t>
  </si>
  <si>
    <t>Riotronic 30M</t>
  </si>
  <si>
    <t>Riotronic 40M</t>
  </si>
  <si>
    <t>U500 4.8 M</t>
  </si>
  <si>
    <t>U500 7.8 M</t>
  </si>
  <si>
    <t>U475 15 M</t>
  </si>
  <si>
    <t>U475 21 M</t>
  </si>
  <si>
    <t>U475 30 M</t>
  </si>
  <si>
    <t>Raccords nonel</t>
  </si>
  <si>
    <t xml:space="preserve"> 4.8 M</t>
  </si>
  <si>
    <t>7.8 M</t>
  </si>
  <si>
    <t>Transport</t>
  </si>
  <si>
    <t>Manip déto</t>
  </si>
  <si>
    <t xml:space="preserve">Commentaire : </t>
  </si>
  <si>
    <t>Respect du standard (oui/non)</t>
  </si>
  <si>
    <t>Paramètres non respectés</t>
  </si>
  <si>
    <t>Déviation et Justification</t>
  </si>
  <si>
    <t>nom et signature du chef mineur :</t>
  </si>
  <si>
    <t>Page</t>
  </si>
  <si>
    <t>2/2</t>
  </si>
  <si>
    <t>11.02.004B</t>
  </si>
  <si>
    <t xml:space="preserve">du </t>
  </si>
  <si>
    <t xml:space="preserve">   Gestion Intégrée</t>
  </si>
  <si>
    <t>Siège :</t>
  </si>
  <si>
    <t>Coordonnées Lambert x</t>
  </si>
  <si>
    <t>Coordonnées Lambert y</t>
  </si>
  <si>
    <t>Analyse de vibrations en Rive Gauche</t>
  </si>
  <si>
    <t>Nomis N°</t>
  </si>
  <si>
    <t>Evénement n°</t>
  </si>
  <si>
    <t>Lieu</t>
  </si>
  <si>
    <t>mm/s</t>
  </si>
  <si>
    <t xml:space="preserve">    HZ</t>
  </si>
  <si>
    <t>T1</t>
  </si>
  <si>
    <t>V1</t>
  </si>
  <si>
    <t>R1</t>
  </si>
  <si>
    <t>A</t>
  </si>
  <si>
    <t>Analyse de vibrations en Gauche</t>
  </si>
  <si>
    <t>Analyse de vibrations en Rive Droite</t>
  </si>
  <si>
    <t>Respect 3 mm/s</t>
  </si>
  <si>
    <t>Projection</t>
  </si>
  <si>
    <t>Instabilité</t>
  </si>
  <si>
    <t>Raté</t>
  </si>
  <si>
    <t>Autre problème</t>
  </si>
  <si>
    <t>Nombre de rangées</t>
  </si>
  <si>
    <t>Ouverture</t>
  </si>
  <si>
    <t>Kilos</t>
  </si>
  <si>
    <t>Hauteur en cm</t>
  </si>
  <si>
    <t>hauteur en m</t>
  </si>
  <si>
    <t>Nombre de Cartouches</t>
  </si>
  <si>
    <t>Hauteur cm</t>
  </si>
  <si>
    <t>hauteur m</t>
  </si>
  <si>
    <t>GEL 90</t>
  </si>
  <si>
    <t>1 caisses</t>
  </si>
  <si>
    <t>2 caisses</t>
  </si>
  <si>
    <t>3 caisses</t>
  </si>
  <si>
    <t>4 caisses</t>
  </si>
  <si>
    <t>5 caisses</t>
  </si>
  <si>
    <t xml:space="preserve">SIEGE : </t>
  </si>
  <si>
    <t xml:space="preserve">SERVICE :  </t>
  </si>
  <si>
    <t>PLAN D'IMPLANTATION ET DE RACCORDEMENT</t>
  </si>
  <si>
    <t>SI GEL (G18) est = a une valeur alors la valeur dans hauteur(I18) Doit s’additionner à la valeur se trouvant dans onglet paramètres dans la colonne K relative au kilos de la colonne I. Mais QUID, s’il n’y a aucune valeur ANFO (H18), alors la formule ne donnera aucun résultat dans la colonne hauteur (I18).</t>
  </si>
  <si>
    <r>
      <t xml:space="preserve">Exemple Pour Un trou de 20m </t>
    </r>
    <r>
      <rPr>
        <sz val="11"/>
        <color theme="1"/>
        <rFont val="Wingdings"/>
        <charset val="2"/>
      </rPr>
      <t>à</t>
    </r>
    <r>
      <rPr>
        <sz val="11"/>
        <color theme="1"/>
        <rFont val="Calibri"/>
        <family val="2"/>
        <scheme val="minor"/>
      </rPr>
      <t xml:space="preserve"> si (G18) =50 et (H18) =50 alors (I18) doit être = a 11.4</t>
    </r>
  </si>
  <si>
    <t>mais</t>
  </si>
  <si>
    <t>La colonne GEL doit donner un résultat dans la colonne hauteur même si ANFO est vide, et vice versa.</t>
  </si>
  <si>
    <t>En réalité c’est 2 produits peuvent être mélanger mais ont une densité différente.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</si>
</sst>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i/>
      <sz val="14"/>
      <color rgb="FF7030A0"/>
      <name val="Arial"/>
      <family val="2"/>
    </font>
    <font>
      <b/>
      <i/>
      <sz val="18"/>
      <color rgb="FF7030A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8"/>
      <color indexed="17"/>
      <name val="Arial"/>
      <family val="2"/>
    </font>
    <font>
      <sz val="8"/>
      <name val="Arial"/>
      <family val="2"/>
    </font>
    <font>
      <sz val="14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0"/>
      <color indexed="17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u/>
      <sz val="10"/>
      <color rgb="FFFF0000"/>
      <name val="Arial"/>
      <family val="2"/>
    </font>
    <font>
      <sz val="10"/>
      <color indexed="10"/>
      <name val="Arial"/>
      <family val="2"/>
    </font>
    <font>
      <b/>
      <sz val="9"/>
      <color theme="1"/>
      <name val="Calibri"/>
      <family val="2"/>
      <scheme val="minor"/>
    </font>
    <font>
      <sz val="11"/>
      <color theme="1"/>
      <name val="Wingdings"/>
      <charset val="2"/>
    </font>
  </fonts>
  <fills count="18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lightTrellis"/>
    </fill>
    <fill>
      <patternFill patternType="lightTrellis">
        <bgColor theme="0" tint="-0.499984740745262"/>
      </patternFill>
    </fill>
    <fill>
      <patternFill patternType="lightTrellis">
        <bgColor theme="0" tint="-0.14999847407452621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9FFCC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79">
    <xf numFmtId="0" fontId="0" fillId="0" borderId="0" xfId="0"/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3" fillId="0" borderId="2" xfId="1" applyFont="1" applyBorder="1"/>
    <xf numFmtId="0" fontId="3" fillId="0" borderId="3" xfId="1" quotePrefix="1" applyFont="1" applyBorder="1"/>
    <xf numFmtId="0" fontId="2" fillId="0" borderId="4" xfId="1" applyBorder="1"/>
    <xf numFmtId="0" fontId="3" fillId="0" borderId="0" xfId="1" applyFont="1"/>
    <xf numFmtId="0" fontId="2" fillId="0" borderId="5" xfId="1" applyBorder="1"/>
    <xf numFmtId="0" fontId="2" fillId="0" borderId="0" xfId="1" applyAlignment="1">
      <alignment horizontal="right"/>
    </xf>
    <xf numFmtId="0" fontId="6" fillId="0" borderId="12" xfId="1" applyFont="1" applyBorder="1" applyAlignment="1">
      <alignment horizontal="right"/>
    </xf>
    <xf numFmtId="0" fontId="6" fillId="0" borderId="0" xfId="1" applyFont="1" applyAlignment="1">
      <alignment horizontal="right"/>
    </xf>
    <xf numFmtId="0" fontId="2" fillId="0" borderId="12" xfId="1" applyBorder="1" applyAlignment="1" applyProtection="1">
      <alignment horizontal="right"/>
      <protection locked="0"/>
    </xf>
    <xf numFmtId="1" fontId="2" fillId="0" borderId="12" xfId="1" applyNumberFormat="1" applyBorder="1" applyAlignment="1">
      <alignment horizontal="right"/>
    </xf>
    <xf numFmtId="1" fontId="2" fillId="0" borderId="0" xfId="1" applyNumberFormat="1" applyAlignment="1">
      <alignment horizontal="right"/>
    </xf>
    <xf numFmtId="0" fontId="2" fillId="0" borderId="0" xfId="1" applyAlignment="1" applyProtection="1">
      <alignment horizontal="right"/>
      <protection locked="0"/>
    </xf>
    <xf numFmtId="0" fontId="3" fillId="0" borderId="12" xfId="1" applyFont="1" applyBorder="1" applyAlignment="1">
      <alignment horizontal="right"/>
    </xf>
    <xf numFmtId="0" fontId="3" fillId="0" borderId="12" xfId="1" applyFont="1" applyBorder="1" applyAlignment="1" applyProtection="1">
      <alignment horizontal="right"/>
      <protection locked="0"/>
    </xf>
    <xf numFmtId="0" fontId="6" fillId="0" borderId="12" xfId="1" applyFont="1" applyBorder="1" applyAlignment="1" applyProtection="1">
      <alignment horizontal="right"/>
      <protection locked="0"/>
    </xf>
    <xf numFmtId="164" fontId="2" fillId="0" borderId="12" xfId="1" applyNumberFormat="1" applyBorder="1" applyAlignment="1">
      <alignment horizontal="right"/>
    </xf>
    <xf numFmtId="0" fontId="2" fillId="0" borderId="12" xfId="1" applyBorder="1" applyAlignment="1">
      <alignment horizontal="right"/>
    </xf>
    <xf numFmtId="1" fontId="3" fillId="0" borderId="13" xfId="1" applyNumberFormat="1" applyFont="1" applyBorder="1" applyAlignment="1">
      <alignment horizontal="right"/>
    </xf>
    <xf numFmtId="2" fontId="2" fillId="0" borderId="12" xfId="1" applyNumberFormat="1" applyBorder="1" applyAlignment="1">
      <alignment horizontal="right"/>
    </xf>
    <xf numFmtId="1" fontId="2" fillId="0" borderId="12" xfId="1" applyNumberFormat="1" applyBorder="1" applyAlignment="1" applyProtection="1">
      <alignment horizontal="right"/>
      <protection locked="0"/>
    </xf>
    <xf numFmtId="1" fontId="2" fillId="0" borderId="0" xfId="1" applyNumberFormat="1" applyAlignment="1" applyProtection="1">
      <alignment horizontal="right"/>
      <protection locked="0"/>
    </xf>
    <xf numFmtId="3" fontId="2" fillId="0" borderId="0" xfId="1" applyNumberFormat="1" applyAlignment="1">
      <alignment horizontal="right"/>
    </xf>
    <xf numFmtId="14" fontId="9" fillId="0" borderId="12" xfId="1" applyNumberFormat="1" applyFont="1" applyBorder="1" applyAlignment="1" applyProtection="1">
      <alignment horizontal="right"/>
      <protection locked="0"/>
    </xf>
    <xf numFmtId="2" fontId="2" fillId="0" borderId="14" xfId="1" applyNumberFormat="1" applyBorder="1" applyAlignment="1" applyProtection="1">
      <alignment horizontal="right"/>
      <protection locked="0"/>
    </xf>
    <xf numFmtId="2" fontId="10" fillId="3" borderId="12" xfId="1" applyNumberFormat="1" applyFont="1" applyFill="1" applyBorder="1" applyAlignment="1">
      <alignment horizontal="center"/>
    </xf>
    <xf numFmtId="2" fontId="2" fillId="0" borderId="0" xfId="1" applyNumberFormat="1" applyAlignment="1" applyProtection="1">
      <alignment horizontal="right"/>
      <protection locked="0"/>
    </xf>
    <xf numFmtId="0" fontId="6" fillId="0" borderId="8" xfId="1" applyFont="1" applyBorder="1" applyAlignment="1">
      <alignment vertical="center"/>
    </xf>
    <xf numFmtId="0" fontId="6" fillId="0" borderId="20" xfId="1" applyFont="1" applyBorder="1" applyAlignment="1">
      <alignment vertical="center"/>
    </xf>
    <xf numFmtId="0" fontId="6" fillId="5" borderId="20" xfId="1" applyFont="1" applyFill="1" applyBorder="1" applyAlignment="1">
      <alignment horizontal="center" vertical="center"/>
    </xf>
    <xf numFmtId="0" fontId="6" fillId="6" borderId="20" xfId="1" applyFont="1" applyFill="1" applyBorder="1" applyAlignment="1">
      <alignment horizontal="center" vertical="center"/>
    </xf>
    <xf numFmtId="0" fontId="6" fillId="7" borderId="20" xfId="1" applyFont="1" applyFill="1" applyBorder="1" applyAlignment="1">
      <alignment horizontal="center" vertical="center"/>
    </xf>
    <xf numFmtId="0" fontId="11" fillId="8" borderId="20" xfId="1" applyFont="1" applyFill="1" applyBorder="1" applyAlignment="1">
      <alignment horizontal="center" vertical="center"/>
    </xf>
    <xf numFmtId="0" fontId="9" fillId="8" borderId="20" xfId="1" applyFont="1" applyFill="1" applyBorder="1" applyAlignment="1">
      <alignment horizontal="center" vertical="center"/>
    </xf>
    <xf numFmtId="0" fontId="3" fillId="9" borderId="21" xfId="1" applyFont="1" applyFill="1" applyBorder="1" applyAlignment="1">
      <alignment vertical="center" wrapText="1"/>
    </xf>
    <xf numFmtId="0" fontId="3" fillId="9" borderId="1" xfId="1" applyFont="1" applyFill="1" applyBorder="1" applyAlignment="1">
      <alignment vertical="center" wrapText="1"/>
    </xf>
    <xf numFmtId="0" fontId="6" fillId="8" borderId="20" xfId="1" applyFont="1" applyFill="1" applyBorder="1" applyAlignment="1">
      <alignment horizontal="center" vertical="center"/>
    </xf>
    <xf numFmtId="0" fontId="3" fillId="9" borderId="22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10" borderId="17" xfId="1" applyFont="1" applyFill="1" applyBorder="1" applyAlignment="1">
      <alignment horizontal="center"/>
    </xf>
    <xf numFmtId="0" fontId="12" fillId="10" borderId="12" xfId="1" applyFont="1" applyFill="1" applyBorder="1" applyAlignment="1" applyProtection="1">
      <alignment horizontal="center"/>
      <protection locked="0"/>
    </xf>
    <xf numFmtId="0" fontId="12" fillId="11" borderId="23" xfId="1" applyFont="1" applyFill="1" applyBorder="1" applyAlignment="1" applyProtection="1">
      <alignment horizontal="center"/>
      <protection locked="0"/>
    </xf>
    <xf numFmtId="0" fontId="12" fillId="11" borderId="24" xfId="1" applyFont="1" applyFill="1" applyBorder="1" applyAlignment="1" applyProtection="1">
      <alignment horizontal="center"/>
      <protection locked="0"/>
    </xf>
    <xf numFmtId="0" fontId="12" fillId="11" borderId="25" xfId="1" applyFont="1" applyFill="1" applyBorder="1" applyAlignment="1" applyProtection="1">
      <alignment horizontal="center"/>
      <protection locked="0"/>
    </xf>
    <xf numFmtId="0" fontId="12" fillId="10" borderId="23" xfId="1" applyFont="1" applyFill="1" applyBorder="1" applyAlignment="1" applyProtection="1">
      <alignment horizontal="center"/>
      <protection locked="0"/>
    </xf>
    <xf numFmtId="0" fontId="12" fillId="10" borderId="24" xfId="1" applyFont="1" applyFill="1" applyBorder="1" applyAlignment="1" applyProtection="1">
      <alignment horizontal="center"/>
      <protection locked="0"/>
    </xf>
    <xf numFmtId="0" fontId="12" fillId="12" borderId="26" xfId="1" applyFont="1" applyFill="1" applyBorder="1" applyAlignment="1" applyProtection="1">
      <alignment horizontal="center"/>
      <protection locked="0"/>
    </xf>
    <xf numFmtId="1" fontId="12" fillId="10" borderId="12" xfId="1" applyNumberFormat="1" applyFont="1" applyFill="1" applyBorder="1" applyAlignment="1" applyProtection="1">
      <alignment horizontal="center"/>
      <protection locked="0"/>
    </xf>
    <xf numFmtId="2" fontId="12" fillId="10" borderId="17" xfId="1" applyNumberFormat="1" applyFont="1" applyFill="1" applyBorder="1" applyAlignment="1" applyProtection="1">
      <alignment horizontal="center"/>
      <protection locked="0"/>
    </xf>
    <xf numFmtId="2" fontId="12" fillId="10" borderId="12" xfId="1" applyNumberFormat="1" applyFont="1" applyFill="1" applyBorder="1" applyAlignment="1" applyProtection="1">
      <alignment horizontal="center"/>
      <protection locked="0"/>
    </xf>
    <xf numFmtId="165" fontId="12" fillId="10" borderId="24" xfId="1" applyNumberFormat="1" applyFont="1" applyFill="1" applyBorder="1" applyAlignment="1" applyProtection="1">
      <alignment horizontal="center"/>
      <protection locked="0"/>
    </xf>
    <xf numFmtId="0" fontId="12" fillId="12" borderId="24" xfId="1" applyFont="1" applyFill="1" applyBorder="1" applyAlignment="1" applyProtection="1">
      <alignment horizontal="center"/>
      <protection locked="0"/>
    </xf>
    <xf numFmtId="0" fontId="12" fillId="10" borderId="26" xfId="1" applyFont="1" applyFill="1" applyBorder="1" applyAlignment="1" applyProtection="1">
      <alignment horizontal="center"/>
      <protection locked="0"/>
    </xf>
    <xf numFmtId="0" fontId="3" fillId="9" borderId="29" xfId="1" applyFont="1" applyFill="1" applyBorder="1" applyAlignment="1">
      <alignment horizontal="center" vertical="center"/>
    </xf>
    <xf numFmtId="0" fontId="10" fillId="0" borderId="29" xfId="1" applyFont="1" applyBorder="1"/>
    <xf numFmtId="0" fontId="10" fillId="0" borderId="17" xfId="1" applyFont="1" applyBorder="1" applyAlignment="1">
      <alignment horizontal="center"/>
    </xf>
    <xf numFmtId="0" fontId="12" fillId="0" borderId="12" xfId="1" applyFont="1" applyBorder="1" applyAlignment="1" applyProtection="1">
      <alignment horizontal="center"/>
      <protection locked="0"/>
    </xf>
    <xf numFmtId="0" fontId="12" fillId="13" borderId="23" xfId="1" applyFont="1" applyFill="1" applyBorder="1" applyAlignment="1" applyProtection="1">
      <alignment horizontal="center"/>
      <protection locked="0"/>
    </xf>
    <xf numFmtId="0" fontId="12" fillId="13" borderId="24" xfId="1" applyFont="1" applyFill="1" applyBorder="1" applyAlignment="1" applyProtection="1">
      <alignment horizontal="center"/>
      <protection locked="0"/>
    </xf>
    <xf numFmtId="0" fontId="12" fillId="13" borderId="25" xfId="1" applyFont="1" applyFill="1" applyBorder="1" applyAlignment="1" applyProtection="1">
      <alignment horizontal="center"/>
      <protection locked="0"/>
    </xf>
    <xf numFmtId="0" fontId="12" fillId="0" borderId="23" xfId="1" applyFont="1" applyBorder="1" applyAlignment="1" applyProtection="1">
      <alignment horizontal="center"/>
      <protection locked="0"/>
    </xf>
    <xf numFmtId="0" fontId="12" fillId="0" borderId="24" xfId="1" applyFont="1" applyBorder="1" applyAlignment="1" applyProtection="1">
      <alignment horizontal="center"/>
      <protection locked="0"/>
    </xf>
    <xf numFmtId="164" fontId="12" fillId="0" borderId="24" xfId="1" applyNumberFormat="1" applyFont="1" applyBorder="1" applyAlignment="1" applyProtection="1">
      <alignment horizontal="center"/>
      <protection locked="0"/>
    </xf>
    <xf numFmtId="0" fontId="12" fillId="8" borderId="26" xfId="1" applyFont="1" applyFill="1" applyBorder="1" applyAlignment="1" applyProtection="1">
      <alignment horizontal="center"/>
      <protection locked="0"/>
    </xf>
    <xf numFmtId="1" fontId="12" fillId="0" borderId="12" xfId="1" applyNumberFormat="1" applyFont="1" applyBorder="1" applyAlignment="1" applyProtection="1">
      <alignment horizontal="center"/>
      <protection locked="0"/>
    </xf>
    <xf numFmtId="2" fontId="12" fillId="0" borderId="17" xfId="1" applyNumberFormat="1" applyFont="1" applyBorder="1" applyAlignment="1" applyProtection="1">
      <alignment horizontal="center"/>
      <protection locked="0"/>
    </xf>
    <xf numFmtId="164" fontId="13" fillId="0" borderId="0" xfId="1" applyNumberFormat="1" applyFont="1" applyAlignment="1">
      <alignment horizontal="center"/>
    </xf>
    <xf numFmtId="165" fontId="12" fillId="0" borderId="12" xfId="1" applyNumberFormat="1" applyFont="1" applyBorder="1" applyAlignment="1" applyProtection="1">
      <alignment horizontal="center"/>
      <protection locked="0"/>
    </xf>
    <xf numFmtId="0" fontId="12" fillId="8" borderId="12" xfId="1" applyFont="1" applyFill="1" applyBorder="1" applyAlignment="1" applyProtection="1">
      <alignment horizontal="center"/>
      <protection locked="0"/>
    </xf>
    <xf numFmtId="0" fontId="7" fillId="0" borderId="12" xfId="1" applyFont="1" applyBorder="1" applyAlignment="1" applyProtection="1">
      <alignment horizontal="center"/>
      <protection locked="0"/>
    </xf>
    <xf numFmtId="1" fontId="10" fillId="0" borderId="31" xfId="1" applyNumberFormat="1" applyFont="1" applyBorder="1" applyAlignment="1" applyProtection="1">
      <alignment horizontal="center"/>
      <protection locked="0"/>
    </xf>
    <xf numFmtId="2" fontId="10" fillId="0" borderId="26" xfId="1" applyNumberFormat="1" applyFont="1" applyBorder="1" applyAlignment="1" applyProtection="1">
      <alignment horizontal="center"/>
      <protection locked="0"/>
    </xf>
    <xf numFmtId="1" fontId="10" fillId="3" borderId="12" xfId="1" applyNumberFormat="1" applyFont="1" applyFill="1" applyBorder="1" applyAlignment="1">
      <alignment horizontal="center"/>
    </xf>
    <xf numFmtId="1" fontId="10" fillId="3" borderId="16" xfId="1" applyNumberFormat="1" applyFont="1" applyFill="1" applyBorder="1" applyAlignment="1">
      <alignment horizontal="center"/>
    </xf>
    <xf numFmtId="0" fontId="10" fillId="0" borderId="23" xfId="1" applyFont="1" applyBorder="1"/>
    <xf numFmtId="2" fontId="10" fillId="3" borderId="25" xfId="1" applyNumberFormat="1" applyFont="1" applyFill="1" applyBorder="1" applyAlignment="1">
      <alignment horizontal="center" vertical="center"/>
    </xf>
    <xf numFmtId="0" fontId="10" fillId="5" borderId="16" xfId="1" applyFont="1" applyFill="1" applyBorder="1"/>
    <xf numFmtId="0" fontId="10" fillId="14" borderId="12" xfId="1" applyFont="1" applyFill="1" applyBorder="1"/>
    <xf numFmtId="0" fontId="10" fillId="0" borderId="0" xfId="1" applyFont="1"/>
    <xf numFmtId="0" fontId="10" fillId="0" borderId="16" xfId="1" applyFont="1" applyBorder="1"/>
    <xf numFmtId="1" fontId="10" fillId="0" borderId="15" xfId="1" applyNumberFormat="1" applyFont="1" applyBorder="1" applyAlignment="1" applyProtection="1">
      <alignment horizontal="center"/>
      <protection locked="0"/>
    </xf>
    <xf numFmtId="2" fontId="10" fillId="0" borderId="12" xfId="1" applyNumberFormat="1" applyFont="1" applyBorder="1" applyAlignment="1" applyProtection="1">
      <alignment horizontal="center"/>
      <protection locked="0"/>
    </xf>
    <xf numFmtId="0" fontId="10" fillId="3" borderId="25" xfId="1" applyFont="1" applyFill="1" applyBorder="1" applyAlignment="1">
      <alignment horizontal="center" vertical="center"/>
    </xf>
    <xf numFmtId="0" fontId="10" fillId="15" borderId="16" xfId="1" applyFont="1" applyFill="1" applyBorder="1"/>
    <xf numFmtId="0" fontId="2" fillId="0" borderId="32" xfId="1" applyBorder="1" applyAlignment="1">
      <alignment horizontal="right"/>
    </xf>
    <xf numFmtId="0" fontId="10" fillId="16" borderId="16" xfId="1" applyFont="1" applyFill="1" applyBorder="1"/>
    <xf numFmtId="0" fontId="10" fillId="7" borderId="16" xfId="1" applyFont="1" applyFill="1" applyBorder="1"/>
    <xf numFmtId="0" fontId="10" fillId="3" borderId="25" xfId="1" applyFont="1" applyFill="1" applyBorder="1" applyAlignment="1" applyProtection="1">
      <alignment horizontal="center" vertical="center"/>
      <protection locked="0"/>
    </xf>
    <xf numFmtId="0" fontId="10" fillId="0" borderId="15" xfId="1" applyFont="1" applyBorder="1"/>
    <xf numFmtId="0" fontId="10" fillId="3" borderId="16" xfId="1" applyFont="1" applyFill="1" applyBorder="1"/>
    <xf numFmtId="0" fontId="10" fillId="3" borderId="12" xfId="1" applyFont="1" applyFill="1" applyBorder="1" applyAlignment="1">
      <alignment horizontal="center" vertical="center"/>
    </xf>
    <xf numFmtId="0" fontId="10" fillId="0" borderId="7" xfId="1" applyFont="1" applyBorder="1"/>
    <xf numFmtId="0" fontId="10" fillId="0" borderId="0" xfId="1" applyFont="1" applyAlignment="1">
      <alignment horizontal="center" vertical="center"/>
    </xf>
    <xf numFmtId="0" fontId="10" fillId="0" borderId="17" xfId="1" applyFont="1" applyBorder="1" applyAlignment="1">
      <alignment horizontal="left"/>
    </xf>
    <xf numFmtId="0" fontId="14" fillId="0" borderId="12" xfId="1" applyFont="1" applyBorder="1" applyAlignment="1" applyProtection="1">
      <alignment horizontal="center" vertical="center"/>
      <protection locked="0"/>
    </xf>
    <xf numFmtId="0" fontId="10" fillId="0" borderId="17" xfId="1" applyFont="1" applyBorder="1"/>
    <xf numFmtId="0" fontId="10" fillId="0" borderId="12" xfId="1" applyFont="1" applyBorder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24" xfId="1" applyFont="1" applyBorder="1" applyAlignment="1" applyProtection="1">
      <alignment horizontal="center" vertical="center"/>
      <protection locked="0"/>
    </xf>
    <xf numFmtId="0" fontId="10" fillId="14" borderId="32" xfId="1" applyFont="1" applyFill="1" applyBorder="1"/>
    <xf numFmtId="0" fontId="10" fillId="0" borderId="0" xfId="1" applyFont="1" applyAlignment="1" applyProtection="1">
      <alignment horizontal="center"/>
      <protection locked="0"/>
    </xf>
    <xf numFmtId="0" fontId="12" fillId="0" borderId="20" xfId="1" applyFont="1" applyBorder="1" applyAlignment="1" applyProtection="1">
      <alignment horizontal="center"/>
      <protection locked="0"/>
    </xf>
    <xf numFmtId="0" fontId="12" fillId="13" borderId="33" xfId="1" applyFont="1" applyFill="1" applyBorder="1" applyAlignment="1" applyProtection="1">
      <alignment horizontal="center"/>
      <protection locked="0"/>
    </xf>
    <xf numFmtId="0" fontId="12" fillId="13" borderId="34" xfId="1" applyFont="1" applyFill="1" applyBorder="1" applyAlignment="1" applyProtection="1">
      <alignment horizontal="center"/>
      <protection locked="0"/>
    </xf>
    <xf numFmtId="0" fontId="12" fillId="13" borderId="35" xfId="1" applyFont="1" applyFill="1" applyBorder="1" applyAlignment="1" applyProtection="1">
      <alignment horizontal="center"/>
      <protection locked="0"/>
    </xf>
    <xf numFmtId="0" fontId="14" fillId="0" borderId="12" xfId="1" applyFont="1" applyBorder="1" applyAlignment="1">
      <alignment horizontal="center"/>
    </xf>
    <xf numFmtId="0" fontId="7" fillId="13" borderId="23" xfId="1" applyFont="1" applyFill="1" applyBorder="1" applyAlignment="1" applyProtection="1">
      <alignment horizontal="center"/>
      <protection locked="0"/>
    </xf>
    <xf numFmtId="0" fontId="7" fillId="13" borderId="24" xfId="1" applyFont="1" applyFill="1" applyBorder="1" applyAlignment="1" applyProtection="1">
      <alignment horizontal="center"/>
      <protection locked="0"/>
    </xf>
    <xf numFmtId="2" fontId="3" fillId="3" borderId="24" xfId="1" applyNumberFormat="1" applyFont="1" applyFill="1" applyBorder="1" applyAlignment="1">
      <alignment horizontal="right"/>
    </xf>
    <xf numFmtId="1" fontId="15" fillId="3" borderId="24" xfId="1" applyNumberFormat="1" applyFont="1" applyFill="1" applyBorder="1" applyAlignment="1">
      <alignment horizontal="right"/>
    </xf>
    <xf numFmtId="0" fontId="3" fillId="3" borderId="24" xfId="1" applyFont="1" applyFill="1" applyBorder="1" applyAlignment="1">
      <alignment horizontal="right"/>
    </xf>
    <xf numFmtId="1" fontId="3" fillId="14" borderId="24" xfId="1" applyNumberFormat="1" applyFont="1" applyFill="1" applyBorder="1" applyAlignment="1">
      <alignment horizontal="right"/>
    </xf>
    <xf numFmtId="0" fontId="3" fillId="3" borderId="24" xfId="1" applyFont="1" applyFill="1" applyBorder="1" applyAlignment="1">
      <alignment horizontal="center"/>
    </xf>
    <xf numFmtId="1" fontId="3" fillId="3" borderId="24" xfId="1" applyNumberFormat="1" applyFont="1" applyFill="1" applyBorder="1" applyAlignment="1">
      <alignment horizontal="center"/>
    </xf>
    <xf numFmtId="0" fontId="3" fillId="3" borderId="25" xfId="1" applyFont="1" applyFill="1" applyBorder="1" applyAlignment="1">
      <alignment horizontal="center"/>
    </xf>
    <xf numFmtId="0" fontId="2" fillId="3" borderId="36" xfId="1" applyFill="1" applyBorder="1"/>
    <xf numFmtId="0" fontId="2" fillId="3" borderId="13" xfId="1" applyFill="1" applyBorder="1"/>
    <xf numFmtId="0" fontId="3" fillId="0" borderId="0" xfId="1" applyFont="1" applyAlignment="1">
      <alignment horizontal="right"/>
    </xf>
    <xf numFmtId="0" fontId="7" fillId="14" borderId="12" xfId="1" applyFont="1" applyFill="1" applyBorder="1" applyAlignment="1">
      <alignment horizontal="center"/>
    </xf>
    <xf numFmtId="0" fontId="2" fillId="0" borderId="0" xfId="1" applyAlignment="1" applyProtection="1">
      <alignment vertical="top"/>
      <protection locked="0"/>
    </xf>
    <xf numFmtId="0" fontId="3" fillId="0" borderId="38" xfId="1" applyFont="1" applyBorder="1" applyAlignment="1" applyProtection="1">
      <alignment horizontal="left" vertical="top"/>
      <protection locked="0"/>
    </xf>
    <xf numFmtId="0" fontId="3" fillId="0" borderId="40" xfId="1" applyFont="1" applyBorder="1" applyAlignment="1" applyProtection="1">
      <alignment horizontal="left" vertical="top"/>
      <protection locked="0"/>
    </xf>
    <xf numFmtId="0" fontId="2" fillId="0" borderId="3" xfId="1" applyBorder="1" applyAlignment="1" applyProtection="1">
      <alignment horizontal="center" vertical="center"/>
      <protection locked="0"/>
    </xf>
    <xf numFmtId="0" fontId="2" fillId="0" borderId="37" xfId="1" applyBorder="1" applyAlignment="1" applyProtection="1">
      <alignment horizontal="left" vertical="top"/>
      <protection locked="0"/>
    </xf>
    <xf numFmtId="0" fontId="2" fillId="0" borderId="5" xfId="1" applyBorder="1" applyAlignment="1" applyProtection="1">
      <alignment horizontal="center" vertical="center"/>
      <protection locked="0"/>
    </xf>
    <xf numFmtId="0" fontId="2" fillId="0" borderId="36" xfId="1" applyBorder="1" applyAlignment="1" applyProtection="1">
      <alignment horizontal="center" vertical="center"/>
      <protection locked="0"/>
    </xf>
    <xf numFmtId="0" fontId="3" fillId="0" borderId="38" xfId="1" applyFont="1" applyBorder="1"/>
    <xf numFmtId="0" fontId="3" fillId="0" borderId="39" xfId="1" applyFont="1" applyBorder="1"/>
    <xf numFmtId="0" fontId="3" fillId="0" borderId="40" xfId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0" fontId="3" fillId="0" borderId="3" xfId="1" quotePrefix="1" applyFont="1" applyBorder="1" applyAlignment="1">
      <alignment horizontal="center"/>
    </xf>
    <xf numFmtId="0" fontId="17" fillId="0" borderId="4" xfId="1" applyFont="1" applyBorder="1"/>
    <xf numFmtId="0" fontId="3" fillId="0" borderId="4" xfId="1" applyFont="1" applyBorder="1"/>
    <xf numFmtId="0" fontId="2" fillId="0" borderId="0" xfId="1" applyAlignment="1">
      <alignment horizontal="center"/>
    </xf>
    <xf numFmtId="0" fontId="2" fillId="0" borderId="5" xfId="1" applyBorder="1" applyAlignment="1">
      <alignment horizontal="center"/>
    </xf>
    <xf numFmtId="0" fontId="2" fillId="0" borderId="41" xfId="1" applyBorder="1"/>
    <xf numFmtId="0" fontId="2" fillId="0" borderId="19" xfId="1" applyBorder="1"/>
    <xf numFmtId="0" fontId="2" fillId="0" borderId="36" xfId="1" applyBorder="1"/>
    <xf numFmtId="0" fontId="3" fillId="0" borderId="41" xfId="1" applyFont="1" applyBorder="1"/>
    <xf numFmtId="0" fontId="3" fillId="0" borderId="19" xfId="1" applyFont="1" applyBorder="1"/>
    <xf numFmtId="0" fontId="3" fillId="0" borderId="19" xfId="1" applyFont="1" applyBorder="1" applyAlignment="1">
      <alignment horizontal="center"/>
    </xf>
    <xf numFmtId="0" fontId="2" fillId="0" borderId="36" xfId="1" applyBorder="1" applyAlignment="1">
      <alignment horizontal="center"/>
    </xf>
    <xf numFmtId="0" fontId="18" fillId="0" borderId="0" xfId="1" applyFont="1"/>
    <xf numFmtId="0" fontId="2" fillId="0" borderId="37" xfId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6" fillId="0" borderId="0" xfId="1" applyFont="1"/>
    <xf numFmtId="0" fontId="19" fillId="0" borderId="0" xfId="1" applyFont="1"/>
    <xf numFmtId="0" fontId="6" fillId="0" borderId="0" xfId="1" applyFont="1" applyAlignment="1">
      <alignment horizontal="center"/>
    </xf>
    <xf numFmtId="14" fontId="6" fillId="0" borderId="37" xfId="1" applyNumberFormat="1" applyFont="1" applyBorder="1" applyAlignment="1">
      <alignment horizontal="center" vertical="center"/>
    </xf>
    <xf numFmtId="2" fontId="6" fillId="0" borderId="37" xfId="1" applyNumberFormat="1" applyFont="1" applyBorder="1" applyAlignment="1">
      <alignment horizontal="center" vertical="center"/>
    </xf>
    <xf numFmtId="0" fontId="20" fillId="0" borderId="0" xfId="1" applyFont="1"/>
    <xf numFmtId="0" fontId="3" fillId="0" borderId="0" xfId="1" applyFont="1" applyAlignment="1">
      <alignment horizontal="left"/>
    </xf>
    <xf numFmtId="0" fontId="6" fillId="14" borderId="37" xfId="1" applyFont="1" applyFill="1" applyBorder="1" applyAlignment="1">
      <alignment horizontal="center"/>
    </xf>
    <xf numFmtId="0" fontId="6" fillId="14" borderId="37" xfId="1" applyFont="1" applyFill="1" applyBorder="1" applyAlignment="1" applyProtection="1">
      <alignment horizontal="center"/>
      <protection locked="0"/>
    </xf>
    <xf numFmtId="0" fontId="6" fillId="2" borderId="37" xfId="1" applyFont="1" applyFill="1" applyBorder="1" applyAlignment="1">
      <alignment horizontal="center"/>
    </xf>
    <xf numFmtId="0" fontId="6" fillId="2" borderId="37" xfId="1" applyFont="1" applyFill="1" applyBorder="1" applyAlignment="1" applyProtection="1">
      <alignment horizontal="center"/>
      <protection locked="0"/>
    </xf>
    <xf numFmtId="0" fontId="6" fillId="7" borderId="37" xfId="1" applyFont="1" applyFill="1" applyBorder="1" applyAlignment="1">
      <alignment horizontal="center"/>
    </xf>
    <xf numFmtId="0" fontId="6" fillId="7" borderId="37" xfId="1" applyFont="1" applyFill="1" applyBorder="1" applyAlignment="1" applyProtection="1">
      <alignment horizontal="center"/>
      <protection locked="0"/>
    </xf>
    <xf numFmtId="0" fontId="6" fillId="17" borderId="37" xfId="1" applyFont="1" applyFill="1" applyBorder="1" applyAlignment="1">
      <alignment horizontal="center"/>
    </xf>
    <xf numFmtId="0" fontId="6" fillId="17" borderId="37" xfId="1" applyFont="1" applyFill="1" applyBorder="1" applyAlignment="1" applyProtection="1">
      <alignment horizontal="center"/>
      <protection locked="0"/>
    </xf>
    <xf numFmtId="0" fontId="6" fillId="0" borderId="6" xfId="1" applyFont="1" applyBorder="1"/>
    <xf numFmtId="0" fontId="6" fillId="0" borderId="7" xfId="1" applyFont="1" applyBorder="1"/>
    <xf numFmtId="0" fontId="3" fillId="0" borderId="7" xfId="1" applyFont="1" applyBorder="1"/>
    <xf numFmtId="0" fontId="3" fillId="0" borderId="7" xfId="1" applyFont="1" applyBorder="1" applyAlignment="1">
      <alignment horizontal="left"/>
    </xf>
    <xf numFmtId="0" fontId="6" fillId="0" borderId="8" xfId="1" applyFont="1" applyBorder="1"/>
    <xf numFmtId="0" fontId="6" fillId="0" borderId="42" xfId="1" applyFont="1" applyBorder="1"/>
    <xf numFmtId="0" fontId="15" fillId="0" borderId="0" xfId="1" applyFont="1"/>
    <xf numFmtId="0" fontId="6" fillId="0" borderId="18" xfId="1" applyFont="1" applyBorder="1"/>
    <xf numFmtId="0" fontId="21" fillId="0" borderId="0" xfId="1" applyFont="1"/>
    <xf numFmtId="0" fontId="6" fillId="0" borderId="0" xfId="1" applyFont="1" applyAlignment="1">
      <alignment horizontal="left"/>
    </xf>
    <xf numFmtId="0" fontId="6" fillId="0" borderId="40" xfId="1" applyFont="1" applyBorder="1"/>
    <xf numFmtId="0" fontId="16" fillId="0" borderId="0" xfId="1" applyFont="1"/>
    <xf numFmtId="0" fontId="6" fillId="5" borderId="37" xfId="1" applyFont="1" applyFill="1" applyBorder="1" applyAlignment="1">
      <alignment horizontal="center"/>
    </xf>
    <xf numFmtId="0" fontId="6" fillId="5" borderId="37" xfId="1" applyFont="1" applyFill="1" applyBorder="1" applyAlignment="1" applyProtection="1">
      <alignment horizontal="center"/>
      <protection locked="0"/>
    </xf>
    <xf numFmtId="0" fontId="6" fillId="0" borderId="37" xfId="1" applyFont="1" applyBorder="1" applyAlignment="1">
      <alignment horizontal="center"/>
    </xf>
    <xf numFmtId="0" fontId="6" fillId="0" borderId="37" xfId="1" applyFont="1" applyBorder="1" applyAlignment="1" applyProtection="1">
      <alignment horizontal="center"/>
      <protection locked="0"/>
    </xf>
    <xf numFmtId="0" fontId="6" fillId="0" borderId="37" xfId="1" applyFont="1" applyBorder="1" applyProtection="1">
      <protection locked="0"/>
    </xf>
    <xf numFmtId="0" fontId="11" fillId="0" borderId="0" xfId="1" applyFont="1"/>
    <xf numFmtId="0" fontId="2" fillId="0" borderId="37" xfId="1" applyBorder="1" applyAlignment="1" applyProtection="1">
      <alignment horizontal="center"/>
      <protection locked="0"/>
    </xf>
    <xf numFmtId="0" fontId="2" fillId="0" borderId="37" xfId="1" applyBorder="1"/>
    <xf numFmtId="0" fontId="6" fillId="0" borderId="37" xfId="1" applyFont="1" applyBorder="1" applyAlignment="1" applyProtection="1">
      <alignment horizontal="center" wrapText="1"/>
      <protection locked="0"/>
    </xf>
    <xf numFmtId="0" fontId="22" fillId="0" borderId="0" xfId="1" applyFont="1"/>
    <xf numFmtId="0" fontId="6" fillId="0" borderId="9" xfId="1" applyFont="1" applyBorder="1"/>
    <xf numFmtId="0" fontId="6" fillId="0" borderId="10" xfId="1" applyFont="1" applyBorder="1"/>
    <xf numFmtId="0" fontId="6" fillId="0" borderId="11" xfId="1" applyFont="1" applyBorder="1"/>
    <xf numFmtId="0" fontId="23" fillId="0" borderId="0" xfId="1" applyFont="1"/>
    <xf numFmtId="0" fontId="24" fillId="0" borderId="0" xfId="1" applyFont="1"/>
    <xf numFmtId="0" fontId="1" fillId="0" borderId="11" xfId="2" applyBorder="1" applyAlignment="1">
      <alignment horizontal="center"/>
    </xf>
    <xf numFmtId="0" fontId="1" fillId="0" borderId="10" xfId="2" applyBorder="1" applyAlignment="1">
      <alignment horizontal="center"/>
    </xf>
    <xf numFmtId="0" fontId="1" fillId="0" borderId="9" xfId="2" applyBorder="1" applyAlignment="1">
      <alignment horizontal="center"/>
    </xf>
    <xf numFmtId="0" fontId="1" fillId="0" borderId="0" xfId="2"/>
    <xf numFmtId="0" fontId="25" fillId="0" borderId="0" xfId="2" applyFont="1"/>
    <xf numFmtId="0" fontId="1" fillId="0" borderId="0" xfId="2" applyAlignment="1">
      <alignment horizontal="center"/>
    </xf>
    <xf numFmtId="0" fontId="1" fillId="0" borderId="18" xfId="2" applyBorder="1" applyAlignment="1">
      <alignment horizontal="center"/>
    </xf>
    <xf numFmtId="2" fontId="1" fillId="0" borderId="42" xfId="2" applyNumberFormat="1" applyBorder="1" applyAlignment="1">
      <alignment horizontal="center"/>
    </xf>
    <xf numFmtId="164" fontId="1" fillId="0" borderId="0" xfId="2" applyNumberFormat="1"/>
    <xf numFmtId="165" fontId="1" fillId="0" borderId="0" xfId="2" applyNumberFormat="1"/>
    <xf numFmtId="0" fontId="1" fillId="4" borderId="0" xfId="2" applyFill="1" applyAlignment="1">
      <alignment horizontal="center"/>
    </xf>
    <xf numFmtId="0" fontId="1" fillId="15" borderId="0" xfId="2" applyFill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Border="1" applyAlignment="1">
      <alignment horizontal="center"/>
    </xf>
    <xf numFmtId="0" fontId="6" fillId="0" borderId="0" xfId="1" applyFont="1" applyAlignment="1">
      <alignment horizontal="center"/>
    </xf>
    <xf numFmtId="0" fontId="7" fillId="2" borderId="6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11" fillId="4" borderId="18" xfId="1" applyFont="1" applyFill="1" applyBorder="1" applyAlignment="1">
      <alignment horizontal="center" vertical="center"/>
    </xf>
    <xf numFmtId="0" fontId="11" fillId="4" borderId="11" xfId="1" applyFont="1" applyFill="1" applyBorder="1" applyAlignment="1">
      <alignment horizontal="center" vertical="center"/>
    </xf>
    <xf numFmtId="0" fontId="2" fillId="0" borderId="19" xfId="1" applyBorder="1"/>
    <xf numFmtId="0" fontId="2" fillId="0" borderId="0" xfId="1"/>
    <xf numFmtId="0" fontId="3" fillId="9" borderId="21" xfId="1" applyFont="1" applyFill="1" applyBorder="1" applyAlignment="1">
      <alignment horizontal="center" vertical="center" wrapText="1"/>
    </xf>
    <xf numFmtId="0" fontId="3" fillId="9" borderId="27" xfId="1" applyFont="1" applyFill="1" applyBorder="1" applyAlignment="1">
      <alignment horizontal="center" vertical="center" wrapText="1"/>
    </xf>
    <xf numFmtId="0" fontId="3" fillId="9" borderId="22" xfId="1" applyFont="1" applyFill="1" applyBorder="1" applyAlignment="1">
      <alignment horizontal="center" vertical="center" wrapText="1"/>
    </xf>
    <xf numFmtId="0" fontId="3" fillId="9" borderId="28" xfId="1" applyFont="1" applyFill="1" applyBorder="1" applyAlignment="1">
      <alignment horizontal="center" vertical="center" wrapText="1"/>
    </xf>
    <xf numFmtId="0" fontId="3" fillId="9" borderId="1" xfId="1" applyFont="1" applyFill="1" applyBorder="1" applyAlignment="1">
      <alignment horizontal="center" vertical="center" wrapText="1"/>
    </xf>
    <xf numFmtId="0" fontId="3" fillId="9" borderId="30" xfId="1" applyFont="1" applyFill="1" applyBorder="1" applyAlignment="1">
      <alignment horizontal="center" vertical="center" wrapText="1"/>
    </xf>
    <xf numFmtId="0" fontId="3" fillId="0" borderId="15" xfId="1" applyFont="1" applyBorder="1" applyAlignment="1">
      <alignment horizontal="center"/>
    </xf>
    <xf numFmtId="0" fontId="3" fillId="0" borderId="17" xfId="1" applyFont="1" applyBorder="1" applyAlignment="1">
      <alignment horizontal="center"/>
    </xf>
    <xf numFmtId="0" fontId="14" fillId="0" borderId="16" xfId="1" applyFont="1" applyBorder="1" applyAlignment="1">
      <alignment horizontal="center" vertical="center"/>
    </xf>
    <xf numFmtId="0" fontId="2" fillId="0" borderId="17" xfId="1" applyBorder="1" applyAlignment="1">
      <alignment horizontal="center" vertical="center"/>
    </xf>
    <xf numFmtId="0" fontId="2" fillId="0" borderId="16" xfId="1" applyBorder="1" applyAlignment="1">
      <alignment horizontal="center" vertical="center"/>
    </xf>
    <xf numFmtId="0" fontId="6" fillId="0" borderId="1" xfId="1" applyFont="1" applyBorder="1" applyAlignment="1" applyProtection="1">
      <alignment horizontal="left" vertical="top"/>
      <protection locked="0"/>
    </xf>
    <xf numFmtId="0" fontId="6" fillId="0" borderId="2" xfId="1" applyFont="1" applyBorder="1" applyAlignment="1" applyProtection="1">
      <alignment horizontal="left" vertical="top"/>
      <protection locked="0"/>
    </xf>
    <xf numFmtId="0" fontId="6" fillId="0" borderId="3" xfId="1" applyFont="1" applyBorder="1" applyAlignment="1" applyProtection="1">
      <alignment horizontal="left" vertical="top"/>
      <protection locked="0"/>
    </xf>
    <xf numFmtId="0" fontId="6" fillId="0" borderId="4" xfId="1" applyFont="1" applyBorder="1" applyAlignment="1" applyProtection="1">
      <alignment horizontal="left" vertical="top"/>
      <protection locked="0"/>
    </xf>
    <xf numFmtId="0" fontId="6" fillId="0" borderId="0" xfId="1" applyFont="1" applyAlignment="1" applyProtection="1">
      <alignment horizontal="left" vertical="top"/>
      <protection locked="0"/>
    </xf>
    <xf numFmtId="0" fontId="6" fillId="0" borderId="5" xfId="1" applyFont="1" applyBorder="1" applyAlignment="1" applyProtection="1">
      <alignment horizontal="left" vertical="top"/>
      <protection locked="0"/>
    </xf>
    <xf numFmtId="0" fontId="6" fillId="0" borderId="41" xfId="1" applyFont="1" applyBorder="1" applyAlignment="1" applyProtection="1">
      <alignment horizontal="left" vertical="top"/>
      <protection locked="0"/>
    </xf>
    <xf numFmtId="0" fontId="6" fillId="0" borderId="19" xfId="1" applyFont="1" applyBorder="1" applyAlignment="1" applyProtection="1">
      <alignment horizontal="left" vertical="top"/>
      <protection locked="0"/>
    </xf>
    <xf numFmtId="0" fontId="6" fillId="0" borderId="36" xfId="1" applyFont="1" applyBorder="1" applyAlignment="1" applyProtection="1">
      <alignment horizontal="left" vertical="top"/>
      <protection locked="0"/>
    </xf>
    <xf numFmtId="0" fontId="3" fillId="0" borderId="37" xfId="1" applyFont="1" applyBorder="1" applyAlignment="1" applyProtection="1">
      <alignment horizontal="left" vertical="top"/>
      <protection locked="0"/>
    </xf>
    <xf numFmtId="0" fontId="3" fillId="0" borderId="38" xfId="1" applyFont="1" applyBorder="1" applyAlignment="1" applyProtection="1">
      <alignment horizontal="left" vertical="top"/>
      <protection locked="0"/>
    </xf>
    <xf numFmtId="0" fontId="3" fillId="0" borderId="39" xfId="1" applyFont="1" applyBorder="1" applyAlignment="1" applyProtection="1">
      <alignment horizontal="left" vertical="top"/>
      <protection locked="0"/>
    </xf>
    <xf numFmtId="0" fontId="3" fillId="0" borderId="40" xfId="1" applyFont="1" applyBorder="1" applyAlignment="1" applyProtection="1">
      <alignment horizontal="left" vertical="top"/>
      <protection locked="0"/>
    </xf>
    <xf numFmtId="0" fontId="2" fillId="0" borderId="1" xfId="1" applyBorder="1" applyAlignment="1" applyProtection="1">
      <alignment horizontal="center" vertical="center"/>
      <protection locked="0"/>
    </xf>
    <xf numFmtId="0" fontId="2" fillId="0" borderId="2" xfId="1" applyBorder="1" applyAlignment="1" applyProtection="1">
      <alignment horizontal="center" vertical="center"/>
      <protection locked="0"/>
    </xf>
    <xf numFmtId="0" fontId="2" fillId="0" borderId="3" xfId="1" applyBorder="1" applyAlignment="1" applyProtection="1">
      <alignment horizontal="center" vertical="center"/>
      <protection locked="0"/>
    </xf>
    <xf numFmtId="0" fontId="2" fillId="0" borderId="4" xfId="1" applyBorder="1" applyAlignment="1" applyProtection="1">
      <alignment horizontal="center" vertical="center"/>
      <protection locked="0"/>
    </xf>
    <xf numFmtId="0" fontId="2" fillId="0" borderId="0" xfId="1" applyAlignment="1" applyProtection="1">
      <alignment horizontal="center" vertical="center"/>
      <protection locked="0"/>
    </xf>
    <xf numFmtId="0" fontId="2" fillId="0" borderId="5" xfId="1" applyBorder="1" applyAlignment="1" applyProtection="1">
      <alignment horizontal="center" vertical="center"/>
      <protection locked="0"/>
    </xf>
    <xf numFmtId="0" fontId="2" fillId="0" borderId="41" xfId="1" applyBorder="1" applyAlignment="1" applyProtection="1">
      <alignment horizontal="center" vertical="center"/>
      <protection locked="0"/>
    </xf>
    <xf numFmtId="0" fontId="2" fillId="0" borderId="19" xfId="1" applyBorder="1" applyAlignment="1" applyProtection="1">
      <alignment horizontal="center" vertical="center"/>
      <protection locked="0"/>
    </xf>
    <xf numFmtId="0" fontId="2" fillId="0" borderId="36" xfId="1" applyBorder="1" applyAlignment="1" applyProtection="1">
      <alignment horizontal="center" vertical="center"/>
      <protection locked="0"/>
    </xf>
    <xf numFmtId="0" fontId="6" fillId="0" borderId="37" xfId="1" applyFont="1" applyBorder="1" applyAlignment="1" applyProtection="1">
      <alignment horizontal="left" vertical="top"/>
      <protection locked="0"/>
    </xf>
    <xf numFmtId="0" fontId="2" fillId="0" borderId="37" xfId="1" applyBorder="1" applyAlignment="1" applyProtection="1">
      <alignment horizontal="left" vertical="top"/>
      <protection locked="0"/>
    </xf>
    <xf numFmtId="0" fontId="6" fillId="0" borderId="38" xfId="1" applyFont="1" applyBorder="1" applyAlignment="1">
      <alignment horizontal="center"/>
    </xf>
    <xf numFmtId="0" fontId="6" fillId="0" borderId="39" xfId="1" applyFont="1" applyBorder="1" applyAlignment="1">
      <alignment horizontal="center"/>
    </xf>
    <xf numFmtId="0" fontId="2" fillId="0" borderId="37" xfId="1" applyBorder="1" applyAlignment="1">
      <alignment horizont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1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36" xfId="1" applyFont="1" applyBorder="1" applyAlignment="1">
      <alignment horizontal="center" vertical="center"/>
    </xf>
    <xf numFmtId="0" fontId="6" fillId="0" borderId="40" xfId="1" applyFont="1" applyBorder="1"/>
    <xf numFmtId="0" fontId="6" fillId="0" borderId="37" xfId="1" applyFont="1" applyBorder="1"/>
    <xf numFmtId="0" fontId="6" fillId="0" borderId="38" xfId="1" applyFont="1" applyBorder="1" applyAlignment="1">
      <alignment horizontal="center" vertical="center"/>
    </xf>
    <xf numFmtId="0" fontId="6" fillId="0" borderId="39" xfId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2" fillId="0" borderId="37" xfId="1" applyBorder="1" applyAlignment="1">
      <alignment horizontal="center" vertical="center"/>
    </xf>
    <xf numFmtId="0" fontId="2" fillId="0" borderId="39" xfId="1" applyBorder="1" applyAlignment="1">
      <alignment horizontal="center" vertical="center"/>
    </xf>
    <xf numFmtId="0" fontId="2" fillId="0" borderId="40" xfId="1" applyBorder="1" applyAlignment="1">
      <alignment horizontal="center" vertical="center"/>
    </xf>
    <xf numFmtId="0" fontId="6" fillId="0" borderId="0" xfId="1" applyFont="1"/>
    <xf numFmtId="0" fontId="2" fillId="0" borderId="37" xfId="1" applyBorder="1"/>
    <xf numFmtId="0" fontId="0" fillId="0" borderId="0" xfId="0" applyAlignment="1">
      <alignment vertical="center"/>
    </xf>
  </cellXfs>
  <cellStyles count="3">
    <cellStyle name="Normal" xfId="0" builtinId="0"/>
    <cellStyle name="Normal 2" xfId="1" xr:uid="{2A8EC488-7F1B-4F1A-9DB9-CAABD52E00E9}"/>
    <cellStyle name="Normal 3" xfId="2" xr:uid="{2E67BF78-2749-409A-8A50-CED17118AEA5}"/>
  </cellStyles>
  <dxfs count="45"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>
        <top style="medium">
          <color indexed="64"/>
        </top>
      </border>
    </dxf>
    <dxf>
      <font>
        <b/>
      </font>
    </dxf>
    <dxf>
      <border outline="0">
        <left style="medium">
          <color indexed="64"/>
        </left>
        <bottom style="medium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numFmt numFmtId="164" formatCode="0.0"/>
    </dxf>
    <dxf>
      <numFmt numFmtId="2" formatCode="0.00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261937</xdr:colOff>
      <xdr:row>1</xdr:row>
      <xdr:rowOff>28576</xdr:rowOff>
    </xdr:from>
    <xdr:to>
      <xdr:col>4</xdr:col>
      <xdr:colOff>257175</xdr:colOff>
      <xdr:row>4</xdr:row>
      <xdr:rowOff>76201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686A20CF-F54F-4023-BD69-8C318D122132}"/>
            </a:ext>
          </a:extLst>
        </xdr:cNvPr>
        <xdr:cNvSpPr/>
      </xdr:nvSpPr>
      <xdr:spPr bwMode="auto">
        <a:xfrm rot="10800000">
          <a:off x="3524250" y="214314"/>
          <a:ext cx="762000" cy="590550"/>
        </a:xfrm>
        <a:prstGeom prst="rightArrow">
          <a:avLst/>
        </a:prstGeom>
        <a:ln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533399</xdr:colOff>
      <xdr:row>1</xdr:row>
      <xdr:rowOff>52389</xdr:rowOff>
    </xdr:from>
    <xdr:to>
      <xdr:col>6</xdr:col>
      <xdr:colOff>500062</xdr:colOff>
      <xdr:row>4</xdr:row>
      <xdr:rowOff>66676</xdr:rowOff>
    </xdr:to>
    <xdr:sp macro="" textlink="">
      <xdr:nvSpPr>
        <xdr:cNvPr id="3" name="Arrow: Right 2">
          <a:extLst>
            <a:ext uri="{FF2B5EF4-FFF2-40B4-BE49-F238E27FC236}">
              <a16:creationId xmlns:a16="http://schemas.microsoft.com/office/drawing/2014/main" id="{B5755123-D8B5-484D-8B4E-A5E1A302A424}"/>
            </a:ext>
          </a:extLst>
        </xdr:cNvPr>
        <xdr:cNvSpPr/>
      </xdr:nvSpPr>
      <xdr:spPr bwMode="auto">
        <a:xfrm>
          <a:off x="5329237" y="238127"/>
          <a:ext cx="733425" cy="557212"/>
        </a:xfrm>
        <a:prstGeom prst="rightArrow">
          <a:avLst/>
        </a:prstGeom>
        <a:ln>
          <a:headEnd type="none" w="med" len="med"/>
          <a:tailEnd type="none" w="med" len="med"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35720</xdr:colOff>
      <xdr:row>15</xdr:row>
      <xdr:rowOff>154781</xdr:rowOff>
    </xdr:from>
    <xdr:to>
      <xdr:col>12</xdr:col>
      <xdr:colOff>595314</xdr:colOff>
      <xdr:row>17</xdr:row>
      <xdr:rowOff>11907</xdr:rowOff>
    </xdr:to>
    <xdr:sp macro="" textlink="">
      <xdr:nvSpPr>
        <xdr:cNvPr id="3" name="Flèche vers le bas 1">
          <a:extLst>
            <a:ext uri="{FF2B5EF4-FFF2-40B4-BE49-F238E27FC236}">
              <a16:creationId xmlns:a16="http://schemas.microsoft.com/office/drawing/2014/main" id="{C33EA4FF-C6B4-4D0E-80EF-13263A3F7B3F}"/>
            </a:ext>
          </a:extLst>
        </xdr:cNvPr>
        <xdr:cNvSpPr/>
      </xdr:nvSpPr>
      <xdr:spPr bwMode="auto">
        <a:xfrm>
          <a:off x="6512720" y="2707481"/>
          <a:ext cx="559594" cy="257176"/>
        </a:xfrm>
        <a:prstGeom prst="downArrow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17</xdr:row>
      <xdr:rowOff>0</xdr:rowOff>
    </xdr:from>
    <xdr:to>
      <xdr:col>20</xdr:col>
      <xdr:colOff>152400</xdr:colOff>
      <xdr:row>18</xdr:row>
      <xdr:rowOff>-1</xdr:rowOff>
    </xdr:to>
    <xdr:sp macro="" textlink="">
      <xdr:nvSpPr>
        <xdr:cNvPr id="3" name="AutoShape 13">
          <a:extLst>
            <a:ext uri="{FF2B5EF4-FFF2-40B4-BE49-F238E27FC236}">
              <a16:creationId xmlns:a16="http://schemas.microsoft.com/office/drawing/2014/main" id="{506FFABC-653D-4B2E-A56E-F19FEEBA6071}"/>
            </a:ext>
          </a:extLst>
        </xdr:cNvPr>
        <xdr:cNvSpPr>
          <a:spLocks noChangeArrowheads="1"/>
        </xdr:cNvSpPr>
      </xdr:nvSpPr>
      <xdr:spPr bwMode="auto">
        <a:xfrm>
          <a:off x="7543800" y="2819400"/>
          <a:ext cx="152400" cy="166687"/>
        </a:xfrm>
        <a:prstGeom prst="irregularSeal1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152400</xdr:colOff>
      <xdr:row>21</xdr:row>
      <xdr:rowOff>0</xdr:rowOff>
    </xdr:to>
    <xdr:sp macro="" textlink="">
      <xdr:nvSpPr>
        <xdr:cNvPr id="4" name="AutoShape 13">
          <a:extLst>
            <a:ext uri="{FF2B5EF4-FFF2-40B4-BE49-F238E27FC236}">
              <a16:creationId xmlns:a16="http://schemas.microsoft.com/office/drawing/2014/main" id="{D1E9AD72-1503-427E-A0C8-FB4D52114A50}"/>
            </a:ext>
          </a:extLst>
        </xdr:cNvPr>
        <xdr:cNvSpPr>
          <a:spLocks noChangeArrowheads="1"/>
        </xdr:cNvSpPr>
      </xdr:nvSpPr>
      <xdr:spPr bwMode="auto">
        <a:xfrm>
          <a:off x="7543800" y="3319463"/>
          <a:ext cx="152400" cy="166687"/>
        </a:xfrm>
        <a:prstGeom prst="irregularSeal1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152400</xdr:colOff>
      <xdr:row>27</xdr:row>
      <xdr:rowOff>0</xdr:rowOff>
    </xdr:to>
    <xdr:sp macro="" textlink="">
      <xdr:nvSpPr>
        <xdr:cNvPr id="5" name="AutoShape 13">
          <a:extLst>
            <a:ext uri="{FF2B5EF4-FFF2-40B4-BE49-F238E27FC236}">
              <a16:creationId xmlns:a16="http://schemas.microsoft.com/office/drawing/2014/main" id="{7EC9D122-3AB6-4473-9593-587B1DA050F6}"/>
            </a:ext>
          </a:extLst>
        </xdr:cNvPr>
        <xdr:cNvSpPr>
          <a:spLocks noChangeArrowheads="1"/>
        </xdr:cNvSpPr>
      </xdr:nvSpPr>
      <xdr:spPr bwMode="auto">
        <a:xfrm>
          <a:off x="7543800" y="4319588"/>
          <a:ext cx="152400" cy="166687"/>
        </a:xfrm>
        <a:prstGeom prst="irregularSeal1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152400</xdr:colOff>
      <xdr:row>30</xdr:row>
      <xdr:rowOff>-1</xdr:rowOff>
    </xdr:to>
    <xdr:sp macro="" textlink="">
      <xdr:nvSpPr>
        <xdr:cNvPr id="6" name="AutoShape 13">
          <a:extLst>
            <a:ext uri="{FF2B5EF4-FFF2-40B4-BE49-F238E27FC236}">
              <a16:creationId xmlns:a16="http://schemas.microsoft.com/office/drawing/2014/main" id="{96FAF7BD-CC8D-4DE4-8227-6559833815B2}"/>
            </a:ext>
          </a:extLst>
        </xdr:cNvPr>
        <xdr:cNvSpPr>
          <a:spLocks noChangeArrowheads="1"/>
        </xdr:cNvSpPr>
      </xdr:nvSpPr>
      <xdr:spPr bwMode="auto">
        <a:xfrm>
          <a:off x="7543800" y="4819650"/>
          <a:ext cx="152400" cy="166687"/>
        </a:xfrm>
        <a:prstGeom prst="irregularSeal1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32</xdr:row>
      <xdr:rowOff>0</xdr:rowOff>
    </xdr:from>
    <xdr:to>
      <xdr:col>20</xdr:col>
      <xdr:colOff>152400</xdr:colOff>
      <xdr:row>33</xdr:row>
      <xdr:rowOff>0</xdr:rowOff>
    </xdr:to>
    <xdr:sp macro="" textlink="">
      <xdr:nvSpPr>
        <xdr:cNvPr id="7" name="AutoShape 13">
          <a:extLst>
            <a:ext uri="{FF2B5EF4-FFF2-40B4-BE49-F238E27FC236}">
              <a16:creationId xmlns:a16="http://schemas.microsoft.com/office/drawing/2014/main" id="{5F53E377-FC94-4045-9F04-472E624B3EC0}"/>
            </a:ext>
          </a:extLst>
        </xdr:cNvPr>
        <xdr:cNvSpPr>
          <a:spLocks noChangeArrowheads="1"/>
        </xdr:cNvSpPr>
      </xdr:nvSpPr>
      <xdr:spPr bwMode="auto">
        <a:xfrm>
          <a:off x="7543800" y="5319713"/>
          <a:ext cx="152400" cy="166687"/>
        </a:xfrm>
        <a:prstGeom prst="irregularSeal1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35</xdr:row>
      <xdr:rowOff>0</xdr:rowOff>
    </xdr:from>
    <xdr:to>
      <xdr:col>20</xdr:col>
      <xdr:colOff>152400</xdr:colOff>
      <xdr:row>36</xdr:row>
      <xdr:rowOff>-1</xdr:rowOff>
    </xdr:to>
    <xdr:sp macro="" textlink="">
      <xdr:nvSpPr>
        <xdr:cNvPr id="8" name="AutoShape 13">
          <a:extLst>
            <a:ext uri="{FF2B5EF4-FFF2-40B4-BE49-F238E27FC236}">
              <a16:creationId xmlns:a16="http://schemas.microsoft.com/office/drawing/2014/main" id="{7EED08F5-1B13-40DD-83C9-0333663AFE4A}"/>
            </a:ext>
          </a:extLst>
        </xdr:cNvPr>
        <xdr:cNvSpPr>
          <a:spLocks noChangeArrowheads="1"/>
        </xdr:cNvSpPr>
      </xdr:nvSpPr>
      <xdr:spPr bwMode="auto">
        <a:xfrm>
          <a:off x="7543800" y="5819775"/>
          <a:ext cx="152400" cy="166687"/>
        </a:xfrm>
        <a:prstGeom prst="irregularSeal1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38</xdr:row>
      <xdr:rowOff>0</xdr:rowOff>
    </xdr:from>
    <xdr:to>
      <xdr:col>20</xdr:col>
      <xdr:colOff>152400</xdr:colOff>
      <xdr:row>39</xdr:row>
      <xdr:rowOff>0</xdr:rowOff>
    </xdr:to>
    <xdr:sp macro="" textlink="">
      <xdr:nvSpPr>
        <xdr:cNvPr id="9" name="AutoShape 13">
          <a:extLst>
            <a:ext uri="{FF2B5EF4-FFF2-40B4-BE49-F238E27FC236}">
              <a16:creationId xmlns:a16="http://schemas.microsoft.com/office/drawing/2014/main" id="{2636BD57-891E-4A72-A4D1-65D5B8708BAF}"/>
            </a:ext>
          </a:extLst>
        </xdr:cNvPr>
        <xdr:cNvSpPr>
          <a:spLocks noChangeArrowheads="1"/>
        </xdr:cNvSpPr>
      </xdr:nvSpPr>
      <xdr:spPr bwMode="auto">
        <a:xfrm>
          <a:off x="7543800" y="6319838"/>
          <a:ext cx="152400" cy="166687"/>
        </a:xfrm>
        <a:prstGeom prst="irregularSeal1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41</xdr:row>
      <xdr:rowOff>0</xdr:rowOff>
    </xdr:from>
    <xdr:to>
      <xdr:col>20</xdr:col>
      <xdr:colOff>152400</xdr:colOff>
      <xdr:row>42</xdr:row>
      <xdr:rowOff>-1</xdr:rowOff>
    </xdr:to>
    <xdr:sp macro="" textlink="">
      <xdr:nvSpPr>
        <xdr:cNvPr id="10" name="AutoShape 13">
          <a:extLst>
            <a:ext uri="{FF2B5EF4-FFF2-40B4-BE49-F238E27FC236}">
              <a16:creationId xmlns:a16="http://schemas.microsoft.com/office/drawing/2014/main" id="{AA1F4299-6679-40C3-A50A-C32FD7B93111}"/>
            </a:ext>
          </a:extLst>
        </xdr:cNvPr>
        <xdr:cNvSpPr>
          <a:spLocks noChangeArrowheads="1"/>
        </xdr:cNvSpPr>
      </xdr:nvSpPr>
      <xdr:spPr bwMode="auto">
        <a:xfrm>
          <a:off x="7543800" y="6819900"/>
          <a:ext cx="152400" cy="166687"/>
        </a:xfrm>
        <a:prstGeom prst="irregularSeal1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44</xdr:row>
      <xdr:rowOff>0</xdr:rowOff>
    </xdr:from>
    <xdr:to>
      <xdr:col>20</xdr:col>
      <xdr:colOff>152400</xdr:colOff>
      <xdr:row>45</xdr:row>
      <xdr:rowOff>0</xdr:rowOff>
    </xdr:to>
    <xdr:sp macro="" textlink="">
      <xdr:nvSpPr>
        <xdr:cNvPr id="11" name="AutoShape 13">
          <a:extLst>
            <a:ext uri="{FF2B5EF4-FFF2-40B4-BE49-F238E27FC236}">
              <a16:creationId xmlns:a16="http://schemas.microsoft.com/office/drawing/2014/main" id="{03DEC55B-3298-4A0B-AF9C-88626C9E4437}"/>
            </a:ext>
          </a:extLst>
        </xdr:cNvPr>
        <xdr:cNvSpPr>
          <a:spLocks noChangeArrowheads="1"/>
        </xdr:cNvSpPr>
      </xdr:nvSpPr>
      <xdr:spPr bwMode="auto">
        <a:xfrm>
          <a:off x="7543800" y="7319963"/>
          <a:ext cx="152400" cy="166687"/>
        </a:xfrm>
        <a:prstGeom prst="irregularSeal1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47</xdr:row>
      <xdr:rowOff>0</xdr:rowOff>
    </xdr:from>
    <xdr:to>
      <xdr:col>20</xdr:col>
      <xdr:colOff>152400</xdr:colOff>
      <xdr:row>48</xdr:row>
      <xdr:rowOff>-1</xdr:rowOff>
    </xdr:to>
    <xdr:sp macro="" textlink="">
      <xdr:nvSpPr>
        <xdr:cNvPr id="12" name="AutoShape 13">
          <a:extLst>
            <a:ext uri="{FF2B5EF4-FFF2-40B4-BE49-F238E27FC236}">
              <a16:creationId xmlns:a16="http://schemas.microsoft.com/office/drawing/2014/main" id="{D63D3649-B2EC-4B23-A58E-A4C487006FFB}"/>
            </a:ext>
          </a:extLst>
        </xdr:cNvPr>
        <xdr:cNvSpPr>
          <a:spLocks noChangeArrowheads="1"/>
        </xdr:cNvSpPr>
      </xdr:nvSpPr>
      <xdr:spPr bwMode="auto">
        <a:xfrm>
          <a:off x="7543800" y="7820025"/>
          <a:ext cx="152400" cy="166687"/>
        </a:xfrm>
        <a:prstGeom prst="irregularSeal1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50</xdr:row>
      <xdr:rowOff>0</xdr:rowOff>
    </xdr:from>
    <xdr:to>
      <xdr:col>20</xdr:col>
      <xdr:colOff>152400</xdr:colOff>
      <xdr:row>51</xdr:row>
      <xdr:rowOff>0</xdr:rowOff>
    </xdr:to>
    <xdr:sp macro="" textlink="">
      <xdr:nvSpPr>
        <xdr:cNvPr id="13" name="AutoShape 13">
          <a:extLst>
            <a:ext uri="{FF2B5EF4-FFF2-40B4-BE49-F238E27FC236}">
              <a16:creationId xmlns:a16="http://schemas.microsoft.com/office/drawing/2014/main" id="{C056AA9F-847E-4DF0-BA66-F50A1D568646}"/>
            </a:ext>
          </a:extLst>
        </xdr:cNvPr>
        <xdr:cNvSpPr>
          <a:spLocks noChangeArrowheads="1"/>
        </xdr:cNvSpPr>
      </xdr:nvSpPr>
      <xdr:spPr bwMode="auto">
        <a:xfrm>
          <a:off x="7543800" y="8320088"/>
          <a:ext cx="152400" cy="166687"/>
        </a:xfrm>
        <a:prstGeom prst="irregularSeal1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53</xdr:row>
      <xdr:rowOff>0</xdr:rowOff>
    </xdr:from>
    <xdr:to>
      <xdr:col>20</xdr:col>
      <xdr:colOff>152400</xdr:colOff>
      <xdr:row>54</xdr:row>
      <xdr:rowOff>-1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9ECED0DE-4A6A-441F-95BE-1BAD88BF5650}"/>
            </a:ext>
          </a:extLst>
        </xdr:cNvPr>
        <xdr:cNvSpPr>
          <a:spLocks noChangeArrowheads="1"/>
        </xdr:cNvSpPr>
      </xdr:nvSpPr>
      <xdr:spPr bwMode="auto">
        <a:xfrm>
          <a:off x="7543800" y="8820150"/>
          <a:ext cx="152400" cy="166687"/>
        </a:xfrm>
        <a:prstGeom prst="irregularSeal1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56</xdr:row>
      <xdr:rowOff>0</xdr:rowOff>
    </xdr:from>
    <xdr:to>
      <xdr:col>20</xdr:col>
      <xdr:colOff>152400</xdr:colOff>
      <xdr:row>57</xdr:row>
      <xdr:rowOff>0</xdr:rowOff>
    </xdr:to>
    <xdr:sp macro="" textlink="">
      <xdr:nvSpPr>
        <xdr:cNvPr id="15" name="AutoShape 13">
          <a:extLst>
            <a:ext uri="{FF2B5EF4-FFF2-40B4-BE49-F238E27FC236}">
              <a16:creationId xmlns:a16="http://schemas.microsoft.com/office/drawing/2014/main" id="{7BB038E1-BBB5-41F7-ACD6-C88B95BD174B}"/>
            </a:ext>
          </a:extLst>
        </xdr:cNvPr>
        <xdr:cNvSpPr>
          <a:spLocks noChangeArrowheads="1"/>
        </xdr:cNvSpPr>
      </xdr:nvSpPr>
      <xdr:spPr bwMode="auto">
        <a:xfrm>
          <a:off x="7543800" y="9320213"/>
          <a:ext cx="152400" cy="166687"/>
        </a:xfrm>
        <a:prstGeom prst="irregularSeal1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23</xdr:row>
      <xdr:rowOff>0</xdr:rowOff>
    </xdr:from>
    <xdr:to>
      <xdr:col>20</xdr:col>
      <xdr:colOff>152400</xdr:colOff>
      <xdr:row>24</xdr:row>
      <xdr:rowOff>-1</xdr:rowOff>
    </xdr:to>
    <xdr:sp macro="" textlink="">
      <xdr:nvSpPr>
        <xdr:cNvPr id="16" name="AutoShape 13">
          <a:extLst>
            <a:ext uri="{FF2B5EF4-FFF2-40B4-BE49-F238E27FC236}">
              <a16:creationId xmlns:a16="http://schemas.microsoft.com/office/drawing/2014/main" id="{209C5E6A-F21C-433C-B2E7-9C6BA57C7CB9}"/>
            </a:ext>
          </a:extLst>
        </xdr:cNvPr>
        <xdr:cNvSpPr>
          <a:spLocks noChangeArrowheads="1"/>
        </xdr:cNvSpPr>
      </xdr:nvSpPr>
      <xdr:spPr bwMode="auto">
        <a:xfrm>
          <a:off x="7543800" y="3819525"/>
          <a:ext cx="152400" cy="166687"/>
        </a:xfrm>
        <a:prstGeom prst="irregularSeal1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RIGINAL/08-Tirs%20Moha%20Papa%20g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O"/>
      <sheetName val="Paramètres"/>
      <sheetName val="Listes Tirs"/>
      <sheetName val="1"/>
      <sheetName val="1b"/>
      <sheetName val="2"/>
      <sheetName val="2b"/>
      <sheetName val="3"/>
      <sheetName val="3b"/>
      <sheetName val="4"/>
      <sheetName val="4b"/>
      <sheetName val="5"/>
      <sheetName val="5b"/>
      <sheetName val="6"/>
      <sheetName val="6b"/>
      <sheetName val="7"/>
      <sheetName val="7b"/>
      <sheetName val="8"/>
      <sheetName val="8b"/>
      <sheetName val="9"/>
      <sheetName val="9b"/>
      <sheetName val="10"/>
      <sheetName val="10b"/>
      <sheetName val="11"/>
      <sheetName val="11b"/>
      <sheetName val="12"/>
      <sheetName val="12b"/>
      <sheetName val="13"/>
      <sheetName val="13b"/>
      <sheetName val="14"/>
      <sheetName val="14b"/>
      <sheetName val="15"/>
      <sheetName val="15b"/>
      <sheetName val="16"/>
      <sheetName val="16b"/>
      <sheetName val="17"/>
      <sheetName val="17b"/>
      <sheetName val="18"/>
      <sheetName val="18b"/>
      <sheetName val="19"/>
      <sheetName val="19b"/>
      <sheetName val="20"/>
      <sheetName val="20b"/>
      <sheetName val="prédiction"/>
      <sheetName val="Syntèse Vibrations"/>
      <sheetName val="Laruelle"/>
      <sheetName val="SWDE"/>
      <sheetName val="Laruelle ."/>
      <sheetName val="Gilson"/>
      <sheetName val="Bormans"/>
      <sheetName val="xxxx"/>
      <sheetName val="Richard"/>
      <sheetName val="Luten"/>
      <sheetName val="Morsa"/>
      <sheetName val="Autre"/>
      <sheetName val="MRCo"/>
      <sheetName val="Faniel"/>
      <sheetName val="Listes Valeurs"/>
      <sheetName val="Prix"/>
      <sheetName val="08-Tirs Moha Papa gel"/>
    </sheetNames>
    <sheetDataSet>
      <sheetData sheetId="0"/>
      <sheetData sheetId="1"/>
      <sheetData sheetId="2"/>
      <sheetData sheetId="3">
        <row r="11">
          <cell r="F11">
            <v>43586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>
        <row r="1">
          <cell r="A1" t="str">
            <v>V2A</v>
          </cell>
          <cell r="B1" t="str">
            <v>bi-étagé</v>
          </cell>
          <cell r="C1" t="str">
            <v>Gauche</v>
          </cell>
          <cell r="D1">
            <v>51</v>
          </cell>
          <cell r="E1" t="str">
            <v>oui</v>
          </cell>
        </row>
        <row r="2">
          <cell r="A2" t="str">
            <v>V2A SUP</v>
          </cell>
          <cell r="B2" t="str">
            <v>découverture</v>
          </cell>
          <cell r="C2" t="str">
            <v>Droite</v>
          </cell>
          <cell r="D2">
            <v>52</v>
          </cell>
          <cell r="E2" t="str">
            <v>non</v>
          </cell>
        </row>
        <row r="3">
          <cell r="A3" t="str">
            <v>GC</v>
          </cell>
          <cell r="B3" t="str">
            <v>découpe</v>
          </cell>
          <cell r="D3">
            <v>53</v>
          </cell>
        </row>
        <row r="4">
          <cell r="A4" t="str">
            <v>GC V1B</v>
          </cell>
          <cell r="B4" t="str">
            <v>en nappe</v>
          </cell>
          <cell r="D4">
            <v>54</v>
          </cell>
        </row>
        <row r="5">
          <cell r="A5" t="str">
            <v>DEC</v>
          </cell>
          <cell r="B5" t="str">
            <v>mono-étagé</v>
          </cell>
          <cell r="D5">
            <v>40</v>
          </cell>
        </row>
        <row r="6">
          <cell r="D6">
            <v>41</v>
          </cell>
        </row>
        <row r="7">
          <cell r="D7">
            <v>42</v>
          </cell>
        </row>
        <row r="8">
          <cell r="D8">
            <v>43</v>
          </cell>
        </row>
        <row r="9">
          <cell r="D9">
            <v>44</v>
          </cell>
        </row>
        <row r="10">
          <cell r="D10">
            <v>30</v>
          </cell>
        </row>
        <row r="11">
          <cell r="D11">
            <v>31</v>
          </cell>
        </row>
        <row r="12">
          <cell r="D12">
            <v>32</v>
          </cell>
        </row>
        <row r="13">
          <cell r="D13">
            <v>33</v>
          </cell>
        </row>
        <row r="14">
          <cell r="D14">
            <v>34</v>
          </cell>
        </row>
        <row r="15">
          <cell r="D15">
            <v>20</v>
          </cell>
        </row>
        <row r="16">
          <cell r="D16">
            <v>21</v>
          </cell>
        </row>
        <row r="17">
          <cell r="D17">
            <v>22</v>
          </cell>
        </row>
        <row r="18">
          <cell r="D18" t="str">
            <v>23haut</v>
          </cell>
        </row>
        <row r="19">
          <cell r="D19" t="str">
            <v>23bas</v>
          </cell>
        </row>
        <row r="20">
          <cell r="D20">
            <v>24</v>
          </cell>
        </row>
        <row r="21">
          <cell r="D21" t="str">
            <v>10 bas</v>
          </cell>
        </row>
        <row r="22">
          <cell r="D22" t="str">
            <v>11 bas</v>
          </cell>
        </row>
        <row r="23">
          <cell r="D23" t="str">
            <v>12 bas</v>
          </cell>
        </row>
        <row r="24">
          <cell r="D24">
            <v>13</v>
          </cell>
        </row>
        <row r="25">
          <cell r="D25" t="str">
            <v>10 haut</v>
          </cell>
        </row>
        <row r="26">
          <cell r="D26" t="str">
            <v>11 haut</v>
          </cell>
        </row>
        <row r="27">
          <cell r="D27" t="str">
            <v>12 haut</v>
          </cell>
        </row>
        <row r="29">
          <cell r="D29">
            <v>14</v>
          </cell>
        </row>
        <row r="30">
          <cell r="D30">
            <v>0</v>
          </cell>
        </row>
        <row r="31">
          <cell r="D31">
            <v>1</v>
          </cell>
        </row>
        <row r="32">
          <cell r="D32">
            <v>2</v>
          </cell>
        </row>
        <row r="33">
          <cell r="D33">
            <v>3</v>
          </cell>
        </row>
        <row r="34">
          <cell r="D34">
            <v>4</v>
          </cell>
        </row>
        <row r="35">
          <cell r="D35" t="str">
            <v>GC2</v>
          </cell>
        </row>
        <row r="36">
          <cell r="D36" t="str">
            <v>PCC1</v>
          </cell>
        </row>
        <row r="37">
          <cell r="D37" t="str">
            <v>PCC0</v>
          </cell>
        </row>
        <row r="38">
          <cell r="D38" t="str">
            <v>GC0</v>
          </cell>
        </row>
        <row r="39">
          <cell r="D39" t="str">
            <v>GC N Bassin</v>
          </cell>
        </row>
      </sheetData>
      <sheetData sheetId="58"/>
      <sheetData sheetId="5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F4958D-B748-46C0-8FDF-765131FA67CF}" name="T_BdD" displayName="T_BdD" ref="A1:C201" totalsRowShown="0" headerRowDxfId="44" dataDxfId="42" headerRowBorderDxfId="43" tableBorderDxfId="41">
  <autoFilter ref="A1:C201" xr:uid="{00000000-0009-0000-0100-000001000000}"/>
  <tableColumns count="3">
    <tableColumn id="1" xr3:uid="{443EB421-EA55-4CD2-BC4D-334E919A74B9}" name="Kilos" dataDxfId="40"/>
    <tableColumn id="2" xr3:uid="{D4ED2F1D-608D-4741-BD48-9EBC1299AE68}" name="Hauteur en cm" dataDxfId="39"/>
    <tableColumn id="3" xr3:uid="{211FFBA9-D93B-4C4B-ACF4-4996BF4B00F3}" name="hauteur en m" dataDxfId="3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EBBD428-C85B-4A15-B0AD-615F22125020}" name="Table23" displayName="Table23" ref="H1:K42" totalsRowShown="0" dataCellStyle="Normal 3">
  <autoFilter ref="H1:K42" xr:uid="{88C0B004-4DDB-449F-9E11-3A5469748B95}"/>
  <tableColumns count="4">
    <tableColumn id="1" xr3:uid="{371A01BD-C92C-4150-AACE-346EEF3D6D36}" name="Nombre de Cartouches" dataCellStyle="Normal 3"/>
    <tableColumn id="2" xr3:uid="{C0610A88-341C-4F58-820D-E56E10454F4E}" name="Kilos" dataCellStyle="Normal 3"/>
    <tableColumn id="3" xr3:uid="{FF47921C-BC64-446B-BE31-C5FEABCE1BC4}" name="Hauteur cm" dataCellStyle="Normal 3"/>
    <tableColumn id="4" xr3:uid="{B7CA63A0-837F-4D28-8F70-1E70D9C8E6A9}" name="hauteur m" dataDxfId="37" dataCellStyle="Normal 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3ABF32-344D-4C7C-B2BF-9F8B81F765C9}" name="Tableau45" displayName="Tableau45" ref="A16:L57" totalsRowShown="0" totalsRowDxfId="26" tableBorderDxfId="27" totalsRowBorderDxfId="25">
  <autoFilter ref="A16:L57" xr:uid="{00000000-0009-0000-0100-000004000000}"/>
  <tableColumns count="12">
    <tableColumn id="1" xr3:uid="{9F091347-82F5-4A59-9256-AEADE8593836}" name="N°" dataDxfId="24" totalsRowDxfId="23"/>
    <tableColumn id="2" xr3:uid="{2A4CB484-812C-41C6-8859-86B8668D6220}" name="Ht" dataDxfId="22" totalsRowDxfId="21"/>
    <tableColumn id="3" xr3:uid="{235DC1AC-A173-4B48-A45F-518A6DB40812}" name="Surfo." dataDxfId="20" totalsRowDxfId="19"/>
    <tableColumn id="4" xr3:uid="{38B6D380-F24B-40E4-9C92-C6828A259A9C}" name="Ep tête" dataDxfId="18" totalsRowDxfId="17"/>
    <tableColumn id="5" xr3:uid="{F35E005C-0417-4253-A432-E2CF9F18E5AE}" name="Ep pied" dataDxfId="16" totalsRowDxfId="15"/>
    <tableColumn id="6" xr3:uid="{3F881475-2A22-477E-8FB8-699B23FE3A69}" name="DIN" dataDxfId="14" totalsRowDxfId="13"/>
    <tableColumn id="7" xr3:uid="{B3B027C2-3E86-4603-9DA8-A115550252DC}" name="GEL" dataDxfId="12" totalsRowDxfId="11"/>
    <tableColumn id="8" xr3:uid="{5359913B-BE3A-4D54-9DE2-8C48DE9100E3}" name="ANFO" dataDxfId="10" totalsRowDxfId="9"/>
    <tableColumn id="9" xr3:uid="{C3125C25-C22A-4177-94F4-FF8A9023E556}" name="hauteur" dataDxfId="8" totalsRowDxfId="7"/>
    <tableColumn id="10" xr3:uid="{5A29F08B-E18A-41CD-A506-BF40B5D96914}" name="bourrage" dataDxfId="6" totalsRowDxfId="5"/>
    <tableColumn id="11" xr3:uid="{A930A0C8-E771-4A3C-BF1E-CA763003A166}" name="Energie pied (MJ)" dataDxfId="4" totalsRowDxfId="3">
      <calculatedColumnFormula>(F17*$AL$18+G17*$AL$20+H17*$AL$22)/1000</calculatedColumnFormula>
    </tableColumn>
    <tableColumn id="12" xr3:uid="{BDE4C0F7-4150-44B3-90A4-61E58C072DD5}" name="Facteur Pied" dataDxfId="2" totalsRowDxfId="1">
      <calculatedColumnFormula>K17/(5.6*(I$8*0.8)*(E17*1.25))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3C4E0-6F52-4910-B3DA-56A8FBA5A5DD}">
  <sheetPr>
    <tabColor rgb="FFFF0000"/>
  </sheetPr>
  <dimension ref="A1:K201"/>
  <sheetViews>
    <sheetView topLeftCell="B37" workbookViewId="0">
      <selection activeCell="F2" sqref="F2:G2"/>
    </sheetView>
  </sheetViews>
  <sheetFormatPr defaultColWidth="10.73046875" defaultRowHeight="14.25" x14ac:dyDescent="0.45"/>
  <cols>
    <col min="1" max="1" width="9.86328125" style="195" bestFit="1" customWidth="1"/>
    <col min="2" max="2" width="18.3984375" style="195" bestFit="1" customWidth="1"/>
    <col min="3" max="3" width="17.3984375" style="195" bestFit="1" customWidth="1"/>
    <col min="4" max="7" width="10.73046875" style="195"/>
    <col min="8" max="8" width="18" style="195" customWidth="1"/>
    <col min="9" max="9" width="10.73046875" style="195"/>
    <col min="10" max="10" width="11.796875" style="195" customWidth="1"/>
    <col min="11" max="11" width="10.796875" style="195" customWidth="1"/>
    <col min="12" max="16384" width="10.73046875" style="195"/>
  </cols>
  <sheetData>
    <row r="1" spans="1:11" ht="14.65" thickBot="1" x14ac:dyDescent="0.5">
      <c r="A1" s="192" t="s">
        <v>123</v>
      </c>
      <c r="B1" s="193" t="s">
        <v>124</v>
      </c>
      <c r="C1" s="194" t="s">
        <v>125</v>
      </c>
      <c r="H1" s="196" t="s">
        <v>126</v>
      </c>
      <c r="I1" s="197" t="s">
        <v>123</v>
      </c>
      <c r="J1" s="195" t="s">
        <v>127</v>
      </c>
      <c r="K1" s="195" t="s">
        <v>128</v>
      </c>
    </row>
    <row r="2" spans="1:11" x14ac:dyDescent="0.45">
      <c r="A2" s="198">
        <v>0.5</v>
      </c>
      <c r="B2" s="197">
        <v>3.6</v>
      </c>
      <c r="C2" s="199">
        <v>5.0000000000000001E-3</v>
      </c>
      <c r="D2" s="202" t="s">
        <v>52</v>
      </c>
      <c r="E2" s="202"/>
      <c r="F2" s="203" t="s">
        <v>129</v>
      </c>
      <c r="G2" s="203"/>
      <c r="H2" s="195">
        <v>1</v>
      </c>
      <c r="I2" s="195">
        <v>3.125</v>
      </c>
      <c r="J2" s="195">
        <v>31.25</v>
      </c>
      <c r="K2" s="200">
        <v>0.315</v>
      </c>
    </row>
    <row r="3" spans="1:11" x14ac:dyDescent="0.45">
      <c r="A3" s="198">
        <v>1</v>
      </c>
      <c r="B3" s="197">
        <v>7.2</v>
      </c>
      <c r="C3" s="199">
        <v>7.1999999999999995E-2</v>
      </c>
      <c r="H3" s="195">
        <v>2</v>
      </c>
      <c r="I3" s="201">
        <v>6.25</v>
      </c>
      <c r="J3" s="195">
        <v>62.5</v>
      </c>
      <c r="K3" s="200">
        <v>0.63</v>
      </c>
    </row>
    <row r="4" spans="1:11" x14ac:dyDescent="0.45">
      <c r="A4" s="198">
        <v>1.5</v>
      </c>
      <c r="B4" s="197">
        <v>10.8</v>
      </c>
      <c r="C4" s="199">
        <v>0.108</v>
      </c>
      <c r="H4" s="195">
        <v>3</v>
      </c>
      <c r="I4" s="195">
        <v>9.375</v>
      </c>
      <c r="J4" s="195">
        <v>93.75</v>
      </c>
      <c r="K4" s="200">
        <v>0.94499999999999995</v>
      </c>
    </row>
    <row r="5" spans="1:11" x14ac:dyDescent="0.45">
      <c r="A5" s="198">
        <v>2</v>
      </c>
      <c r="B5" s="197">
        <v>14.4</v>
      </c>
      <c r="C5" s="199">
        <v>0.14399999999999999</v>
      </c>
      <c r="H5" s="195">
        <v>4</v>
      </c>
      <c r="I5" s="201">
        <v>12.5</v>
      </c>
      <c r="J5" s="195">
        <v>125</v>
      </c>
      <c r="K5" s="200">
        <v>1.26</v>
      </c>
    </row>
    <row r="6" spans="1:11" x14ac:dyDescent="0.45">
      <c r="A6" s="198">
        <v>2.5</v>
      </c>
      <c r="B6" s="197">
        <v>18</v>
      </c>
      <c r="C6" s="199">
        <v>0.18</v>
      </c>
      <c r="H6" s="195">
        <v>5</v>
      </c>
      <c r="I6" s="195">
        <v>15.625</v>
      </c>
      <c r="J6" s="195">
        <v>156.25</v>
      </c>
      <c r="K6" s="200">
        <v>1.575</v>
      </c>
    </row>
    <row r="7" spans="1:11" x14ac:dyDescent="0.45">
      <c r="A7" s="198">
        <v>3</v>
      </c>
      <c r="B7" s="197">
        <v>21.6</v>
      </c>
      <c r="C7" s="199">
        <v>0.216</v>
      </c>
      <c r="H7" s="195">
        <v>6</v>
      </c>
      <c r="I7" s="201">
        <v>18.75</v>
      </c>
      <c r="J7" s="195">
        <v>187.5</v>
      </c>
      <c r="K7" s="200">
        <v>1.89</v>
      </c>
    </row>
    <row r="8" spans="1:11" x14ac:dyDescent="0.45">
      <c r="A8" s="198">
        <v>3.5</v>
      </c>
      <c r="B8" s="197">
        <v>25.2</v>
      </c>
      <c r="C8" s="199">
        <v>0.252</v>
      </c>
      <c r="H8" s="195">
        <v>7</v>
      </c>
      <c r="I8" s="195">
        <v>21.875</v>
      </c>
      <c r="J8" s="195">
        <v>218.75</v>
      </c>
      <c r="K8" s="200">
        <v>2.2050000000000001</v>
      </c>
    </row>
    <row r="9" spans="1:11" x14ac:dyDescent="0.45">
      <c r="A9" s="198">
        <v>4</v>
      </c>
      <c r="B9" s="197">
        <v>28.8</v>
      </c>
      <c r="C9" s="199">
        <v>0.28799999999999998</v>
      </c>
      <c r="G9" s="195" t="s">
        <v>130</v>
      </c>
      <c r="H9" s="195">
        <v>8</v>
      </c>
      <c r="I9" s="201">
        <v>25</v>
      </c>
      <c r="J9" s="195">
        <v>250</v>
      </c>
      <c r="K9" s="200">
        <v>2.52</v>
      </c>
    </row>
    <row r="10" spans="1:11" x14ac:dyDescent="0.45">
      <c r="A10" s="198">
        <v>4.5</v>
      </c>
      <c r="B10" s="197">
        <v>32.4</v>
      </c>
      <c r="C10" s="199">
        <v>0.32400000000000001</v>
      </c>
      <c r="H10" s="195">
        <v>9</v>
      </c>
      <c r="I10" s="195">
        <v>28.125</v>
      </c>
      <c r="J10" s="195">
        <v>281.25</v>
      </c>
      <c r="K10" s="200">
        <v>2.835</v>
      </c>
    </row>
    <row r="11" spans="1:11" x14ac:dyDescent="0.45">
      <c r="A11" s="198">
        <v>5</v>
      </c>
      <c r="B11" s="197">
        <v>36</v>
      </c>
      <c r="C11" s="199">
        <v>0.36</v>
      </c>
      <c r="H11" s="195">
        <v>10</v>
      </c>
      <c r="I11" s="201">
        <v>31.25</v>
      </c>
      <c r="J11" s="195">
        <v>312.5</v>
      </c>
      <c r="K11" s="200">
        <v>3.15</v>
      </c>
    </row>
    <row r="12" spans="1:11" x14ac:dyDescent="0.45">
      <c r="A12" s="198">
        <v>5.5</v>
      </c>
      <c r="B12" s="197">
        <v>39.6</v>
      </c>
      <c r="C12" s="199">
        <v>0.39600000000000002</v>
      </c>
      <c r="H12" s="195">
        <v>11</v>
      </c>
      <c r="I12" s="195">
        <v>34.375</v>
      </c>
      <c r="J12" s="195">
        <v>343.75</v>
      </c>
      <c r="K12" s="200">
        <v>3.4649999999999999</v>
      </c>
    </row>
    <row r="13" spans="1:11" x14ac:dyDescent="0.45">
      <c r="A13" s="198">
        <v>6</v>
      </c>
      <c r="B13" s="197">
        <v>43.2</v>
      </c>
      <c r="C13" s="199">
        <v>0.432</v>
      </c>
      <c r="H13" s="195">
        <v>12</v>
      </c>
      <c r="I13" s="201">
        <v>37.5</v>
      </c>
      <c r="J13" s="195">
        <v>375</v>
      </c>
      <c r="K13" s="200">
        <v>3.78</v>
      </c>
    </row>
    <row r="14" spans="1:11" x14ac:dyDescent="0.45">
      <c r="A14" s="198">
        <v>6.5</v>
      </c>
      <c r="B14" s="197">
        <v>46.8</v>
      </c>
      <c r="C14" s="199">
        <v>0.46800000000000003</v>
      </c>
      <c r="H14" s="195">
        <v>13</v>
      </c>
      <c r="I14" s="195">
        <v>40.625</v>
      </c>
      <c r="J14" s="195">
        <v>406.25</v>
      </c>
      <c r="K14" s="200">
        <v>4.0949999999999998</v>
      </c>
    </row>
    <row r="15" spans="1:11" x14ac:dyDescent="0.45">
      <c r="A15" s="198">
        <v>7</v>
      </c>
      <c r="B15" s="197">
        <v>50.4</v>
      </c>
      <c r="C15" s="199">
        <v>0.504</v>
      </c>
      <c r="H15" s="195">
        <v>14</v>
      </c>
      <c r="I15" s="201">
        <v>43.75</v>
      </c>
      <c r="J15" s="195">
        <v>437.5</v>
      </c>
      <c r="K15" s="200">
        <v>4.41</v>
      </c>
    </row>
    <row r="16" spans="1:11" x14ac:dyDescent="0.45">
      <c r="A16" s="198">
        <v>7.5</v>
      </c>
      <c r="B16" s="197">
        <v>54</v>
      </c>
      <c r="C16" s="199">
        <v>0.54</v>
      </c>
      <c r="H16" s="195">
        <v>15</v>
      </c>
      <c r="I16" s="195">
        <v>46.875</v>
      </c>
      <c r="J16" s="195">
        <v>468.75</v>
      </c>
      <c r="K16" s="200">
        <v>4.7249999999999996</v>
      </c>
    </row>
    <row r="17" spans="1:11" x14ac:dyDescent="0.45">
      <c r="A17" s="198">
        <v>8</v>
      </c>
      <c r="B17" s="197">
        <v>57.6</v>
      </c>
      <c r="C17" s="199">
        <v>0.57599999999999996</v>
      </c>
      <c r="G17" s="195" t="s">
        <v>131</v>
      </c>
      <c r="H17" s="195">
        <v>16</v>
      </c>
      <c r="I17" s="201">
        <v>50</v>
      </c>
      <c r="J17" s="195">
        <v>500</v>
      </c>
      <c r="K17" s="200">
        <v>5.04</v>
      </c>
    </row>
    <row r="18" spans="1:11" x14ac:dyDescent="0.45">
      <c r="A18" s="198">
        <v>8.5</v>
      </c>
      <c r="B18" s="197">
        <v>61.2</v>
      </c>
      <c r="C18" s="199">
        <v>0.61199999999999999</v>
      </c>
      <c r="H18" s="195">
        <v>17</v>
      </c>
      <c r="I18" s="195">
        <v>53.125</v>
      </c>
      <c r="J18" s="195">
        <v>531.25</v>
      </c>
      <c r="K18" s="200">
        <v>5.3550000000000004</v>
      </c>
    </row>
    <row r="19" spans="1:11" x14ac:dyDescent="0.45">
      <c r="A19" s="198">
        <v>9</v>
      </c>
      <c r="B19" s="197">
        <v>64.8</v>
      </c>
      <c r="C19" s="199">
        <v>0.64800000000000002</v>
      </c>
      <c r="H19" s="195">
        <v>18</v>
      </c>
      <c r="I19" s="201">
        <v>56.25</v>
      </c>
      <c r="J19" s="195">
        <v>562.5</v>
      </c>
      <c r="K19" s="200">
        <v>5.67</v>
      </c>
    </row>
    <row r="20" spans="1:11" x14ac:dyDescent="0.45">
      <c r="A20" s="198">
        <v>9.5</v>
      </c>
      <c r="B20" s="197">
        <v>68.400000000000006</v>
      </c>
      <c r="C20" s="199">
        <v>0.68400000000000005</v>
      </c>
      <c r="H20" s="195">
        <v>19</v>
      </c>
      <c r="I20" s="195">
        <v>59.375</v>
      </c>
      <c r="J20" s="195">
        <v>593.75</v>
      </c>
      <c r="K20" s="200">
        <v>5.9850000000000003</v>
      </c>
    </row>
    <row r="21" spans="1:11" x14ac:dyDescent="0.45">
      <c r="A21" s="198">
        <v>10</v>
      </c>
      <c r="B21" s="197">
        <v>72</v>
      </c>
      <c r="C21" s="199">
        <v>0.72</v>
      </c>
      <c r="H21" s="195">
        <v>20</v>
      </c>
      <c r="I21" s="201">
        <v>62.5</v>
      </c>
      <c r="J21" s="195">
        <v>625</v>
      </c>
      <c r="K21" s="200">
        <v>6.3</v>
      </c>
    </row>
    <row r="22" spans="1:11" x14ac:dyDescent="0.45">
      <c r="A22" s="198">
        <v>10.5</v>
      </c>
      <c r="B22" s="197">
        <v>75.599999999999994</v>
      </c>
      <c r="C22" s="199">
        <v>0.75600000000000001</v>
      </c>
      <c r="H22" s="195">
        <v>21</v>
      </c>
      <c r="I22" s="195">
        <v>65.625</v>
      </c>
      <c r="J22" s="195">
        <v>656.25</v>
      </c>
      <c r="K22" s="200">
        <v>6.6150000000000002</v>
      </c>
    </row>
    <row r="23" spans="1:11" x14ac:dyDescent="0.45">
      <c r="A23" s="198">
        <v>11</v>
      </c>
      <c r="B23" s="197">
        <v>79.2</v>
      </c>
      <c r="C23" s="199">
        <v>0.79200000000000004</v>
      </c>
      <c r="H23" s="195">
        <v>22</v>
      </c>
      <c r="I23" s="201">
        <v>68.75</v>
      </c>
      <c r="J23" s="195">
        <v>687.5</v>
      </c>
      <c r="K23" s="200">
        <v>6.93</v>
      </c>
    </row>
    <row r="24" spans="1:11" x14ac:dyDescent="0.45">
      <c r="A24" s="198">
        <v>11.5</v>
      </c>
      <c r="B24" s="197">
        <v>82.8</v>
      </c>
      <c r="C24" s="199">
        <v>0.82799999999999996</v>
      </c>
      <c r="H24" s="195">
        <v>23</v>
      </c>
      <c r="I24" s="195">
        <v>71.875</v>
      </c>
      <c r="J24" s="195">
        <v>718.75</v>
      </c>
      <c r="K24" s="200">
        <v>7.2450000000000001</v>
      </c>
    </row>
    <row r="25" spans="1:11" x14ac:dyDescent="0.45">
      <c r="A25" s="198">
        <v>12</v>
      </c>
      <c r="B25" s="197">
        <v>86.4</v>
      </c>
      <c r="C25" s="199">
        <v>0.86399999999999999</v>
      </c>
      <c r="G25" s="195" t="s">
        <v>132</v>
      </c>
      <c r="H25" s="195">
        <v>24</v>
      </c>
      <c r="I25" s="201">
        <v>75</v>
      </c>
      <c r="J25" s="195">
        <v>750</v>
      </c>
      <c r="K25" s="200">
        <v>7.56</v>
      </c>
    </row>
    <row r="26" spans="1:11" x14ac:dyDescent="0.45">
      <c r="A26" s="198">
        <v>12.5</v>
      </c>
      <c r="B26" s="197">
        <v>90</v>
      </c>
      <c r="C26" s="199">
        <v>0.9</v>
      </c>
      <c r="H26" s="195">
        <v>25</v>
      </c>
      <c r="I26" s="195">
        <v>78.125</v>
      </c>
      <c r="J26" s="195">
        <v>781.25</v>
      </c>
      <c r="K26" s="200">
        <v>7.875</v>
      </c>
    </row>
    <row r="27" spans="1:11" x14ac:dyDescent="0.45">
      <c r="A27" s="198">
        <v>13</v>
      </c>
      <c r="B27" s="197">
        <v>93.6</v>
      </c>
      <c r="C27" s="199">
        <v>0.93600000000000005</v>
      </c>
      <c r="H27" s="195">
        <v>26</v>
      </c>
      <c r="I27" s="201">
        <v>81.25</v>
      </c>
      <c r="J27" s="195">
        <v>812.5</v>
      </c>
      <c r="K27" s="200">
        <v>8.19</v>
      </c>
    </row>
    <row r="28" spans="1:11" x14ac:dyDescent="0.45">
      <c r="A28" s="198">
        <v>13.5</v>
      </c>
      <c r="B28" s="197">
        <v>97.2</v>
      </c>
      <c r="C28" s="199">
        <v>0.97199999999999998</v>
      </c>
      <c r="H28" s="195">
        <v>27</v>
      </c>
      <c r="I28" s="195">
        <v>84.375</v>
      </c>
      <c r="J28" s="195">
        <v>843.75</v>
      </c>
      <c r="K28" s="200">
        <v>8.5050000000000008</v>
      </c>
    </row>
    <row r="29" spans="1:11" x14ac:dyDescent="0.45">
      <c r="A29" s="198">
        <v>14</v>
      </c>
      <c r="B29" s="197">
        <v>100.8</v>
      </c>
      <c r="C29" s="199">
        <v>1.008</v>
      </c>
      <c r="H29" s="195">
        <v>28</v>
      </c>
      <c r="I29" s="201">
        <v>87.5</v>
      </c>
      <c r="J29" s="195">
        <v>875</v>
      </c>
      <c r="K29" s="200">
        <v>8.82</v>
      </c>
    </row>
    <row r="30" spans="1:11" x14ac:dyDescent="0.45">
      <c r="A30" s="198">
        <v>14.5</v>
      </c>
      <c r="B30" s="197">
        <v>104.4</v>
      </c>
      <c r="C30" s="199">
        <v>1.044</v>
      </c>
      <c r="H30" s="195">
        <v>29</v>
      </c>
      <c r="I30" s="195">
        <v>90.625</v>
      </c>
      <c r="J30" s="195">
        <v>906.25</v>
      </c>
      <c r="K30" s="200">
        <v>9.1349999999999998</v>
      </c>
    </row>
    <row r="31" spans="1:11" x14ac:dyDescent="0.45">
      <c r="A31" s="198">
        <v>15</v>
      </c>
      <c r="B31" s="197">
        <v>108</v>
      </c>
      <c r="C31" s="199">
        <v>1.08</v>
      </c>
      <c r="H31" s="195">
        <v>30</v>
      </c>
      <c r="I31" s="201">
        <v>93.75</v>
      </c>
      <c r="J31" s="195">
        <v>937.5</v>
      </c>
      <c r="K31" s="200">
        <v>9.4499999999999993</v>
      </c>
    </row>
    <row r="32" spans="1:11" x14ac:dyDescent="0.45">
      <c r="A32" s="198">
        <v>15.5</v>
      </c>
      <c r="B32" s="197">
        <v>111.6</v>
      </c>
      <c r="C32" s="199">
        <v>1.1160000000000001</v>
      </c>
      <c r="H32" s="195">
        <v>31</v>
      </c>
      <c r="I32" s="195">
        <v>96.875</v>
      </c>
      <c r="J32" s="195">
        <v>968.75</v>
      </c>
      <c r="K32" s="200">
        <v>9.7650000000000006</v>
      </c>
    </row>
    <row r="33" spans="1:11" x14ac:dyDescent="0.45">
      <c r="A33" s="198">
        <v>16</v>
      </c>
      <c r="B33" s="197">
        <v>115.2</v>
      </c>
      <c r="C33" s="199">
        <v>1.1519999999999999</v>
      </c>
      <c r="G33" s="195" t="s">
        <v>133</v>
      </c>
      <c r="H33" s="195">
        <v>32</v>
      </c>
      <c r="I33" s="201">
        <v>100</v>
      </c>
      <c r="J33" s="195">
        <v>1000</v>
      </c>
      <c r="K33" s="200">
        <v>10.08</v>
      </c>
    </row>
    <row r="34" spans="1:11" x14ac:dyDescent="0.45">
      <c r="A34" s="198">
        <v>16.5</v>
      </c>
      <c r="B34" s="197">
        <v>118.8</v>
      </c>
      <c r="C34" s="199">
        <v>1.1879999999999999</v>
      </c>
      <c r="H34" s="195">
        <v>33</v>
      </c>
      <c r="I34" s="195">
        <v>103.125</v>
      </c>
      <c r="J34" s="195">
        <v>1031.25</v>
      </c>
      <c r="K34" s="200">
        <v>10.395</v>
      </c>
    </row>
    <row r="35" spans="1:11" x14ac:dyDescent="0.45">
      <c r="A35" s="198">
        <v>17</v>
      </c>
      <c r="B35" s="197">
        <v>122.4</v>
      </c>
      <c r="C35" s="199">
        <v>1.224</v>
      </c>
      <c r="H35" s="195">
        <v>34</v>
      </c>
      <c r="I35" s="201">
        <v>106.25</v>
      </c>
      <c r="J35" s="195">
        <v>1062.5</v>
      </c>
      <c r="K35" s="200">
        <v>10.71</v>
      </c>
    </row>
    <row r="36" spans="1:11" x14ac:dyDescent="0.45">
      <c r="A36" s="198">
        <v>17.5</v>
      </c>
      <c r="B36" s="197">
        <v>126</v>
      </c>
      <c r="C36" s="199">
        <v>1.26</v>
      </c>
      <c r="H36" s="195">
        <v>35</v>
      </c>
      <c r="I36" s="195">
        <v>109.375</v>
      </c>
      <c r="J36" s="195">
        <v>1093.75</v>
      </c>
      <c r="K36" s="200">
        <v>11.025</v>
      </c>
    </row>
    <row r="37" spans="1:11" x14ac:dyDescent="0.45">
      <c r="A37" s="198">
        <v>18</v>
      </c>
      <c r="B37" s="197">
        <v>129.6</v>
      </c>
      <c r="C37" s="199">
        <v>1.296</v>
      </c>
      <c r="H37" s="195">
        <v>36</v>
      </c>
      <c r="I37" s="201">
        <v>112.5</v>
      </c>
      <c r="J37" s="195">
        <v>1125</v>
      </c>
      <c r="K37" s="200">
        <v>11.34</v>
      </c>
    </row>
    <row r="38" spans="1:11" x14ac:dyDescent="0.45">
      <c r="A38" s="198">
        <v>18.5</v>
      </c>
      <c r="B38" s="197">
        <v>133.19999999999999</v>
      </c>
      <c r="C38" s="199">
        <v>1.3320000000000001</v>
      </c>
      <c r="H38" s="195">
        <v>37</v>
      </c>
      <c r="I38" s="195">
        <v>115.625</v>
      </c>
      <c r="J38" s="195">
        <v>1156.25</v>
      </c>
      <c r="K38" s="200">
        <v>11.654999999999999</v>
      </c>
    </row>
    <row r="39" spans="1:11" x14ac:dyDescent="0.45">
      <c r="A39" s="198">
        <v>19</v>
      </c>
      <c r="B39" s="197">
        <v>136.80000000000001</v>
      </c>
      <c r="C39" s="199">
        <v>1.3680000000000001</v>
      </c>
      <c r="H39" s="195">
        <v>38</v>
      </c>
      <c r="I39" s="201">
        <v>118.75</v>
      </c>
      <c r="J39" s="195">
        <v>1187.5</v>
      </c>
      <c r="K39" s="200">
        <v>11.97</v>
      </c>
    </row>
    <row r="40" spans="1:11" x14ac:dyDescent="0.45">
      <c r="A40" s="198">
        <v>19.5</v>
      </c>
      <c r="B40" s="197">
        <v>140.4</v>
      </c>
      <c r="C40" s="199">
        <v>1.4039999999999999</v>
      </c>
      <c r="H40" s="195">
        <v>39</v>
      </c>
      <c r="I40" s="195">
        <v>121.875</v>
      </c>
      <c r="J40" s="195">
        <v>1218.75</v>
      </c>
      <c r="K40" s="200">
        <v>12.285</v>
      </c>
    </row>
    <row r="41" spans="1:11" x14ac:dyDescent="0.45">
      <c r="A41" s="198">
        <v>20</v>
      </c>
      <c r="B41" s="197">
        <v>144</v>
      </c>
      <c r="C41" s="199">
        <v>1.44</v>
      </c>
      <c r="G41" s="195" t="s">
        <v>134</v>
      </c>
      <c r="H41" s="195">
        <v>40</v>
      </c>
      <c r="I41" s="201">
        <v>125</v>
      </c>
      <c r="J41" s="195">
        <v>1250</v>
      </c>
      <c r="K41" s="200">
        <v>12.6</v>
      </c>
    </row>
    <row r="42" spans="1:11" x14ac:dyDescent="0.45">
      <c r="A42" s="198">
        <v>20.5</v>
      </c>
      <c r="B42" s="197">
        <v>147.6</v>
      </c>
      <c r="C42" s="199">
        <v>1.476</v>
      </c>
      <c r="H42" s="195">
        <v>41</v>
      </c>
      <c r="I42" s="195">
        <v>128.125</v>
      </c>
      <c r="J42" s="195">
        <v>1281.25</v>
      </c>
      <c r="K42" s="200">
        <v>12.914999999999999</v>
      </c>
    </row>
    <row r="43" spans="1:11" x14ac:dyDescent="0.45">
      <c r="A43" s="198">
        <v>21</v>
      </c>
      <c r="B43" s="197">
        <v>151.19999999999999</v>
      </c>
      <c r="C43" s="199">
        <v>1.512</v>
      </c>
    </row>
    <row r="44" spans="1:11" x14ac:dyDescent="0.45">
      <c r="A44" s="198">
        <v>21.5</v>
      </c>
      <c r="B44" s="197">
        <v>154.80000000000001</v>
      </c>
      <c r="C44" s="199">
        <v>1.548</v>
      </c>
    </row>
    <row r="45" spans="1:11" x14ac:dyDescent="0.45">
      <c r="A45" s="198">
        <v>22</v>
      </c>
      <c r="B45" s="197">
        <v>158.4</v>
      </c>
      <c r="C45" s="199">
        <v>1.5840000000000001</v>
      </c>
    </row>
    <row r="46" spans="1:11" x14ac:dyDescent="0.45">
      <c r="A46" s="198">
        <v>22.5</v>
      </c>
      <c r="B46" s="197">
        <v>162</v>
      </c>
      <c r="C46" s="199">
        <v>1.62</v>
      </c>
    </row>
    <row r="47" spans="1:11" x14ac:dyDescent="0.45">
      <c r="A47" s="198">
        <v>23</v>
      </c>
      <c r="B47" s="197">
        <v>165.6</v>
      </c>
      <c r="C47" s="199">
        <v>1.6559999999999999</v>
      </c>
    </row>
    <row r="48" spans="1:11" x14ac:dyDescent="0.45">
      <c r="A48" s="198">
        <v>23.5</v>
      </c>
      <c r="B48" s="197">
        <v>169.2</v>
      </c>
      <c r="C48" s="199">
        <v>1.6919999999999999</v>
      </c>
    </row>
    <row r="49" spans="1:3" x14ac:dyDescent="0.45">
      <c r="A49" s="198">
        <v>24</v>
      </c>
      <c r="B49" s="197">
        <v>172.8</v>
      </c>
      <c r="C49" s="199">
        <v>1.728</v>
      </c>
    </row>
    <row r="50" spans="1:3" x14ac:dyDescent="0.45">
      <c r="A50" s="198">
        <v>24.5</v>
      </c>
      <c r="B50" s="197">
        <v>176.4</v>
      </c>
      <c r="C50" s="199">
        <v>1.764</v>
      </c>
    </row>
    <row r="51" spans="1:3" x14ac:dyDescent="0.45">
      <c r="A51" s="198">
        <v>25</v>
      </c>
      <c r="B51" s="197">
        <v>180</v>
      </c>
      <c r="C51" s="199">
        <v>1.8</v>
      </c>
    </row>
    <row r="52" spans="1:3" x14ac:dyDescent="0.45">
      <c r="A52" s="198">
        <v>25.5</v>
      </c>
      <c r="B52" s="197">
        <v>183.6</v>
      </c>
      <c r="C52" s="199">
        <v>1.8360000000000001</v>
      </c>
    </row>
    <row r="53" spans="1:3" x14ac:dyDescent="0.45">
      <c r="A53" s="198">
        <v>26</v>
      </c>
      <c r="B53" s="197">
        <v>187.2</v>
      </c>
      <c r="C53" s="199">
        <v>1.8720000000000001</v>
      </c>
    </row>
    <row r="54" spans="1:3" x14ac:dyDescent="0.45">
      <c r="A54" s="198">
        <v>26.5</v>
      </c>
      <c r="B54" s="197">
        <v>190.8</v>
      </c>
      <c r="C54" s="199">
        <v>1.9079999999999999</v>
      </c>
    </row>
    <row r="55" spans="1:3" x14ac:dyDescent="0.45">
      <c r="A55" s="198">
        <v>27</v>
      </c>
      <c r="B55" s="197">
        <v>194.4</v>
      </c>
      <c r="C55" s="199">
        <v>1.944</v>
      </c>
    </row>
    <row r="56" spans="1:3" x14ac:dyDescent="0.45">
      <c r="A56" s="198">
        <v>27.5</v>
      </c>
      <c r="B56" s="197">
        <v>198</v>
      </c>
      <c r="C56" s="199">
        <v>1.98</v>
      </c>
    </row>
    <row r="57" spans="1:3" x14ac:dyDescent="0.45">
      <c r="A57" s="198">
        <v>28</v>
      </c>
      <c r="B57" s="197">
        <v>201.6</v>
      </c>
      <c r="C57" s="199">
        <v>2.016</v>
      </c>
    </row>
    <row r="58" spans="1:3" x14ac:dyDescent="0.45">
      <c r="A58" s="198">
        <v>28.5</v>
      </c>
      <c r="B58" s="197">
        <v>205.2</v>
      </c>
      <c r="C58" s="199">
        <v>2.052</v>
      </c>
    </row>
    <row r="59" spans="1:3" x14ac:dyDescent="0.45">
      <c r="A59" s="198">
        <v>29</v>
      </c>
      <c r="B59" s="197">
        <v>208.8</v>
      </c>
      <c r="C59" s="199">
        <v>2.0880000000000001</v>
      </c>
    </row>
    <row r="60" spans="1:3" x14ac:dyDescent="0.45">
      <c r="A60" s="198">
        <v>29.5</v>
      </c>
      <c r="B60" s="197">
        <v>212.4</v>
      </c>
      <c r="C60" s="199">
        <v>2.1240000000000001</v>
      </c>
    </row>
    <row r="61" spans="1:3" x14ac:dyDescent="0.45">
      <c r="A61" s="198">
        <v>30</v>
      </c>
      <c r="B61" s="197">
        <v>216</v>
      </c>
      <c r="C61" s="199">
        <v>2.16</v>
      </c>
    </row>
    <row r="62" spans="1:3" x14ac:dyDescent="0.45">
      <c r="A62" s="198">
        <v>30.5</v>
      </c>
      <c r="B62" s="197">
        <v>219.6</v>
      </c>
      <c r="C62" s="199">
        <v>2.1960000000000002</v>
      </c>
    </row>
    <row r="63" spans="1:3" x14ac:dyDescent="0.45">
      <c r="A63" s="198">
        <v>31</v>
      </c>
      <c r="B63" s="197">
        <v>223.2</v>
      </c>
      <c r="C63" s="199">
        <v>2.2320000000000002</v>
      </c>
    </row>
    <row r="64" spans="1:3" x14ac:dyDescent="0.45">
      <c r="A64" s="198">
        <v>31.5</v>
      </c>
      <c r="B64" s="197">
        <v>226.8</v>
      </c>
      <c r="C64" s="199">
        <v>2.2679999999999998</v>
      </c>
    </row>
    <row r="65" spans="1:3" x14ac:dyDescent="0.45">
      <c r="A65" s="198">
        <v>32</v>
      </c>
      <c r="B65" s="197">
        <v>230.4</v>
      </c>
      <c r="C65" s="199">
        <v>2.3039999999999998</v>
      </c>
    </row>
    <row r="66" spans="1:3" x14ac:dyDescent="0.45">
      <c r="A66" s="198">
        <v>32.5</v>
      </c>
      <c r="B66" s="197">
        <v>234</v>
      </c>
      <c r="C66" s="199">
        <v>2.34</v>
      </c>
    </row>
    <row r="67" spans="1:3" x14ac:dyDescent="0.45">
      <c r="A67" s="198">
        <v>33</v>
      </c>
      <c r="B67" s="197">
        <v>237.6</v>
      </c>
      <c r="C67" s="199">
        <v>2.3759999999999999</v>
      </c>
    </row>
    <row r="68" spans="1:3" x14ac:dyDescent="0.45">
      <c r="A68" s="198">
        <v>33.5</v>
      </c>
      <c r="B68" s="197">
        <v>241.2</v>
      </c>
      <c r="C68" s="199">
        <v>2.4119999999999999</v>
      </c>
    </row>
    <row r="69" spans="1:3" x14ac:dyDescent="0.45">
      <c r="A69" s="198">
        <v>34</v>
      </c>
      <c r="B69" s="197">
        <v>244.8</v>
      </c>
      <c r="C69" s="199">
        <v>2.448</v>
      </c>
    </row>
    <row r="70" spans="1:3" x14ac:dyDescent="0.45">
      <c r="A70" s="198">
        <v>34.5</v>
      </c>
      <c r="B70" s="197">
        <v>248.4</v>
      </c>
      <c r="C70" s="199">
        <v>2.484</v>
      </c>
    </row>
    <row r="71" spans="1:3" x14ac:dyDescent="0.45">
      <c r="A71" s="198">
        <v>35</v>
      </c>
      <c r="B71" s="197">
        <v>252</v>
      </c>
      <c r="C71" s="199">
        <v>2.52</v>
      </c>
    </row>
    <row r="72" spans="1:3" x14ac:dyDescent="0.45">
      <c r="A72" s="198">
        <v>35.5</v>
      </c>
      <c r="B72" s="197">
        <v>255.6</v>
      </c>
      <c r="C72" s="199">
        <v>2.556</v>
      </c>
    </row>
    <row r="73" spans="1:3" x14ac:dyDescent="0.45">
      <c r="A73" s="198">
        <v>36</v>
      </c>
      <c r="B73" s="197">
        <v>259.2</v>
      </c>
      <c r="C73" s="199">
        <v>2.5920000000000001</v>
      </c>
    </row>
    <row r="74" spans="1:3" x14ac:dyDescent="0.45">
      <c r="A74" s="198">
        <v>36.5</v>
      </c>
      <c r="B74" s="197">
        <v>262.8</v>
      </c>
      <c r="C74" s="199">
        <v>2.6280000000000001</v>
      </c>
    </row>
    <row r="75" spans="1:3" x14ac:dyDescent="0.45">
      <c r="A75" s="198">
        <v>37</v>
      </c>
      <c r="B75" s="197">
        <v>266.39999999999998</v>
      </c>
      <c r="C75" s="199">
        <v>2.6640000000000001</v>
      </c>
    </row>
    <row r="76" spans="1:3" x14ac:dyDescent="0.45">
      <c r="A76" s="198">
        <v>37.5</v>
      </c>
      <c r="B76" s="197">
        <v>270</v>
      </c>
      <c r="C76" s="199">
        <v>2.7</v>
      </c>
    </row>
    <row r="77" spans="1:3" x14ac:dyDescent="0.45">
      <c r="A77" s="198">
        <v>38</v>
      </c>
      <c r="B77" s="197">
        <v>273.60000000000002</v>
      </c>
      <c r="C77" s="199">
        <v>2.7360000000000002</v>
      </c>
    </row>
    <row r="78" spans="1:3" x14ac:dyDescent="0.45">
      <c r="A78" s="198">
        <v>38.5</v>
      </c>
      <c r="B78" s="197">
        <v>277.2</v>
      </c>
      <c r="C78" s="199">
        <v>2.7719999999999998</v>
      </c>
    </row>
    <row r="79" spans="1:3" x14ac:dyDescent="0.45">
      <c r="A79" s="198">
        <v>39</v>
      </c>
      <c r="B79" s="197">
        <v>280.8</v>
      </c>
      <c r="C79" s="199">
        <v>2.8079999999999998</v>
      </c>
    </row>
    <row r="80" spans="1:3" x14ac:dyDescent="0.45">
      <c r="A80" s="198">
        <v>39.5</v>
      </c>
      <c r="B80" s="197">
        <v>284.39999999999998</v>
      </c>
      <c r="C80" s="199">
        <v>2.8439999999999999</v>
      </c>
    </row>
    <row r="81" spans="1:3" x14ac:dyDescent="0.45">
      <c r="A81" s="198">
        <v>40</v>
      </c>
      <c r="B81" s="197">
        <v>288</v>
      </c>
      <c r="C81" s="199">
        <v>2.88</v>
      </c>
    </row>
    <row r="82" spans="1:3" x14ac:dyDescent="0.45">
      <c r="A82" s="198">
        <v>40.5</v>
      </c>
      <c r="B82" s="197">
        <v>291.60000000000002</v>
      </c>
      <c r="C82" s="199">
        <v>2.9159999999999999</v>
      </c>
    </row>
    <row r="83" spans="1:3" x14ac:dyDescent="0.45">
      <c r="A83" s="198">
        <v>41</v>
      </c>
      <c r="B83" s="197">
        <v>295.2</v>
      </c>
      <c r="C83" s="199">
        <v>2.952</v>
      </c>
    </row>
    <row r="84" spans="1:3" x14ac:dyDescent="0.45">
      <c r="A84" s="198">
        <v>41.5</v>
      </c>
      <c r="B84" s="197">
        <v>298.8</v>
      </c>
      <c r="C84" s="199">
        <v>2.988</v>
      </c>
    </row>
    <row r="85" spans="1:3" x14ac:dyDescent="0.45">
      <c r="A85" s="198">
        <v>42</v>
      </c>
      <c r="B85" s="197">
        <v>302.39999999999998</v>
      </c>
      <c r="C85" s="199">
        <v>3.024</v>
      </c>
    </row>
    <row r="86" spans="1:3" x14ac:dyDescent="0.45">
      <c r="A86" s="198">
        <v>42.5</v>
      </c>
      <c r="B86" s="197">
        <v>306</v>
      </c>
      <c r="C86" s="199">
        <v>3.06</v>
      </c>
    </row>
    <row r="87" spans="1:3" x14ac:dyDescent="0.45">
      <c r="A87" s="198">
        <v>43</v>
      </c>
      <c r="B87" s="197">
        <v>309.60000000000002</v>
      </c>
      <c r="C87" s="199">
        <v>3.0960000000000001</v>
      </c>
    </row>
    <row r="88" spans="1:3" x14ac:dyDescent="0.45">
      <c r="A88" s="198">
        <v>43.5</v>
      </c>
      <c r="B88" s="197">
        <v>313.2</v>
      </c>
      <c r="C88" s="199">
        <v>3.1320000000000001</v>
      </c>
    </row>
    <row r="89" spans="1:3" x14ac:dyDescent="0.45">
      <c r="A89" s="198">
        <v>44</v>
      </c>
      <c r="B89" s="197">
        <v>316.8</v>
      </c>
      <c r="C89" s="199">
        <v>3.1680000000000001</v>
      </c>
    </row>
    <row r="90" spans="1:3" x14ac:dyDescent="0.45">
      <c r="A90" s="198">
        <v>44.5</v>
      </c>
      <c r="B90" s="197">
        <v>320.39999999999998</v>
      </c>
      <c r="C90" s="199">
        <v>3.2040000000000002</v>
      </c>
    </row>
    <row r="91" spans="1:3" x14ac:dyDescent="0.45">
      <c r="A91" s="198">
        <v>45</v>
      </c>
      <c r="B91" s="197">
        <v>324</v>
      </c>
      <c r="C91" s="199">
        <v>3.24</v>
      </c>
    </row>
    <row r="92" spans="1:3" x14ac:dyDescent="0.45">
      <c r="A92" s="198">
        <v>45.5</v>
      </c>
      <c r="B92" s="197">
        <v>327.60000000000002</v>
      </c>
      <c r="C92" s="199">
        <v>3.2759999999999998</v>
      </c>
    </row>
    <row r="93" spans="1:3" x14ac:dyDescent="0.45">
      <c r="A93" s="198">
        <v>46</v>
      </c>
      <c r="B93" s="197">
        <v>331.2</v>
      </c>
      <c r="C93" s="199">
        <v>3.3119999999999998</v>
      </c>
    </row>
    <row r="94" spans="1:3" x14ac:dyDescent="0.45">
      <c r="A94" s="198">
        <v>46.5</v>
      </c>
      <c r="B94" s="197">
        <v>334.8</v>
      </c>
      <c r="C94" s="199">
        <v>3.3479999999999999</v>
      </c>
    </row>
    <row r="95" spans="1:3" x14ac:dyDescent="0.45">
      <c r="A95" s="198">
        <v>47</v>
      </c>
      <c r="B95" s="197">
        <v>338.4</v>
      </c>
      <c r="C95" s="199">
        <v>3.3839999999999999</v>
      </c>
    </row>
    <row r="96" spans="1:3" x14ac:dyDescent="0.45">
      <c r="A96" s="198">
        <v>47.5</v>
      </c>
      <c r="B96" s="197">
        <v>342</v>
      </c>
      <c r="C96" s="199">
        <v>3.42</v>
      </c>
    </row>
    <row r="97" spans="1:3" x14ac:dyDescent="0.45">
      <c r="A97" s="198">
        <v>48</v>
      </c>
      <c r="B97" s="197">
        <v>345.6</v>
      </c>
      <c r="C97" s="199">
        <v>3.456</v>
      </c>
    </row>
    <row r="98" spans="1:3" x14ac:dyDescent="0.45">
      <c r="A98" s="198">
        <v>48.5</v>
      </c>
      <c r="B98" s="197">
        <v>349.2</v>
      </c>
      <c r="C98" s="199">
        <v>3.492</v>
      </c>
    </row>
    <row r="99" spans="1:3" x14ac:dyDescent="0.45">
      <c r="A99" s="198">
        <v>49</v>
      </c>
      <c r="B99" s="197">
        <v>352.8</v>
      </c>
      <c r="C99" s="199">
        <v>3.528</v>
      </c>
    </row>
    <row r="100" spans="1:3" x14ac:dyDescent="0.45">
      <c r="A100" s="198">
        <v>49.5</v>
      </c>
      <c r="B100" s="197">
        <v>356.4</v>
      </c>
      <c r="C100" s="199">
        <v>3.5640000000000001</v>
      </c>
    </row>
    <row r="101" spans="1:3" x14ac:dyDescent="0.45">
      <c r="A101" s="198">
        <v>50</v>
      </c>
      <c r="B101" s="197">
        <v>360</v>
      </c>
      <c r="C101" s="199">
        <v>3.6</v>
      </c>
    </row>
    <row r="102" spans="1:3" x14ac:dyDescent="0.45">
      <c r="A102" s="198">
        <v>50.5</v>
      </c>
      <c r="B102" s="197">
        <v>363.6</v>
      </c>
      <c r="C102" s="199">
        <v>3.6360000000000001</v>
      </c>
    </row>
    <row r="103" spans="1:3" x14ac:dyDescent="0.45">
      <c r="A103" s="198">
        <v>51</v>
      </c>
      <c r="B103" s="197">
        <v>367.2</v>
      </c>
      <c r="C103" s="199">
        <v>3.6720000000000002</v>
      </c>
    </row>
    <row r="104" spans="1:3" x14ac:dyDescent="0.45">
      <c r="A104" s="198">
        <v>51.5</v>
      </c>
      <c r="B104" s="197">
        <v>370.8</v>
      </c>
      <c r="C104" s="199">
        <v>3.7080000000000002</v>
      </c>
    </row>
    <row r="105" spans="1:3" x14ac:dyDescent="0.45">
      <c r="A105" s="198">
        <v>52</v>
      </c>
      <c r="B105" s="197">
        <v>374.4</v>
      </c>
      <c r="C105" s="199">
        <v>3.7440000000000002</v>
      </c>
    </row>
    <row r="106" spans="1:3" x14ac:dyDescent="0.45">
      <c r="A106" s="198">
        <v>52.5</v>
      </c>
      <c r="B106" s="197">
        <v>378</v>
      </c>
      <c r="C106" s="199">
        <v>3.78</v>
      </c>
    </row>
    <row r="107" spans="1:3" x14ac:dyDescent="0.45">
      <c r="A107" s="198">
        <v>53</v>
      </c>
      <c r="B107" s="197">
        <v>381.6</v>
      </c>
      <c r="C107" s="199">
        <v>3.8159999999999998</v>
      </c>
    </row>
    <row r="108" spans="1:3" x14ac:dyDescent="0.45">
      <c r="A108" s="198">
        <v>53.5</v>
      </c>
      <c r="B108" s="197">
        <v>385.2</v>
      </c>
      <c r="C108" s="199">
        <v>3.8519999999999999</v>
      </c>
    </row>
    <row r="109" spans="1:3" x14ac:dyDescent="0.45">
      <c r="A109" s="198">
        <v>54</v>
      </c>
      <c r="B109" s="197">
        <v>388.8</v>
      </c>
      <c r="C109" s="199">
        <v>3.8879999999999999</v>
      </c>
    </row>
    <row r="110" spans="1:3" x14ac:dyDescent="0.45">
      <c r="A110" s="198">
        <v>54.5</v>
      </c>
      <c r="B110" s="197">
        <v>392.4</v>
      </c>
      <c r="C110" s="199">
        <v>3.9239999999999999</v>
      </c>
    </row>
    <row r="111" spans="1:3" x14ac:dyDescent="0.45">
      <c r="A111" s="198">
        <v>55</v>
      </c>
      <c r="B111" s="197">
        <v>396</v>
      </c>
      <c r="C111" s="199">
        <v>3.96</v>
      </c>
    </row>
    <row r="112" spans="1:3" x14ac:dyDescent="0.45">
      <c r="A112" s="198">
        <v>55.5</v>
      </c>
      <c r="B112" s="197">
        <v>399.6</v>
      </c>
      <c r="C112" s="199">
        <v>3.996</v>
      </c>
    </row>
    <row r="113" spans="1:3" x14ac:dyDescent="0.45">
      <c r="A113" s="198">
        <v>56</v>
      </c>
      <c r="B113" s="197">
        <v>403.2</v>
      </c>
      <c r="C113" s="199">
        <v>4.032</v>
      </c>
    </row>
    <row r="114" spans="1:3" x14ac:dyDescent="0.45">
      <c r="A114" s="198">
        <v>56.5</v>
      </c>
      <c r="B114" s="197">
        <v>406.8</v>
      </c>
      <c r="C114" s="199">
        <v>4.0679999999999996</v>
      </c>
    </row>
    <row r="115" spans="1:3" x14ac:dyDescent="0.45">
      <c r="A115" s="198">
        <v>57</v>
      </c>
      <c r="B115" s="197">
        <v>410.4</v>
      </c>
      <c r="C115" s="199">
        <v>4.1040000000000001</v>
      </c>
    </row>
    <row r="116" spans="1:3" x14ac:dyDescent="0.45">
      <c r="A116" s="198">
        <v>57.5</v>
      </c>
      <c r="B116" s="197">
        <v>414</v>
      </c>
      <c r="C116" s="199">
        <v>4.1399999999999997</v>
      </c>
    </row>
    <row r="117" spans="1:3" x14ac:dyDescent="0.45">
      <c r="A117" s="198">
        <v>58</v>
      </c>
      <c r="B117" s="197">
        <v>417.6</v>
      </c>
      <c r="C117" s="199">
        <v>4.1760000000000002</v>
      </c>
    </row>
    <row r="118" spans="1:3" x14ac:dyDescent="0.45">
      <c r="A118" s="198">
        <v>58.5</v>
      </c>
      <c r="B118" s="197">
        <v>421.2</v>
      </c>
      <c r="C118" s="199">
        <v>4.2119999999999997</v>
      </c>
    </row>
    <row r="119" spans="1:3" x14ac:dyDescent="0.45">
      <c r="A119" s="198">
        <v>59</v>
      </c>
      <c r="B119" s="197">
        <v>424.8</v>
      </c>
      <c r="C119" s="199">
        <v>4.2480000000000002</v>
      </c>
    </row>
    <row r="120" spans="1:3" x14ac:dyDescent="0.45">
      <c r="A120" s="198">
        <v>59.5</v>
      </c>
      <c r="B120" s="197">
        <v>428.4</v>
      </c>
      <c r="C120" s="199">
        <v>4.2839999999999998</v>
      </c>
    </row>
    <row r="121" spans="1:3" x14ac:dyDescent="0.45">
      <c r="A121" s="198">
        <v>60</v>
      </c>
      <c r="B121" s="197">
        <v>432</v>
      </c>
      <c r="C121" s="199">
        <v>4.32</v>
      </c>
    </row>
    <row r="122" spans="1:3" x14ac:dyDescent="0.45">
      <c r="A122" s="198">
        <v>60.5</v>
      </c>
      <c r="B122" s="197">
        <v>435.6</v>
      </c>
      <c r="C122" s="199">
        <v>4.3559999999999999</v>
      </c>
    </row>
    <row r="123" spans="1:3" x14ac:dyDescent="0.45">
      <c r="A123" s="198">
        <v>61</v>
      </c>
      <c r="B123" s="197">
        <v>439.2</v>
      </c>
      <c r="C123" s="199">
        <v>4.3920000000000003</v>
      </c>
    </row>
    <row r="124" spans="1:3" x14ac:dyDescent="0.45">
      <c r="A124" s="198">
        <v>61.5</v>
      </c>
      <c r="B124" s="197">
        <v>442.8</v>
      </c>
      <c r="C124" s="199">
        <v>4.4279999999999999</v>
      </c>
    </row>
    <row r="125" spans="1:3" x14ac:dyDescent="0.45">
      <c r="A125" s="198">
        <v>62</v>
      </c>
      <c r="B125" s="197">
        <v>446.4</v>
      </c>
      <c r="C125" s="199">
        <v>4.4640000000000004</v>
      </c>
    </row>
    <row r="126" spans="1:3" x14ac:dyDescent="0.45">
      <c r="A126" s="198">
        <v>62.5</v>
      </c>
      <c r="B126" s="197">
        <v>450</v>
      </c>
      <c r="C126" s="199">
        <v>4.5</v>
      </c>
    </row>
    <row r="127" spans="1:3" x14ac:dyDescent="0.45">
      <c r="A127" s="198">
        <v>63</v>
      </c>
      <c r="B127" s="197">
        <v>453.6</v>
      </c>
      <c r="C127" s="199">
        <v>4.5359999999999996</v>
      </c>
    </row>
    <row r="128" spans="1:3" x14ac:dyDescent="0.45">
      <c r="A128" s="198">
        <v>63.5</v>
      </c>
      <c r="B128" s="197">
        <v>457.2</v>
      </c>
      <c r="C128" s="199">
        <v>4.5720000000000001</v>
      </c>
    </row>
    <row r="129" spans="1:3" x14ac:dyDescent="0.45">
      <c r="A129" s="198">
        <v>64</v>
      </c>
      <c r="B129" s="197">
        <v>460.8</v>
      </c>
      <c r="C129" s="199">
        <v>4.6079999999999997</v>
      </c>
    </row>
    <row r="130" spans="1:3" x14ac:dyDescent="0.45">
      <c r="A130" s="198">
        <v>64.5</v>
      </c>
      <c r="B130" s="197">
        <v>464.4</v>
      </c>
      <c r="C130" s="199">
        <v>4.6440000000000001</v>
      </c>
    </row>
    <row r="131" spans="1:3" x14ac:dyDescent="0.45">
      <c r="A131" s="198">
        <v>65</v>
      </c>
      <c r="B131" s="197">
        <v>468</v>
      </c>
      <c r="C131" s="199">
        <v>4.68</v>
      </c>
    </row>
    <row r="132" spans="1:3" x14ac:dyDescent="0.45">
      <c r="A132" s="198">
        <v>65.5</v>
      </c>
      <c r="B132" s="197">
        <v>471.6</v>
      </c>
      <c r="C132" s="199">
        <v>4.7160000000000002</v>
      </c>
    </row>
    <row r="133" spans="1:3" x14ac:dyDescent="0.45">
      <c r="A133" s="198">
        <v>66</v>
      </c>
      <c r="B133" s="197">
        <v>475.2</v>
      </c>
      <c r="C133" s="199">
        <v>4.7519999999999998</v>
      </c>
    </row>
    <row r="134" spans="1:3" x14ac:dyDescent="0.45">
      <c r="A134" s="198">
        <v>66.5</v>
      </c>
      <c r="B134" s="197">
        <v>478.8</v>
      </c>
      <c r="C134" s="199">
        <v>4.7880000000000003</v>
      </c>
    </row>
    <row r="135" spans="1:3" x14ac:dyDescent="0.45">
      <c r="A135" s="198">
        <v>67</v>
      </c>
      <c r="B135" s="197">
        <v>482.4</v>
      </c>
      <c r="C135" s="199">
        <v>4.8239999999999998</v>
      </c>
    </row>
    <row r="136" spans="1:3" x14ac:dyDescent="0.45">
      <c r="A136" s="198">
        <v>67.5</v>
      </c>
      <c r="B136" s="197">
        <v>486</v>
      </c>
      <c r="C136" s="199">
        <v>4.8600000000000003</v>
      </c>
    </row>
    <row r="137" spans="1:3" x14ac:dyDescent="0.45">
      <c r="A137" s="198">
        <v>68</v>
      </c>
      <c r="B137" s="197">
        <v>489.6</v>
      </c>
      <c r="C137" s="199">
        <v>4.8959999999999999</v>
      </c>
    </row>
    <row r="138" spans="1:3" x14ac:dyDescent="0.45">
      <c r="A138" s="198">
        <v>68.5</v>
      </c>
      <c r="B138" s="197">
        <v>493.2</v>
      </c>
      <c r="C138" s="199">
        <v>4.9320000000000004</v>
      </c>
    </row>
    <row r="139" spans="1:3" x14ac:dyDescent="0.45">
      <c r="A139" s="198">
        <v>69</v>
      </c>
      <c r="B139" s="197">
        <v>496.8</v>
      </c>
      <c r="C139" s="199">
        <v>4.968</v>
      </c>
    </row>
    <row r="140" spans="1:3" x14ac:dyDescent="0.45">
      <c r="A140" s="198">
        <v>69.5</v>
      </c>
      <c r="B140" s="197">
        <v>500.4</v>
      </c>
      <c r="C140" s="199">
        <v>5.0039999999999996</v>
      </c>
    </row>
    <row r="141" spans="1:3" x14ac:dyDescent="0.45">
      <c r="A141" s="198">
        <v>70</v>
      </c>
      <c r="B141" s="197">
        <v>504</v>
      </c>
      <c r="C141" s="199">
        <v>5.04</v>
      </c>
    </row>
    <row r="142" spans="1:3" x14ac:dyDescent="0.45">
      <c r="A142" s="198">
        <v>70.5</v>
      </c>
      <c r="B142" s="197">
        <v>507.6</v>
      </c>
      <c r="C142" s="199">
        <v>5.0759999999999996</v>
      </c>
    </row>
    <row r="143" spans="1:3" x14ac:dyDescent="0.45">
      <c r="A143" s="198">
        <v>71</v>
      </c>
      <c r="B143" s="197">
        <v>511.2</v>
      </c>
      <c r="C143" s="199">
        <v>5.1120000000000001</v>
      </c>
    </row>
    <row r="144" spans="1:3" x14ac:dyDescent="0.45">
      <c r="A144" s="198">
        <v>71.5</v>
      </c>
      <c r="B144" s="197">
        <v>514.79999999999995</v>
      </c>
      <c r="C144" s="199">
        <v>5.1479999999999997</v>
      </c>
    </row>
    <row r="145" spans="1:3" x14ac:dyDescent="0.45">
      <c r="A145" s="198">
        <v>72</v>
      </c>
      <c r="B145" s="197">
        <v>518.4</v>
      </c>
      <c r="C145" s="199">
        <v>5.1840000000000002</v>
      </c>
    </row>
    <row r="146" spans="1:3" x14ac:dyDescent="0.45">
      <c r="A146" s="198">
        <v>72.5</v>
      </c>
      <c r="B146" s="197">
        <v>522</v>
      </c>
      <c r="C146" s="199">
        <v>5.22</v>
      </c>
    </row>
    <row r="147" spans="1:3" x14ac:dyDescent="0.45">
      <c r="A147" s="198">
        <v>73</v>
      </c>
      <c r="B147" s="197">
        <v>525.6</v>
      </c>
      <c r="C147" s="199">
        <v>5.2560000000000002</v>
      </c>
    </row>
    <row r="148" spans="1:3" x14ac:dyDescent="0.45">
      <c r="A148" s="198">
        <v>73.5</v>
      </c>
      <c r="B148" s="197">
        <v>529.20000000000005</v>
      </c>
      <c r="C148" s="199">
        <v>5.2919999999999998</v>
      </c>
    </row>
    <row r="149" spans="1:3" x14ac:dyDescent="0.45">
      <c r="A149" s="198">
        <v>74</v>
      </c>
      <c r="B149" s="197">
        <v>532.79999999999995</v>
      </c>
      <c r="C149" s="199">
        <v>5.3280000000000003</v>
      </c>
    </row>
    <row r="150" spans="1:3" x14ac:dyDescent="0.45">
      <c r="A150" s="198">
        <v>74.5</v>
      </c>
      <c r="B150" s="197">
        <v>536.4</v>
      </c>
      <c r="C150" s="199">
        <v>5.3639999999999999</v>
      </c>
    </row>
    <row r="151" spans="1:3" x14ac:dyDescent="0.45">
      <c r="A151" s="198">
        <v>75</v>
      </c>
      <c r="B151" s="197">
        <v>540</v>
      </c>
      <c r="C151" s="199">
        <v>5.4</v>
      </c>
    </row>
    <row r="152" spans="1:3" x14ac:dyDescent="0.45">
      <c r="A152" s="198">
        <v>75.5</v>
      </c>
      <c r="B152" s="197">
        <v>543.6</v>
      </c>
      <c r="C152" s="199">
        <v>5.4359999999999999</v>
      </c>
    </row>
    <row r="153" spans="1:3" x14ac:dyDescent="0.45">
      <c r="A153" s="198">
        <v>76</v>
      </c>
      <c r="B153" s="197">
        <v>547.20000000000005</v>
      </c>
      <c r="C153" s="199">
        <v>5.4720000000000004</v>
      </c>
    </row>
    <row r="154" spans="1:3" x14ac:dyDescent="0.45">
      <c r="A154" s="198">
        <v>76.5</v>
      </c>
      <c r="B154" s="197">
        <v>550.79999999999995</v>
      </c>
      <c r="C154" s="199">
        <v>5.508</v>
      </c>
    </row>
    <row r="155" spans="1:3" x14ac:dyDescent="0.45">
      <c r="A155" s="198">
        <v>77</v>
      </c>
      <c r="B155" s="197">
        <v>554.4</v>
      </c>
      <c r="C155" s="199">
        <v>5.5439999999999996</v>
      </c>
    </row>
    <row r="156" spans="1:3" x14ac:dyDescent="0.45">
      <c r="A156" s="198">
        <v>77.5</v>
      </c>
      <c r="B156" s="197">
        <v>558</v>
      </c>
      <c r="C156" s="199">
        <v>5.58</v>
      </c>
    </row>
    <row r="157" spans="1:3" x14ac:dyDescent="0.45">
      <c r="A157" s="198">
        <v>78</v>
      </c>
      <c r="B157" s="197">
        <v>561.6</v>
      </c>
      <c r="C157" s="199">
        <v>5.6159999999999997</v>
      </c>
    </row>
    <row r="158" spans="1:3" x14ac:dyDescent="0.45">
      <c r="A158" s="198">
        <v>78.5</v>
      </c>
      <c r="B158" s="197">
        <v>565.20000000000005</v>
      </c>
      <c r="C158" s="199">
        <v>5.6520000000000001</v>
      </c>
    </row>
    <row r="159" spans="1:3" x14ac:dyDescent="0.45">
      <c r="A159" s="198">
        <v>79</v>
      </c>
      <c r="B159" s="197">
        <v>568.79999999999995</v>
      </c>
      <c r="C159" s="199">
        <v>5.6879999999999997</v>
      </c>
    </row>
    <row r="160" spans="1:3" x14ac:dyDescent="0.45">
      <c r="A160" s="198">
        <v>79.5</v>
      </c>
      <c r="B160" s="197">
        <v>572.4</v>
      </c>
      <c r="C160" s="199">
        <v>5.7240000000000002</v>
      </c>
    </row>
    <row r="161" spans="1:3" x14ac:dyDescent="0.45">
      <c r="A161" s="198">
        <v>80</v>
      </c>
      <c r="B161" s="197">
        <v>576</v>
      </c>
      <c r="C161" s="199">
        <v>5.76</v>
      </c>
    </row>
    <row r="162" spans="1:3" x14ac:dyDescent="0.45">
      <c r="A162" s="198">
        <v>80.5</v>
      </c>
      <c r="B162" s="197">
        <v>579.6</v>
      </c>
      <c r="C162" s="199">
        <v>5.7960000000000003</v>
      </c>
    </row>
    <row r="163" spans="1:3" x14ac:dyDescent="0.45">
      <c r="A163" s="198">
        <v>81</v>
      </c>
      <c r="B163" s="197">
        <v>583.20000000000005</v>
      </c>
      <c r="C163" s="199">
        <v>5.8319999999999999</v>
      </c>
    </row>
    <row r="164" spans="1:3" x14ac:dyDescent="0.45">
      <c r="A164" s="198">
        <v>81.5</v>
      </c>
      <c r="B164" s="197">
        <v>586.79999999999995</v>
      </c>
      <c r="C164" s="199">
        <v>5.8680000000000003</v>
      </c>
    </row>
    <row r="165" spans="1:3" x14ac:dyDescent="0.45">
      <c r="A165" s="198">
        <v>82</v>
      </c>
      <c r="B165" s="197">
        <v>590.4</v>
      </c>
      <c r="C165" s="199">
        <v>5.9039999999999999</v>
      </c>
    </row>
    <row r="166" spans="1:3" x14ac:dyDescent="0.45">
      <c r="A166" s="198">
        <v>82.5</v>
      </c>
      <c r="B166" s="197">
        <v>594</v>
      </c>
      <c r="C166" s="199">
        <v>5.94</v>
      </c>
    </row>
    <row r="167" spans="1:3" x14ac:dyDescent="0.45">
      <c r="A167" s="198">
        <v>83</v>
      </c>
      <c r="B167" s="197">
        <v>597.6</v>
      </c>
      <c r="C167" s="199">
        <v>5.976</v>
      </c>
    </row>
    <row r="168" spans="1:3" x14ac:dyDescent="0.45">
      <c r="A168" s="198">
        <v>83.5</v>
      </c>
      <c r="B168" s="197">
        <v>601.20000000000005</v>
      </c>
      <c r="C168" s="199">
        <v>6.0119999999999996</v>
      </c>
    </row>
    <row r="169" spans="1:3" x14ac:dyDescent="0.45">
      <c r="A169" s="198">
        <v>84</v>
      </c>
      <c r="B169" s="197">
        <v>604.79999999999995</v>
      </c>
      <c r="C169" s="199">
        <v>6.048</v>
      </c>
    </row>
    <row r="170" spans="1:3" x14ac:dyDescent="0.45">
      <c r="A170" s="198">
        <v>84.5</v>
      </c>
      <c r="B170" s="197">
        <v>608.4</v>
      </c>
      <c r="C170" s="199">
        <v>6.0839999999999996</v>
      </c>
    </row>
    <row r="171" spans="1:3" x14ac:dyDescent="0.45">
      <c r="A171" s="198">
        <v>85</v>
      </c>
      <c r="B171" s="197">
        <v>612</v>
      </c>
      <c r="C171" s="199">
        <v>6.12</v>
      </c>
    </row>
    <row r="172" spans="1:3" x14ac:dyDescent="0.45">
      <c r="A172" s="198">
        <v>85.5</v>
      </c>
      <c r="B172" s="197">
        <v>615.6</v>
      </c>
      <c r="C172" s="199">
        <v>6.1559999999999997</v>
      </c>
    </row>
    <row r="173" spans="1:3" x14ac:dyDescent="0.45">
      <c r="A173" s="198">
        <v>86</v>
      </c>
      <c r="B173" s="197">
        <v>619.20000000000005</v>
      </c>
      <c r="C173" s="199">
        <v>6.1920000000000002</v>
      </c>
    </row>
    <row r="174" spans="1:3" x14ac:dyDescent="0.45">
      <c r="A174" s="198">
        <v>86.5</v>
      </c>
      <c r="B174" s="197">
        <v>622.79999999999995</v>
      </c>
      <c r="C174" s="199">
        <v>6.2279999999999998</v>
      </c>
    </row>
    <row r="175" spans="1:3" x14ac:dyDescent="0.45">
      <c r="A175" s="198">
        <v>87</v>
      </c>
      <c r="B175" s="197">
        <v>626.4</v>
      </c>
      <c r="C175" s="199">
        <v>6.2640000000000002</v>
      </c>
    </row>
    <row r="176" spans="1:3" x14ac:dyDescent="0.45">
      <c r="A176" s="198">
        <v>87.5</v>
      </c>
      <c r="B176" s="197">
        <v>630</v>
      </c>
      <c r="C176" s="199">
        <v>6.3</v>
      </c>
    </row>
    <row r="177" spans="1:3" x14ac:dyDescent="0.45">
      <c r="A177" s="198">
        <v>88</v>
      </c>
      <c r="B177" s="197">
        <v>633.6</v>
      </c>
      <c r="C177" s="199">
        <v>6.3360000000000003</v>
      </c>
    </row>
    <row r="178" spans="1:3" x14ac:dyDescent="0.45">
      <c r="A178" s="198">
        <v>88.5</v>
      </c>
      <c r="B178" s="197">
        <v>637.20000000000005</v>
      </c>
      <c r="C178" s="199">
        <v>6.3719999999999999</v>
      </c>
    </row>
    <row r="179" spans="1:3" x14ac:dyDescent="0.45">
      <c r="A179" s="198">
        <v>89</v>
      </c>
      <c r="B179" s="197">
        <v>640.79999999999995</v>
      </c>
      <c r="C179" s="199">
        <v>6.4080000000000004</v>
      </c>
    </row>
    <row r="180" spans="1:3" x14ac:dyDescent="0.45">
      <c r="A180" s="198">
        <v>89.5</v>
      </c>
      <c r="B180" s="197">
        <v>644.4</v>
      </c>
      <c r="C180" s="199">
        <v>6.444</v>
      </c>
    </row>
    <row r="181" spans="1:3" x14ac:dyDescent="0.45">
      <c r="A181" s="198">
        <v>90</v>
      </c>
      <c r="B181" s="197">
        <v>648</v>
      </c>
      <c r="C181" s="199">
        <v>6.48</v>
      </c>
    </row>
    <row r="182" spans="1:3" x14ac:dyDescent="0.45">
      <c r="A182" s="198">
        <v>90.5</v>
      </c>
      <c r="B182" s="197">
        <v>651.6</v>
      </c>
      <c r="C182" s="199">
        <v>6.516</v>
      </c>
    </row>
    <row r="183" spans="1:3" x14ac:dyDescent="0.45">
      <c r="A183" s="198">
        <v>91</v>
      </c>
      <c r="B183" s="197">
        <v>655.20000000000005</v>
      </c>
      <c r="C183" s="199">
        <v>6.5519999999999996</v>
      </c>
    </row>
    <row r="184" spans="1:3" x14ac:dyDescent="0.45">
      <c r="A184" s="198">
        <v>91.5</v>
      </c>
      <c r="B184" s="197">
        <v>658.8</v>
      </c>
      <c r="C184" s="199">
        <v>6.5880000000000001</v>
      </c>
    </row>
    <row r="185" spans="1:3" x14ac:dyDescent="0.45">
      <c r="A185" s="198">
        <v>92</v>
      </c>
      <c r="B185" s="197">
        <v>662.4</v>
      </c>
      <c r="C185" s="199">
        <v>6.6239999999999997</v>
      </c>
    </row>
    <row r="186" spans="1:3" x14ac:dyDescent="0.45">
      <c r="A186" s="198">
        <v>92.5</v>
      </c>
      <c r="B186" s="197">
        <v>666</v>
      </c>
      <c r="C186" s="199">
        <v>6.66</v>
      </c>
    </row>
    <row r="187" spans="1:3" x14ac:dyDescent="0.45">
      <c r="A187" s="198">
        <v>93</v>
      </c>
      <c r="B187" s="197">
        <v>669.6</v>
      </c>
      <c r="C187" s="199">
        <v>6.6959999999999997</v>
      </c>
    </row>
    <row r="188" spans="1:3" x14ac:dyDescent="0.45">
      <c r="A188" s="198">
        <v>93.5</v>
      </c>
      <c r="B188" s="197">
        <v>673.2</v>
      </c>
      <c r="C188" s="199">
        <v>6.7320000000000002</v>
      </c>
    </row>
    <row r="189" spans="1:3" x14ac:dyDescent="0.45">
      <c r="A189" s="198">
        <v>94</v>
      </c>
      <c r="B189" s="197">
        <v>676.8</v>
      </c>
      <c r="C189" s="199">
        <v>6.7679999999999998</v>
      </c>
    </row>
    <row r="190" spans="1:3" x14ac:dyDescent="0.45">
      <c r="A190" s="198">
        <v>94.5</v>
      </c>
      <c r="B190" s="197">
        <v>680.4</v>
      </c>
      <c r="C190" s="199">
        <v>6.8040000000000003</v>
      </c>
    </row>
    <row r="191" spans="1:3" x14ac:dyDescent="0.45">
      <c r="A191" s="198">
        <v>95</v>
      </c>
      <c r="B191" s="197">
        <v>684</v>
      </c>
      <c r="C191" s="199">
        <v>6.84</v>
      </c>
    </row>
    <row r="192" spans="1:3" x14ac:dyDescent="0.45">
      <c r="A192" s="198">
        <v>95.5</v>
      </c>
      <c r="B192" s="197">
        <v>687.6</v>
      </c>
      <c r="C192" s="199">
        <v>6.8760000000000003</v>
      </c>
    </row>
    <row r="193" spans="1:3" x14ac:dyDescent="0.45">
      <c r="A193" s="198">
        <v>96</v>
      </c>
      <c r="B193" s="197">
        <v>691.2</v>
      </c>
      <c r="C193" s="199">
        <v>6.9119999999999999</v>
      </c>
    </row>
    <row r="194" spans="1:3" x14ac:dyDescent="0.45">
      <c r="A194" s="198">
        <v>96.5</v>
      </c>
      <c r="B194" s="197">
        <v>694.8</v>
      </c>
      <c r="C194" s="199">
        <v>6.9480000000000004</v>
      </c>
    </row>
    <row r="195" spans="1:3" x14ac:dyDescent="0.45">
      <c r="A195" s="198">
        <v>97</v>
      </c>
      <c r="B195" s="197">
        <v>698.4</v>
      </c>
      <c r="C195" s="199">
        <v>6.984</v>
      </c>
    </row>
    <row r="196" spans="1:3" x14ac:dyDescent="0.45">
      <c r="A196" s="198">
        <v>97.5</v>
      </c>
      <c r="B196" s="197">
        <v>702</v>
      </c>
      <c r="C196" s="199">
        <v>7.02</v>
      </c>
    </row>
    <row r="197" spans="1:3" x14ac:dyDescent="0.45">
      <c r="A197" s="198">
        <v>98</v>
      </c>
      <c r="B197" s="197">
        <v>705.6</v>
      </c>
      <c r="C197" s="199">
        <v>7.056</v>
      </c>
    </row>
    <row r="198" spans="1:3" x14ac:dyDescent="0.45">
      <c r="A198" s="198">
        <v>98.5</v>
      </c>
      <c r="B198" s="197">
        <v>709.2</v>
      </c>
      <c r="C198" s="199">
        <v>7.0919999999999996</v>
      </c>
    </row>
    <row r="199" spans="1:3" x14ac:dyDescent="0.45">
      <c r="A199" s="198">
        <v>99</v>
      </c>
      <c r="B199" s="197">
        <v>712.8</v>
      </c>
      <c r="C199" s="199">
        <v>7.1280000000000001</v>
      </c>
    </row>
    <row r="200" spans="1:3" x14ac:dyDescent="0.45">
      <c r="A200" s="198">
        <v>99.5</v>
      </c>
      <c r="B200" s="197">
        <v>716.4</v>
      </c>
      <c r="C200" s="199">
        <v>7.1639999999999997</v>
      </c>
    </row>
    <row r="201" spans="1:3" x14ac:dyDescent="0.45">
      <c r="A201" s="198">
        <v>100</v>
      </c>
      <c r="B201" s="197">
        <v>720</v>
      </c>
      <c r="C201" s="199">
        <v>7.2</v>
      </c>
    </row>
  </sheetData>
  <mergeCells count="2">
    <mergeCell ref="D2:E2"/>
    <mergeCell ref="F2:G2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67FC9-0426-4BE6-9C1B-4A9798E942D1}">
  <sheetPr>
    <tabColor rgb="FFFFC000"/>
  </sheetPr>
  <dimension ref="A1:HI67"/>
  <sheetViews>
    <sheetView tabSelected="1" topLeftCell="A15" zoomScale="70" zoomScaleNormal="70" workbookViewId="0">
      <selection activeCell="G24" sqref="G24"/>
    </sheetView>
  </sheetViews>
  <sheetFormatPr defaultColWidth="10.73046875" defaultRowHeight="12.75" x14ac:dyDescent="0.35"/>
  <cols>
    <col min="1" max="1" width="7.265625" style="1" customWidth="1"/>
    <col min="2" max="2" width="6.86328125" style="1" customWidth="1"/>
    <col min="3" max="3" width="5.73046875" style="1" customWidth="1"/>
    <col min="4" max="5" width="6.265625" style="1" customWidth="1"/>
    <col min="6" max="6" width="9.3984375" style="1" customWidth="1"/>
    <col min="7" max="7" width="8.265625" style="1" customWidth="1"/>
    <col min="8" max="8" width="6.265625" style="1" customWidth="1"/>
    <col min="9" max="9" width="6.3984375" style="1" customWidth="1"/>
    <col min="10" max="10" width="6.73046875" style="1" customWidth="1"/>
    <col min="11" max="11" width="11.59765625" style="1" customWidth="1"/>
    <col min="12" max="13" width="9.59765625" style="1" customWidth="1"/>
    <col min="14" max="14" width="5.73046875" style="1" customWidth="1"/>
    <col min="15" max="15" width="6.3984375" style="1" customWidth="1"/>
    <col min="16" max="16" width="9" style="1" customWidth="1"/>
    <col min="17" max="17" width="5.86328125" style="1" customWidth="1"/>
    <col min="18" max="19" width="8.73046875" style="1" customWidth="1"/>
    <col min="20" max="20" width="5.86328125" style="1" customWidth="1"/>
    <col min="21" max="21" width="6.86328125" style="1" customWidth="1"/>
    <col min="22" max="22" width="8.86328125" style="1" customWidth="1"/>
    <col min="23" max="23" width="5.86328125" style="1" customWidth="1"/>
    <col min="24" max="24" width="6.265625" style="1" customWidth="1"/>
    <col min="25" max="25" width="8.3984375" style="1" customWidth="1"/>
    <col min="26" max="26" width="5.265625" style="1" customWidth="1"/>
    <col min="27" max="27" width="6.73046875" style="1" customWidth="1"/>
    <col min="28" max="28" width="8.1328125" style="1" customWidth="1"/>
    <col min="29" max="29" width="5.265625" style="1" customWidth="1"/>
    <col min="30" max="30" width="7" style="1" customWidth="1"/>
    <col min="31" max="31" width="12" style="1" customWidth="1"/>
    <col min="32" max="32" width="11.265625" style="1" customWidth="1"/>
    <col min="33" max="33" width="12.73046875" style="1" customWidth="1"/>
    <col min="34" max="34" width="10.265625" style="1" customWidth="1"/>
    <col min="35" max="35" width="9.86328125" style="1" customWidth="1"/>
    <col min="36" max="36" width="18.59765625" style="1" customWidth="1"/>
    <col min="37" max="37" width="11.73046875" style="1" customWidth="1"/>
    <col min="38" max="39" width="10.73046875" style="1"/>
    <col min="40" max="41" width="14.73046875" style="1" customWidth="1"/>
    <col min="42" max="16384" width="10.73046875" style="1"/>
  </cols>
  <sheetData>
    <row r="1" spans="1:37" ht="13.15" x14ac:dyDescent="0.4">
      <c r="C1" s="2"/>
      <c r="D1" s="3"/>
      <c r="E1" s="3"/>
      <c r="F1" s="3"/>
      <c r="G1" s="3"/>
      <c r="H1" s="4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2"/>
      <c r="Y1" s="3"/>
      <c r="Z1" s="3"/>
      <c r="AA1" s="5" t="s">
        <v>0</v>
      </c>
      <c r="AB1" s="5"/>
      <c r="AC1" s="5"/>
      <c r="AD1" s="5"/>
      <c r="AE1" s="5"/>
      <c r="AF1" s="5"/>
      <c r="AG1" s="3"/>
      <c r="AH1" s="3"/>
      <c r="AI1" s="3"/>
      <c r="AJ1" s="3"/>
      <c r="AK1" s="6" t="s">
        <v>1</v>
      </c>
    </row>
    <row r="2" spans="1:37" ht="12.75" customHeight="1" x14ac:dyDescent="0.4">
      <c r="C2" s="7"/>
      <c r="D2" s="8" t="s">
        <v>2</v>
      </c>
      <c r="E2" s="206"/>
      <c r="F2" s="206"/>
      <c r="G2" s="206"/>
      <c r="H2" s="9"/>
      <c r="I2" s="7"/>
      <c r="J2" s="8" t="s">
        <v>3</v>
      </c>
      <c r="L2" s="207"/>
      <c r="M2" s="207"/>
      <c r="N2" s="207"/>
      <c r="O2" s="207"/>
      <c r="P2" s="207"/>
      <c r="Q2" s="207"/>
      <c r="R2" s="207"/>
      <c r="S2" s="207"/>
      <c r="T2" s="207"/>
      <c r="X2" s="7"/>
      <c r="AK2" s="9"/>
    </row>
    <row r="3" spans="1:37" ht="12.75" customHeight="1" x14ac:dyDescent="0.4">
      <c r="C3" s="7"/>
      <c r="E3" s="206"/>
      <c r="F3" s="206"/>
      <c r="G3" s="206"/>
      <c r="H3" s="9"/>
      <c r="I3" s="7"/>
      <c r="L3" s="207"/>
      <c r="M3" s="207"/>
      <c r="N3" s="207"/>
      <c r="O3" s="207"/>
      <c r="P3" s="207"/>
      <c r="Q3" s="207"/>
      <c r="R3" s="207"/>
      <c r="S3" s="207"/>
      <c r="T3" s="207"/>
      <c r="X3" s="7"/>
      <c r="AA3" s="1" t="s">
        <v>4</v>
      </c>
      <c r="AG3" s="8" t="s">
        <v>5</v>
      </c>
      <c r="AH3" s="8"/>
      <c r="AI3" s="8"/>
      <c r="AJ3" s="205" t="s">
        <v>6</v>
      </c>
      <c r="AK3" s="208"/>
    </row>
    <row r="4" spans="1:37" ht="13.15" thickBot="1" x14ac:dyDescent="0.4">
      <c r="C4" s="7"/>
      <c r="H4" s="9"/>
      <c r="I4" s="7"/>
      <c r="X4" s="7"/>
      <c r="AA4" s="1" t="s">
        <v>7</v>
      </c>
      <c r="AJ4" s="209" t="s">
        <v>8</v>
      </c>
      <c r="AK4" s="208"/>
    </row>
    <row r="5" spans="1:37" x14ac:dyDescent="0.35">
      <c r="C5" s="210" t="s">
        <v>9</v>
      </c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1"/>
      <c r="U5" s="211"/>
      <c r="V5" s="211"/>
      <c r="W5" s="211"/>
      <c r="X5" s="211"/>
      <c r="Y5" s="211"/>
      <c r="Z5" s="211"/>
      <c r="AA5" s="211"/>
      <c r="AB5" s="211"/>
      <c r="AC5" s="211"/>
      <c r="AD5" s="211"/>
      <c r="AE5" s="211"/>
      <c r="AF5" s="211"/>
      <c r="AG5" s="211"/>
      <c r="AH5" s="211"/>
      <c r="AI5" s="211"/>
      <c r="AJ5" s="211"/>
      <c r="AK5" s="212"/>
    </row>
    <row r="6" spans="1:37" ht="13.15" thickBot="1" x14ac:dyDescent="0.4">
      <c r="A6" s="204"/>
      <c r="B6" s="205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  <c r="AE6" s="214"/>
      <c r="AF6" s="214"/>
      <c r="AG6" s="214"/>
      <c r="AH6" s="214"/>
      <c r="AI6" s="214"/>
      <c r="AJ6" s="214"/>
      <c r="AK6" s="215"/>
    </row>
    <row r="7" spans="1:37" ht="13.15" thickBot="1" x14ac:dyDescent="0.4"/>
    <row r="8" spans="1:37" s="10" customFormat="1" ht="13.5" thickBot="1" x14ac:dyDescent="0.45">
      <c r="A8" s="10" t="s">
        <v>10</v>
      </c>
      <c r="B8" s="11"/>
      <c r="E8" s="12" t="s">
        <v>12</v>
      </c>
      <c r="F8" s="13">
        <v>208400</v>
      </c>
      <c r="H8" s="12" t="s">
        <v>13</v>
      </c>
      <c r="I8" s="13">
        <v>3.5</v>
      </c>
      <c r="K8" s="10" t="s">
        <v>14</v>
      </c>
      <c r="L8" s="14">
        <f>I10*I9*I8*I11</f>
        <v>13895</v>
      </c>
      <c r="M8" s="15"/>
      <c r="N8" s="15"/>
      <c r="R8" s="12" t="s">
        <v>15</v>
      </c>
      <c r="S8" s="12"/>
      <c r="T8" s="12"/>
      <c r="U8" s="13">
        <v>140</v>
      </c>
      <c r="V8" s="16"/>
      <c r="W8" s="16"/>
      <c r="AA8" s="10" t="s">
        <v>16</v>
      </c>
      <c r="AE8" s="13"/>
      <c r="AG8" s="10" t="s">
        <v>17</v>
      </c>
      <c r="AH8" s="17">
        <f>B58</f>
        <v>800</v>
      </c>
      <c r="AJ8" s="10" t="s">
        <v>18</v>
      </c>
      <c r="AK8" s="18">
        <f>MAX(AG18:AG57)</f>
        <v>100</v>
      </c>
    </row>
    <row r="9" spans="1:37" s="10" customFormat="1" ht="13.5" thickBot="1" x14ac:dyDescent="0.45">
      <c r="A9" s="12" t="s">
        <v>19</v>
      </c>
      <c r="B9" s="19" t="s">
        <v>20</v>
      </c>
      <c r="E9" s="12" t="s">
        <v>21</v>
      </c>
      <c r="F9" s="13">
        <v>139600</v>
      </c>
      <c r="H9" s="12" t="s">
        <v>22</v>
      </c>
      <c r="I9" s="20">
        <f>((D58+E58)/2)/I11</f>
        <v>4.9625000000000004</v>
      </c>
      <c r="K9" s="10" t="s">
        <v>23</v>
      </c>
      <c r="L9" s="13">
        <v>2.5</v>
      </c>
      <c r="M9" s="16"/>
      <c r="N9" s="16"/>
      <c r="R9" s="12" t="s">
        <v>24</v>
      </c>
      <c r="S9" s="12"/>
      <c r="T9" s="12"/>
      <c r="U9" s="13"/>
      <c r="V9" s="16"/>
      <c r="W9" s="16"/>
      <c r="AA9" s="10" t="s">
        <v>25</v>
      </c>
      <c r="AE9" s="13"/>
      <c r="AG9" s="10" t="s">
        <v>26</v>
      </c>
      <c r="AH9" s="21">
        <f>L10/AH8</f>
        <v>43.421875</v>
      </c>
      <c r="AJ9" s="10" t="s">
        <v>27</v>
      </c>
      <c r="AK9" s="22">
        <f>AK$26/L$10*1000</f>
        <v>5.7574667146455552</v>
      </c>
    </row>
    <row r="10" spans="1:37" s="10" customFormat="1" ht="13.15" thickBot="1" x14ac:dyDescent="0.4">
      <c r="A10" s="12" t="s">
        <v>28</v>
      </c>
      <c r="B10" s="19"/>
      <c r="E10" s="12" t="s">
        <v>29</v>
      </c>
      <c r="F10" s="13" t="s">
        <v>30</v>
      </c>
      <c r="H10" s="10" t="s">
        <v>31</v>
      </c>
      <c r="I10" s="23">
        <f>B58/I11</f>
        <v>20</v>
      </c>
      <c r="K10" s="12" t="s">
        <v>32</v>
      </c>
      <c r="L10" s="14">
        <f>L8*L9</f>
        <v>34737.5</v>
      </c>
      <c r="M10" s="15"/>
      <c r="N10" s="15"/>
      <c r="R10" s="12"/>
      <c r="S10" s="12"/>
      <c r="T10" s="12"/>
      <c r="U10" s="24"/>
      <c r="V10" s="25"/>
      <c r="W10" s="25"/>
      <c r="AA10" s="10" t="s">
        <v>33</v>
      </c>
      <c r="AE10" s="13">
        <v>50008</v>
      </c>
      <c r="AG10" s="12"/>
      <c r="AH10" s="12"/>
      <c r="AI10" s="12"/>
      <c r="AJ10" s="12" t="s">
        <v>34</v>
      </c>
      <c r="AK10" s="26">
        <f>(AL$18*AK$18+AL$19*AK$19+AL$20*AK$20+AL$21*AK$21+AL$22*AK$22)</f>
        <v>753700</v>
      </c>
    </row>
    <row r="11" spans="1:37" s="10" customFormat="1" ht="13.15" thickBot="1" x14ac:dyDescent="0.4">
      <c r="A11" s="12" t="s">
        <v>35</v>
      </c>
      <c r="B11" s="19"/>
      <c r="E11" s="10" t="s">
        <v>36</v>
      </c>
      <c r="F11" s="27"/>
      <c r="H11" s="12" t="s">
        <v>37</v>
      </c>
      <c r="I11" s="10">
        <f>COUNTA(B18:B57)</f>
        <v>40</v>
      </c>
      <c r="U11" s="16"/>
      <c r="V11" s="16"/>
      <c r="W11" s="16"/>
      <c r="X11" s="16"/>
      <c r="Y11" s="16"/>
      <c r="Z11" s="16"/>
      <c r="AH11" s="12"/>
      <c r="AI11" s="12"/>
      <c r="AJ11" s="12" t="s">
        <v>38</v>
      </c>
      <c r="AK11" s="15">
        <f>(AL$18*AK$18+AL$19*AK$19+AL$20*AK$20+AL$21*AK$21+AL$22*AK$22)/L$10</f>
        <v>21.697013314141778</v>
      </c>
    </row>
    <row r="12" spans="1:37" s="10" customFormat="1" ht="17.649999999999999" thickBot="1" x14ac:dyDescent="0.5">
      <c r="A12" s="10" t="s">
        <v>39</v>
      </c>
      <c r="B12" s="13"/>
      <c r="E12" s="10" t="s">
        <v>40</v>
      </c>
      <c r="F12" s="28"/>
      <c r="U12" s="16"/>
      <c r="V12" s="16"/>
      <c r="W12" s="16"/>
      <c r="X12" s="16"/>
      <c r="Y12" s="16"/>
      <c r="Z12" s="16"/>
      <c r="AJ12" s="10" t="s">
        <v>41</v>
      </c>
      <c r="AK12" s="29">
        <f>AK10/(1000*L8)</f>
        <v>5.4242533285354444E-2</v>
      </c>
    </row>
    <row r="13" spans="1:37" s="10" customFormat="1" x14ac:dyDescent="0.35">
      <c r="B13" s="16"/>
      <c r="F13" s="30"/>
      <c r="U13" s="16"/>
      <c r="V13" s="16"/>
      <c r="W13" s="16"/>
      <c r="X13" s="16"/>
      <c r="Y13" s="16"/>
      <c r="Z13" s="16"/>
    </row>
    <row r="14" spans="1:37" s="10" customFormat="1" ht="13.15" thickBot="1" x14ac:dyDescent="0.4">
      <c r="B14" s="16"/>
      <c r="F14" s="30"/>
      <c r="U14" s="16"/>
      <c r="V14" s="16"/>
      <c r="W14" s="16"/>
      <c r="X14" s="16"/>
      <c r="Y14" s="16"/>
      <c r="Z14" s="16"/>
    </row>
    <row r="15" spans="1:37" ht="13.5" thickBot="1" x14ac:dyDescent="0.4">
      <c r="F15" s="216" t="s">
        <v>42</v>
      </c>
      <c r="G15" s="217"/>
      <c r="H15" s="217"/>
      <c r="I15" s="217"/>
      <c r="J15" s="218"/>
      <c r="M15" s="219" t="s">
        <v>43</v>
      </c>
      <c r="N15" s="216" t="s">
        <v>44</v>
      </c>
      <c r="O15" s="217"/>
      <c r="P15" s="217"/>
      <c r="Q15" s="217"/>
      <c r="R15" s="217"/>
      <c r="S15" s="217"/>
      <c r="T15" s="217"/>
      <c r="U15" s="217"/>
      <c r="V15" s="217"/>
      <c r="W15" s="217"/>
      <c r="X15" s="217"/>
      <c r="Y15" s="217"/>
      <c r="Z15" s="217"/>
      <c r="AA15" s="217"/>
      <c r="AB15" s="217"/>
      <c r="AC15" s="217"/>
      <c r="AD15" s="218"/>
      <c r="AG15" s="221"/>
      <c r="AH15" s="221"/>
      <c r="AI15" s="221"/>
      <c r="AJ15" s="222"/>
    </row>
    <row r="16" spans="1:37" s="42" customFormat="1" ht="12.75" customHeight="1" thickBot="1" x14ac:dyDescent="0.45">
      <c r="A16" s="31" t="s">
        <v>45</v>
      </c>
      <c r="B16" s="32" t="s">
        <v>46</v>
      </c>
      <c r="C16" s="32" t="s">
        <v>47</v>
      </c>
      <c r="D16" s="32" t="s">
        <v>48</v>
      </c>
      <c r="E16" s="32" t="s">
        <v>49</v>
      </c>
      <c r="F16" s="33" t="s">
        <v>50</v>
      </c>
      <c r="G16" s="34" t="s">
        <v>51</v>
      </c>
      <c r="H16" s="35" t="s">
        <v>52</v>
      </c>
      <c r="I16" s="36" t="s">
        <v>53</v>
      </c>
      <c r="J16" s="37" t="s">
        <v>54</v>
      </c>
      <c r="K16" s="38" t="s">
        <v>55</v>
      </c>
      <c r="L16" s="39" t="s">
        <v>56</v>
      </c>
      <c r="M16" s="220"/>
      <c r="N16" s="33" t="s">
        <v>50</v>
      </c>
      <c r="O16" s="35" t="s">
        <v>52</v>
      </c>
      <c r="P16" s="34" t="s">
        <v>51</v>
      </c>
      <c r="Q16" s="40" t="s">
        <v>57</v>
      </c>
      <c r="R16" s="35" t="s">
        <v>52</v>
      </c>
      <c r="S16" s="34" t="s">
        <v>51</v>
      </c>
      <c r="T16" s="40" t="s">
        <v>57</v>
      </c>
      <c r="U16" s="35" t="s">
        <v>52</v>
      </c>
      <c r="V16" s="34" t="s">
        <v>51</v>
      </c>
      <c r="W16" s="40" t="s">
        <v>57</v>
      </c>
      <c r="X16" s="35" t="s">
        <v>52</v>
      </c>
      <c r="Y16" s="34" t="s">
        <v>51</v>
      </c>
      <c r="Z16" s="40" t="s">
        <v>57</v>
      </c>
      <c r="AA16" s="35" t="s">
        <v>52</v>
      </c>
      <c r="AB16" s="34" t="s">
        <v>51</v>
      </c>
      <c r="AC16" s="40" t="s">
        <v>57</v>
      </c>
      <c r="AD16" s="35" t="s">
        <v>52</v>
      </c>
      <c r="AE16" s="223" t="s">
        <v>58</v>
      </c>
      <c r="AF16" s="225" t="s">
        <v>59</v>
      </c>
      <c r="AG16" s="41" t="s">
        <v>60</v>
      </c>
      <c r="AH16" s="225" t="s">
        <v>61</v>
      </c>
      <c r="AI16" s="227" t="s">
        <v>62</v>
      </c>
      <c r="AJ16" s="229" t="s">
        <v>63</v>
      </c>
      <c r="AK16" s="230"/>
    </row>
    <row r="17" spans="1:217" s="42" customFormat="1" ht="18.75" customHeight="1" thickBot="1" x14ac:dyDescent="0.5">
      <c r="A17" s="43"/>
      <c r="B17" s="44"/>
      <c r="C17" s="45"/>
      <c r="D17" s="46"/>
      <c r="E17" s="47"/>
      <c r="F17" s="48"/>
      <c r="G17" s="49"/>
      <c r="H17" s="49"/>
      <c r="I17" s="49"/>
      <c r="J17" s="50"/>
      <c r="K17" s="51"/>
      <c r="L17" s="52"/>
      <c r="M17" s="53"/>
      <c r="N17" s="48"/>
      <c r="O17" s="49"/>
      <c r="P17" s="54"/>
      <c r="Q17" s="55"/>
      <c r="R17" s="49"/>
      <c r="S17" s="54"/>
      <c r="T17" s="55"/>
      <c r="U17" s="49"/>
      <c r="V17" s="54"/>
      <c r="W17" s="55"/>
      <c r="X17" s="49"/>
      <c r="Y17" s="54"/>
      <c r="Z17" s="55"/>
      <c r="AA17" s="49"/>
      <c r="AB17" s="54"/>
      <c r="AC17" s="55"/>
      <c r="AD17" s="56"/>
      <c r="AE17" s="224"/>
      <c r="AF17" s="226"/>
      <c r="AG17" s="57" t="s">
        <v>64</v>
      </c>
      <c r="AH17" s="226"/>
      <c r="AI17" s="228"/>
      <c r="AJ17" s="58" t="s">
        <v>35</v>
      </c>
      <c r="AK17" s="58" t="s">
        <v>65</v>
      </c>
      <c r="AL17" s="12" t="s">
        <v>66</v>
      </c>
    </row>
    <row r="18" spans="1:217" s="83" customFormat="1" ht="17.649999999999999" thickBot="1" x14ac:dyDescent="0.5">
      <c r="A18" s="59">
        <v>1</v>
      </c>
      <c r="B18" s="60">
        <v>20</v>
      </c>
      <c r="C18" s="61">
        <v>0.5</v>
      </c>
      <c r="D18" s="62">
        <v>5</v>
      </c>
      <c r="E18" s="63">
        <v>5</v>
      </c>
      <c r="F18" s="64"/>
      <c r="G18" s="65">
        <v>50</v>
      </c>
      <c r="H18" s="65">
        <v>50</v>
      </c>
      <c r="I18" s="66">
        <f>IF(Tableau45[[#This Row],[ANFO]]&lt;&gt;0,Tableau45[[#This Row],[Ht]]-INDEX(T_BdD[hauteur en m],MATCH(Tableau45[[#This Row],[ANFO]],T_BdD[Kilos],0)))</f>
        <v>16.399999999999999</v>
      </c>
      <c r="J18" s="67">
        <v>2</v>
      </c>
      <c r="K18" s="68">
        <f t="shared" ref="K18:K57" si="0">(F18*$AL$18+G18*$AL$20+H18*$AL$22)/1000</f>
        <v>376.85</v>
      </c>
      <c r="L18" s="69">
        <f t="shared" ref="L18:L57" si="1">K18/(5.6*(I$8*0.8)*(E18*1.25))</f>
        <v>3.8454081632653065</v>
      </c>
      <c r="M18" s="70">
        <f>Tableau45[[#This Row],[hauteur]]-Tableau45[[#This Row],[bourrage]]</f>
        <v>14.399999999999999</v>
      </c>
      <c r="N18" s="60"/>
      <c r="O18" s="60"/>
      <c r="P18" s="71"/>
      <c r="Q18" s="72"/>
      <c r="R18" s="60"/>
      <c r="S18" s="71"/>
      <c r="T18" s="72"/>
      <c r="U18" s="73"/>
      <c r="V18" s="71"/>
      <c r="W18" s="72"/>
      <c r="X18" s="60"/>
      <c r="Y18" s="71"/>
      <c r="Z18" s="72"/>
      <c r="AA18" s="60"/>
      <c r="AB18" s="71"/>
      <c r="AC18" s="72"/>
      <c r="AD18" s="60"/>
      <c r="AE18" s="74">
        <f>(N18*$AL$22+O18*$AL$22+R18*$AL$22+U18*$AL$22+X18*$AL$22+AA18*$AL$22+P18*$AL$20+S18*$AL$20+V18*$AL$20+Y18*$AL$20+AB18*$AL$20+AD18*$AL$22)/1000</f>
        <v>0</v>
      </c>
      <c r="AF18" s="75">
        <f t="shared" ref="AF18:AF57" si="2">AE18/((B18+(C18/2)-5.6)*(I$8*0.8)*(D18*1.25))</f>
        <v>0</v>
      </c>
      <c r="AG18" s="76">
        <f t="shared" ref="AG18:AG57" si="3">SUM(F18:H18)+SUM(N18,O18,P18,R18,S18,U18,V18,X18,Y18,AA18,AD18)</f>
        <v>100</v>
      </c>
      <c r="AH18" s="77">
        <f t="shared" ref="AH18:AH57" si="4">K18+AE18</f>
        <v>376.85</v>
      </c>
      <c r="AI18" s="29">
        <f t="shared" ref="AI18:AI57" si="5">AH18/((B18+(C18/2))*(I$8*0.8)*(AVERAGE(D18:E18))*1.25)</f>
        <v>1.0634215167548502</v>
      </c>
      <c r="AJ18" s="78" t="s">
        <v>67</v>
      </c>
      <c r="AK18" s="79">
        <f>F58+N58</f>
        <v>0</v>
      </c>
      <c r="AL18" s="80">
        <v>4345</v>
      </c>
      <c r="AM18" s="81">
        <f>AK18*1.98</f>
        <v>0</v>
      </c>
      <c r="AN18" s="82"/>
      <c r="AO18" s="82"/>
      <c r="AP18" s="82"/>
      <c r="AQ18" s="82"/>
      <c r="AR18" s="82"/>
      <c r="AS18" s="82"/>
      <c r="AT18" s="82"/>
      <c r="AU18" s="82"/>
      <c r="AV18" s="82"/>
      <c r="AW18" s="82"/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2"/>
      <c r="BY18" s="82"/>
      <c r="BZ18" s="82"/>
      <c r="CA18" s="82"/>
      <c r="CB18" s="82"/>
      <c r="CC18" s="82"/>
      <c r="CD18" s="82"/>
      <c r="CE18" s="82"/>
      <c r="CF18" s="82"/>
      <c r="CG18" s="82"/>
      <c r="CH18" s="82"/>
      <c r="CI18" s="82"/>
      <c r="CJ18" s="82"/>
      <c r="CK18" s="82"/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2"/>
      <c r="DG18" s="82"/>
      <c r="DH18" s="82"/>
      <c r="DI18" s="82"/>
      <c r="DJ18" s="82"/>
      <c r="DK18" s="82"/>
      <c r="DL18" s="82"/>
      <c r="DM18" s="82"/>
      <c r="DN18" s="82"/>
      <c r="DO18" s="82"/>
      <c r="DP18" s="82"/>
      <c r="DQ18" s="82"/>
      <c r="DR18" s="82"/>
      <c r="DS18" s="82"/>
      <c r="DT18" s="82"/>
      <c r="DU18" s="82"/>
      <c r="DV18" s="82"/>
      <c r="DW18" s="82"/>
      <c r="DX18" s="82"/>
      <c r="DY18" s="82"/>
      <c r="DZ18" s="82"/>
      <c r="EA18" s="82"/>
      <c r="EB18" s="82"/>
      <c r="EC18" s="82"/>
      <c r="ED18" s="82"/>
      <c r="EE18" s="82"/>
      <c r="EF18" s="82"/>
      <c r="EG18" s="82"/>
      <c r="EH18" s="82"/>
      <c r="EI18" s="82"/>
      <c r="EJ18" s="82"/>
      <c r="EK18" s="82"/>
      <c r="EL18" s="82"/>
      <c r="EM18" s="82"/>
      <c r="EN18" s="82"/>
      <c r="EO18" s="82"/>
      <c r="EP18" s="82"/>
      <c r="EQ18" s="82"/>
      <c r="ER18" s="82"/>
      <c r="ES18" s="82"/>
      <c r="ET18" s="82"/>
      <c r="EU18" s="82"/>
      <c r="EV18" s="82"/>
      <c r="EW18" s="82"/>
      <c r="EX18" s="82"/>
      <c r="EY18" s="82"/>
      <c r="EZ18" s="82"/>
      <c r="FA18" s="82"/>
      <c r="FB18" s="82"/>
      <c r="FC18" s="82"/>
      <c r="FD18" s="82"/>
      <c r="FE18" s="82"/>
      <c r="FF18" s="82"/>
      <c r="FG18" s="82"/>
      <c r="FH18" s="82"/>
      <c r="FI18" s="82"/>
      <c r="FJ18" s="82"/>
      <c r="FK18" s="82"/>
      <c r="FL18" s="82"/>
      <c r="FM18" s="82"/>
      <c r="FN18" s="82"/>
      <c r="FO18" s="82"/>
      <c r="FP18" s="82"/>
      <c r="FQ18" s="82"/>
      <c r="FR18" s="82"/>
      <c r="FS18" s="82"/>
      <c r="FT18" s="82"/>
      <c r="FU18" s="82"/>
      <c r="FV18" s="82"/>
      <c r="FW18" s="82"/>
      <c r="FX18" s="82"/>
      <c r="FY18" s="82"/>
      <c r="FZ18" s="82"/>
      <c r="GA18" s="82"/>
      <c r="GB18" s="82"/>
      <c r="GC18" s="82"/>
      <c r="GD18" s="82"/>
      <c r="GE18" s="82"/>
      <c r="GF18" s="82"/>
      <c r="GG18" s="82"/>
      <c r="GH18" s="82"/>
      <c r="GI18" s="82"/>
      <c r="GJ18" s="82"/>
      <c r="GK18" s="82"/>
      <c r="GL18" s="82"/>
      <c r="GM18" s="82"/>
      <c r="GN18" s="82"/>
      <c r="GO18" s="82"/>
      <c r="GP18" s="82"/>
      <c r="GQ18" s="82"/>
      <c r="GR18" s="82"/>
      <c r="GS18" s="82"/>
      <c r="GT18" s="82"/>
      <c r="GU18" s="82"/>
      <c r="GV18" s="82"/>
      <c r="GW18" s="82"/>
      <c r="GX18" s="82"/>
      <c r="GY18" s="82"/>
      <c r="GZ18" s="82"/>
      <c r="HA18" s="82"/>
      <c r="HB18" s="82"/>
      <c r="HC18" s="82"/>
      <c r="HD18" s="82"/>
      <c r="HE18" s="82"/>
      <c r="HF18" s="82"/>
      <c r="HG18" s="82"/>
      <c r="HH18" s="82"/>
      <c r="HI18" s="82"/>
    </row>
    <row r="19" spans="1:217" s="83" customFormat="1" ht="17.649999999999999" thickBot="1" x14ac:dyDescent="0.5">
      <c r="A19" s="59">
        <v>2</v>
      </c>
      <c r="B19" s="60">
        <v>20</v>
      </c>
      <c r="C19" s="61">
        <v>0.5</v>
      </c>
      <c r="D19" s="62">
        <v>3.5</v>
      </c>
      <c r="E19" s="63">
        <v>3.5</v>
      </c>
      <c r="F19" s="64"/>
      <c r="G19" s="65">
        <v>50</v>
      </c>
      <c r="H19" s="65"/>
      <c r="I19" s="66" t="b">
        <f>IF(Tableau45[[#This Row],[ANFO]]&lt;&gt;0,Tableau45[[#This Row],[Ht]]-INDEX(T_BdD[hauteur en m],MATCH(Tableau45[[#This Row],[ANFO]],T_BdD[Kilos],0)))</f>
        <v>0</v>
      </c>
      <c r="J19" s="67">
        <v>2</v>
      </c>
      <c r="K19" s="68">
        <f t="shared" si="0"/>
        <v>182.5</v>
      </c>
      <c r="L19" s="69">
        <f t="shared" si="1"/>
        <v>2.6603498542274053</v>
      </c>
      <c r="M19" s="70">
        <f>Tableau45[[#This Row],[hauteur]]-Tableau45[[#This Row],[bourrage]]</f>
        <v>-2</v>
      </c>
      <c r="N19" s="60"/>
      <c r="O19" s="60"/>
      <c r="P19" s="71"/>
      <c r="Q19" s="72"/>
      <c r="R19" s="60"/>
      <c r="S19" s="71"/>
      <c r="T19" s="72"/>
      <c r="U19" s="73"/>
      <c r="V19" s="71"/>
      <c r="W19" s="72"/>
      <c r="X19" s="60"/>
      <c r="Y19" s="71"/>
      <c r="Z19" s="72"/>
      <c r="AA19" s="60"/>
      <c r="AB19" s="71"/>
      <c r="AC19" s="72"/>
      <c r="AD19" s="60"/>
      <c r="AE19" s="84">
        <f t="shared" ref="AE19:AE57" si="6">(N19*$AL$22+O19*$AL$22+R19*$AL$22+U19*$AL$22+X19*$AL$22+AA19*$AL$22+P19*$AL$20+S19*$AL$20+V19*$AL$20+Y19*$AL$20+AB19*$AL$20+AD19*$AL$22)/1000</f>
        <v>0</v>
      </c>
      <c r="AF19" s="85">
        <f t="shared" si="2"/>
        <v>0</v>
      </c>
      <c r="AG19" s="76">
        <f t="shared" si="3"/>
        <v>50</v>
      </c>
      <c r="AH19" s="77">
        <f t="shared" si="4"/>
        <v>182.5</v>
      </c>
      <c r="AI19" s="29">
        <f t="shared" si="5"/>
        <v>0.73570168808264036</v>
      </c>
      <c r="AJ19" s="78" t="s">
        <v>68</v>
      </c>
      <c r="AK19" s="86"/>
      <c r="AL19" s="87">
        <v>4320</v>
      </c>
      <c r="AM19" s="81"/>
      <c r="AN19" s="82"/>
      <c r="AO19" s="278" t="s">
        <v>138</v>
      </c>
      <c r="AP19"/>
      <c r="AQ19"/>
      <c r="AR19"/>
      <c r="AS19"/>
      <c r="AT19"/>
      <c r="AU19"/>
      <c r="AV19"/>
      <c r="AW19" s="82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82"/>
      <c r="CC19" s="82"/>
      <c r="CD19" s="82"/>
      <c r="CE19" s="82"/>
      <c r="CF19" s="82"/>
      <c r="CG19" s="82"/>
      <c r="CH19" s="82"/>
      <c r="CI19" s="82"/>
      <c r="CJ19" s="82"/>
      <c r="CK19" s="82"/>
      <c r="CL19" s="82"/>
      <c r="CM19" s="82"/>
      <c r="CN19" s="82"/>
      <c r="CO19" s="82"/>
      <c r="CP19" s="82"/>
      <c r="CQ19" s="82"/>
      <c r="CR19" s="82"/>
      <c r="CS19" s="82"/>
      <c r="CT19" s="82"/>
      <c r="CU19" s="82"/>
      <c r="CV19" s="82"/>
      <c r="CW19" s="82"/>
      <c r="CX19" s="82"/>
      <c r="CY19" s="82"/>
      <c r="CZ19" s="82"/>
      <c r="DA19" s="82"/>
      <c r="DB19" s="82"/>
      <c r="DC19" s="82"/>
      <c r="DD19" s="82"/>
      <c r="DE19" s="82"/>
      <c r="DF19" s="82"/>
      <c r="DG19" s="82"/>
      <c r="DH19" s="82"/>
      <c r="DI19" s="82"/>
      <c r="DJ19" s="82"/>
      <c r="DK19" s="82"/>
      <c r="DL19" s="82"/>
      <c r="DM19" s="82"/>
      <c r="DN19" s="82"/>
      <c r="DO19" s="82"/>
      <c r="DP19" s="82"/>
      <c r="DQ19" s="82"/>
      <c r="DR19" s="82"/>
      <c r="DS19" s="82"/>
      <c r="DT19" s="82"/>
      <c r="DU19" s="82"/>
      <c r="DV19" s="82"/>
      <c r="DW19" s="82"/>
      <c r="DX19" s="82"/>
      <c r="DY19" s="82"/>
      <c r="DZ19" s="82"/>
      <c r="EA19" s="82"/>
      <c r="EB19" s="82"/>
      <c r="EC19" s="82"/>
      <c r="ED19" s="82"/>
      <c r="EE19" s="82"/>
      <c r="EF19" s="82"/>
      <c r="EG19" s="82"/>
      <c r="EH19" s="82"/>
      <c r="EI19" s="82"/>
      <c r="EJ19" s="82"/>
      <c r="EK19" s="82"/>
      <c r="EL19" s="82"/>
      <c r="EM19" s="82"/>
      <c r="EN19" s="82"/>
      <c r="EO19" s="82"/>
      <c r="EP19" s="82"/>
      <c r="EQ19" s="82"/>
      <c r="ER19" s="82"/>
      <c r="ES19" s="82"/>
      <c r="ET19" s="82"/>
      <c r="EU19" s="82"/>
      <c r="EV19" s="82"/>
      <c r="EW19" s="82"/>
      <c r="EX19" s="82"/>
      <c r="EY19" s="82"/>
      <c r="EZ19" s="82"/>
      <c r="FA19" s="82"/>
      <c r="FB19" s="82"/>
      <c r="FC19" s="82"/>
      <c r="FD19" s="82"/>
      <c r="FE19" s="82"/>
      <c r="FF19" s="82"/>
      <c r="FG19" s="82"/>
      <c r="FH19" s="82"/>
      <c r="FI19" s="82"/>
      <c r="FJ19" s="82"/>
      <c r="FK19" s="82"/>
      <c r="FL19" s="82"/>
      <c r="FM19" s="82"/>
      <c r="FN19" s="82"/>
      <c r="FO19" s="82"/>
      <c r="FP19" s="82"/>
      <c r="FQ19" s="82"/>
      <c r="FR19" s="82"/>
      <c r="FS19" s="82"/>
      <c r="FT19" s="82"/>
      <c r="FU19" s="82"/>
      <c r="FV19" s="82"/>
      <c r="FW19" s="82"/>
      <c r="FX19" s="82"/>
      <c r="FY19" s="82"/>
      <c r="FZ19" s="82"/>
      <c r="GA19" s="82"/>
      <c r="GB19" s="82"/>
      <c r="GC19" s="82"/>
      <c r="GD19" s="82"/>
      <c r="GE19" s="82"/>
      <c r="GF19" s="82"/>
      <c r="GG19" s="82"/>
      <c r="GH19" s="82"/>
      <c r="GI19" s="82"/>
      <c r="GJ19" s="82"/>
      <c r="GK19" s="82"/>
      <c r="GL19" s="82"/>
      <c r="GM19" s="82"/>
      <c r="GN19" s="82"/>
      <c r="GO19" s="82"/>
      <c r="GP19" s="82"/>
      <c r="GQ19" s="82"/>
      <c r="GR19" s="82"/>
      <c r="GS19" s="82"/>
      <c r="GT19" s="82"/>
      <c r="GU19" s="82"/>
      <c r="GV19" s="82"/>
      <c r="GW19" s="82"/>
      <c r="GX19" s="82"/>
      <c r="GY19" s="82"/>
      <c r="GZ19" s="82"/>
      <c r="HA19" s="82"/>
      <c r="HB19" s="82"/>
      <c r="HC19" s="82"/>
      <c r="HD19" s="82"/>
      <c r="HE19" s="82"/>
      <c r="HF19" s="82"/>
      <c r="HG19" s="82"/>
      <c r="HH19" s="82"/>
      <c r="HI19" s="82"/>
    </row>
    <row r="20" spans="1:217" s="83" customFormat="1" ht="17.649999999999999" thickBot="1" x14ac:dyDescent="0.5">
      <c r="A20" s="59">
        <v>3</v>
      </c>
      <c r="B20" s="60">
        <v>20</v>
      </c>
      <c r="C20" s="61">
        <v>0.5</v>
      </c>
      <c r="D20" s="62">
        <v>5</v>
      </c>
      <c r="E20" s="63">
        <v>5</v>
      </c>
      <c r="F20" s="64"/>
      <c r="G20" s="65"/>
      <c r="H20" s="65"/>
      <c r="I20" s="66" t="b">
        <f>IF(Tableau45[[#This Row],[ANFO]]&lt;&gt;0,Tableau45[[#This Row],[Ht]]-INDEX(T_BdD[hauteur en m],MATCH(Tableau45[[#This Row],[ANFO]],T_BdD[Kilos],0)))</f>
        <v>0</v>
      </c>
      <c r="J20" s="67">
        <v>2</v>
      </c>
      <c r="K20" s="68">
        <f t="shared" si="0"/>
        <v>0</v>
      </c>
      <c r="L20" s="69">
        <f t="shared" si="1"/>
        <v>0</v>
      </c>
      <c r="M20" s="70">
        <f>Tableau45[[#This Row],[hauteur]]-Tableau45[[#This Row],[bourrage]]</f>
        <v>-2</v>
      </c>
      <c r="N20" s="60"/>
      <c r="O20" s="88"/>
      <c r="P20" s="71"/>
      <c r="Q20" s="72"/>
      <c r="R20" s="60"/>
      <c r="S20" s="71"/>
      <c r="T20" s="72"/>
      <c r="U20" s="73"/>
      <c r="V20" s="71"/>
      <c r="W20" s="72"/>
      <c r="X20" s="60"/>
      <c r="Y20" s="71"/>
      <c r="Z20" s="72"/>
      <c r="AA20" s="60"/>
      <c r="AB20" s="71"/>
      <c r="AC20" s="72"/>
      <c r="AD20" s="60"/>
      <c r="AE20" s="84">
        <f t="shared" si="6"/>
        <v>0</v>
      </c>
      <c r="AF20" s="85">
        <f t="shared" si="2"/>
        <v>0</v>
      </c>
      <c r="AG20" s="76">
        <f t="shared" si="3"/>
        <v>0</v>
      </c>
      <c r="AH20" s="77">
        <f t="shared" si="4"/>
        <v>0</v>
      </c>
      <c r="AI20" s="29">
        <f t="shared" si="5"/>
        <v>0</v>
      </c>
      <c r="AJ20" s="78" t="s">
        <v>69</v>
      </c>
      <c r="AK20" s="86">
        <f>G58+P58+S58+V58+Y58+AB58</f>
        <v>100</v>
      </c>
      <c r="AL20" s="89">
        <v>3650</v>
      </c>
      <c r="AM20" s="81">
        <f>AK20*1.95</f>
        <v>195</v>
      </c>
      <c r="AN20" s="82"/>
      <c r="AO20" s="278"/>
      <c r="AP20"/>
      <c r="AQ20"/>
      <c r="AR20"/>
      <c r="AS20"/>
      <c r="AT20"/>
      <c r="AU20"/>
      <c r="AV20"/>
      <c r="AW20" s="82"/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2"/>
      <c r="BY20" s="82"/>
      <c r="BZ20" s="82"/>
      <c r="CA20" s="82"/>
      <c r="CB20" s="82"/>
      <c r="CC20" s="82"/>
      <c r="CD20" s="82"/>
      <c r="CE20" s="82"/>
      <c r="CF20" s="82"/>
      <c r="CG20" s="82"/>
      <c r="CH20" s="82"/>
      <c r="CI20" s="82"/>
      <c r="CJ20" s="82"/>
      <c r="CK20" s="82"/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2"/>
      <c r="DG20" s="82"/>
      <c r="DH20" s="82"/>
      <c r="DI20" s="82"/>
      <c r="DJ20" s="82"/>
      <c r="DK20" s="82"/>
      <c r="DL20" s="82"/>
      <c r="DM20" s="82"/>
      <c r="DN20" s="82"/>
      <c r="DO20" s="82"/>
      <c r="DP20" s="82"/>
      <c r="DQ20" s="82"/>
      <c r="DR20" s="82"/>
      <c r="DS20" s="82"/>
      <c r="DT20" s="82"/>
      <c r="DU20" s="82"/>
      <c r="DV20" s="82"/>
      <c r="DW20" s="82"/>
      <c r="DX20" s="82"/>
      <c r="DY20" s="82"/>
      <c r="DZ20" s="82"/>
      <c r="EA20" s="82"/>
      <c r="EB20" s="82"/>
      <c r="EC20" s="82"/>
      <c r="ED20" s="82"/>
      <c r="EE20" s="82"/>
      <c r="EF20" s="82"/>
      <c r="EG20" s="82"/>
      <c r="EH20" s="82"/>
      <c r="EI20" s="82"/>
      <c r="EJ20" s="82"/>
      <c r="EK20" s="82"/>
      <c r="EL20" s="82"/>
      <c r="EM20" s="82"/>
      <c r="EN20" s="82"/>
      <c r="EO20" s="82"/>
      <c r="EP20" s="82"/>
      <c r="EQ20" s="82"/>
      <c r="ER20" s="82"/>
      <c r="ES20" s="82"/>
      <c r="ET20" s="82"/>
      <c r="EU20" s="82"/>
      <c r="EV20" s="82"/>
      <c r="EW20" s="82"/>
      <c r="EX20" s="82"/>
      <c r="EY20" s="82"/>
      <c r="EZ20" s="82"/>
      <c r="FA20" s="82"/>
      <c r="FB20" s="82"/>
      <c r="FC20" s="82"/>
      <c r="FD20" s="82"/>
      <c r="FE20" s="82"/>
      <c r="FF20" s="82"/>
      <c r="FG20" s="82"/>
      <c r="FH20" s="82"/>
      <c r="FI20" s="82"/>
      <c r="FJ20" s="82"/>
      <c r="FK20" s="82"/>
      <c r="FL20" s="82"/>
      <c r="FM20" s="82"/>
      <c r="FN20" s="82"/>
      <c r="FO20" s="82"/>
      <c r="FP20" s="82"/>
      <c r="FQ20" s="82"/>
      <c r="FR20" s="82"/>
      <c r="FS20" s="82"/>
      <c r="FT20" s="82"/>
      <c r="FU20" s="82"/>
      <c r="FV20" s="82"/>
      <c r="FW20" s="82"/>
      <c r="FX20" s="82"/>
      <c r="FY20" s="82"/>
      <c r="FZ20" s="82"/>
      <c r="GA20" s="82"/>
      <c r="GB20" s="82"/>
      <c r="GC20" s="82"/>
      <c r="GD20" s="82"/>
      <c r="GE20" s="82"/>
      <c r="GF20" s="82"/>
      <c r="GG20" s="82"/>
      <c r="GH20" s="82"/>
      <c r="GI20" s="82"/>
      <c r="GJ20" s="82"/>
      <c r="GK20" s="82"/>
      <c r="GL20" s="82"/>
      <c r="GM20" s="82"/>
      <c r="GN20" s="82"/>
      <c r="GO20" s="82"/>
      <c r="GP20" s="82"/>
      <c r="GQ20" s="82"/>
      <c r="GR20" s="82"/>
      <c r="GS20" s="82"/>
      <c r="GT20" s="82"/>
      <c r="GU20" s="82"/>
      <c r="GV20" s="82"/>
      <c r="GW20" s="82"/>
      <c r="GX20" s="82"/>
      <c r="GY20" s="82"/>
      <c r="GZ20" s="82"/>
      <c r="HA20" s="82"/>
      <c r="HB20" s="82"/>
      <c r="HC20" s="82"/>
      <c r="HD20" s="82"/>
      <c r="HE20" s="82"/>
      <c r="HF20" s="82"/>
      <c r="HG20" s="82"/>
      <c r="HH20" s="82"/>
      <c r="HI20" s="82"/>
    </row>
    <row r="21" spans="1:217" s="83" customFormat="1" ht="17.649999999999999" thickBot="1" x14ac:dyDescent="0.5">
      <c r="A21" s="59">
        <v>4</v>
      </c>
      <c r="B21" s="60">
        <v>20</v>
      </c>
      <c r="C21" s="61">
        <v>0.5</v>
      </c>
      <c r="D21" s="62">
        <v>5</v>
      </c>
      <c r="E21" s="63">
        <v>5</v>
      </c>
      <c r="F21" s="64"/>
      <c r="G21" s="65"/>
      <c r="H21" s="65">
        <v>50</v>
      </c>
      <c r="I21" s="66">
        <f>IF(Tableau45[[#This Row],[ANFO]]&lt;&gt;0,Tableau45[[#This Row],[Ht]]-INDEX(T_BdD[hauteur en m],MATCH(Tableau45[[#This Row],[ANFO]],T_BdD[Kilos],0)))</f>
        <v>16.399999999999999</v>
      </c>
      <c r="J21" s="67">
        <v>2</v>
      </c>
      <c r="K21" s="68">
        <f t="shared" si="0"/>
        <v>194.35</v>
      </c>
      <c r="L21" s="69">
        <f t="shared" si="1"/>
        <v>1.9831632653061224</v>
      </c>
      <c r="M21" s="70">
        <f>Tableau45[[#This Row],[hauteur]]-Tableau45[[#This Row],[bourrage]]</f>
        <v>14.399999999999999</v>
      </c>
      <c r="N21" s="60"/>
      <c r="O21" s="60"/>
      <c r="P21" s="71"/>
      <c r="Q21" s="72"/>
      <c r="R21" s="60"/>
      <c r="S21" s="71"/>
      <c r="T21" s="72"/>
      <c r="U21" s="73"/>
      <c r="V21" s="71"/>
      <c r="W21" s="72"/>
      <c r="X21" s="60"/>
      <c r="Y21" s="71"/>
      <c r="Z21" s="72"/>
      <c r="AA21" s="60"/>
      <c r="AB21" s="71"/>
      <c r="AC21" s="72"/>
      <c r="AD21" s="60"/>
      <c r="AE21" s="84">
        <f t="shared" si="6"/>
        <v>0</v>
      </c>
      <c r="AF21" s="85">
        <f t="shared" si="2"/>
        <v>0</v>
      </c>
      <c r="AG21" s="76">
        <f t="shared" si="3"/>
        <v>50</v>
      </c>
      <c r="AH21" s="77">
        <f t="shared" si="4"/>
        <v>194.35</v>
      </c>
      <c r="AI21" s="29">
        <f t="shared" si="5"/>
        <v>0.54843033509700179</v>
      </c>
      <c r="AJ21" s="78" t="s">
        <v>70</v>
      </c>
      <c r="AK21" s="86"/>
      <c r="AL21" s="83">
        <v>5122</v>
      </c>
      <c r="AM21" s="81">
        <f>AK21*0.9</f>
        <v>0</v>
      </c>
      <c r="AN21" s="82"/>
      <c r="AO21" s="278" t="s">
        <v>139</v>
      </c>
      <c r="AP21"/>
      <c r="AQ21"/>
      <c r="AR21"/>
      <c r="AS21"/>
      <c r="AT21"/>
      <c r="AU21"/>
      <c r="AV21"/>
      <c r="AW21" s="82"/>
      <c r="AX21" s="82"/>
      <c r="AY21" s="82"/>
      <c r="AZ21" s="82"/>
      <c r="BA21" s="82"/>
      <c r="BB21" s="82"/>
      <c r="BC21" s="82"/>
      <c r="BD21" s="82"/>
      <c r="BE21" s="82"/>
      <c r="BF21" s="82"/>
      <c r="BG21" s="82"/>
      <c r="BH21" s="82"/>
      <c r="BI21" s="82"/>
      <c r="BJ21" s="82"/>
      <c r="BK21" s="82"/>
      <c r="BL21" s="82"/>
      <c r="BM21" s="82"/>
      <c r="BN21" s="82"/>
      <c r="BO21" s="82"/>
      <c r="BP21" s="82"/>
      <c r="BQ21" s="82"/>
      <c r="BR21" s="82"/>
      <c r="BS21" s="82"/>
      <c r="BT21" s="82"/>
      <c r="BU21" s="82"/>
      <c r="BV21" s="82"/>
      <c r="BW21" s="82"/>
      <c r="BX21" s="82"/>
      <c r="BY21" s="82"/>
      <c r="BZ21" s="82"/>
      <c r="CA21" s="82"/>
      <c r="CB21" s="82"/>
      <c r="CC21" s="82"/>
      <c r="CD21" s="82"/>
      <c r="CE21" s="82"/>
      <c r="CF21" s="82"/>
      <c r="CG21" s="82"/>
      <c r="CH21" s="82"/>
      <c r="CI21" s="82"/>
      <c r="CJ21" s="82"/>
      <c r="CK21" s="82"/>
      <c r="CL21" s="82"/>
      <c r="CM21" s="82"/>
      <c r="CN21" s="82"/>
      <c r="CO21" s="82"/>
      <c r="CP21" s="82"/>
      <c r="CQ21" s="82"/>
      <c r="CR21" s="82"/>
      <c r="CS21" s="82"/>
      <c r="CT21" s="82"/>
      <c r="CU21" s="82"/>
      <c r="CV21" s="82"/>
      <c r="CW21" s="82"/>
      <c r="CX21" s="82"/>
      <c r="CY21" s="82"/>
      <c r="CZ21" s="82"/>
      <c r="DA21" s="82"/>
      <c r="DB21" s="82"/>
      <c r="DC21" s="82"/>
      <c r="DD21" s="82"/>
      <c r="DE21" s="82"/>
      <c r="DF21" s="82"/>
      <c r="DG21" s="82"/>
      <c r="DH21" s="82"/>
      <c r="DI21" s="82"/>
      <c r="DJ21" s="82"/>
      <c r="DK21" s="82"/>
      <c r="DL21" s="82"/>
      <c r="DM21" s="82"/>
      <c r="DN21" s="82"/>
      <c r="DO21" s="82"/>
      <c r="DP21" s="82"/>
      <c r="DQ21" s="82"/>
      <c r="DR21" s="82"/>
      <c r="DS21" s="82"/>
      <c r="DT21" s="82"/>
      <c r="DU21" s="82"/>
      <c r="DV21" s="82"/>
      <c r="DW21" s="82"/>
      <c r="DX21" s="82"/>
      <c r="DY21" s="82"/>
      <c r="DZ21" s="82"/>
      <c r="EA21" s="82"/>
      <c r="EB21" s="82"/>
      <c r="EC21" s="82"/>
      <c r="ED21" s="82"/>
      <c r="EE21" s="82"/>
      <c r="EF21" s="82"/>
      <c r="EG21" s="82"/>
      <c r="EH21" s="82"/>
      <c r="EI21" s="82"/>
      <c r="EJ21" s="82"/>
      <c r="EK21" s="82"/>
      <c r="EL21" s="82"/>
      <c r="EM21" s="82"/>
      <c r="EN21" s="82"/>
      <c r="EO21" s="82"/>
      <c r="EP21" s="82"/>
      <c r="EQ21" s="82"/>
      <c r="ER21" s="82"/>
      <c r="ES21" s="82"/>
      <c r="ET21" s="82"/>
      <c r="EU21" s="82"/>
      <c r="EV21" s="82"/>
      <c r="EW21" s="82"/>
      <c r="EX21" s="82"/>
      <c r="EY21" s="82"/>
      <c r="EZ21" s="82"/>
      <c r="FA21" s="82"/>
      <c r="FB21" s="82"/>
      <c r="FC21" s="82"/>
      <c r="FD21" s="82"/>
      <c r="FE21" s="82"/>
      <c r="FF21" s="82"/>
      <c r="FG21" s="82"/>
      <c r="FH21" s="82"/>
      <c r="FI21" s="82"/>
      <c r="FJ21" s="82"/>
      <c r="FK21" s="82"/>
      <c r="FL21" s="82"/>
      <c r="FM21" s="82"/>
      <c r="FN21" s="82"/>
      <c r="FO21" s="82"/>
      <c r="FP21" s="82"/>
      <c r="FQ21" s="82"/>
      <c r="FR21" s="82"/>
      <c r="FS21" s="82"/>
      <c r="FT21" s="82"/>
      <c r="FU21" s="82"/>
      <c r="FV21" s="82"/>
      <c r="FW21" s="82"/>
      <c r="FX21" s="82"/>
      <c r="FY21" s="82"/>
      <c r="FZ21" s="82"/>
      <c r="GA21" s="82"/>
      <c r="GB21" s="82"/>
      <c r="GC21" s="82"/>
      <c r="GD21" s="82"/>
      <c r="GE21" s="82"/>
      <c r="GF21" s="82"/>
      <c r="GG21" s="82"/>
      <c r="GH21" s="82"/>
      <c r="GI21" s="82"/>
      <c r="GJ21" s="82"/>
      <c r="GK21" s="82"/>
      <c r="GL21" s="82"/>
      <c r="GM21" s="82"/>
      <c r="GN21" s="82"/>
      <c r="GO21" s="82"/>
      <c r="GP21" s="82"/>
      <c r="GQ21" s="82"/>
      <c r="GR21" s="82"/>
      <c r="GS21" s="82"/>
      <c r="GT21" s="82"/>
      <c r="GU21" s="82"/>
      <c r="GV21" s="82"/>
      <c r="GW21" s="82"/>
      <c r="GX21" s="82"/>
      <c r="GY21" s="82"/>
      <c r="GZ21" s="82"/>
      <c r="HA21" s="82"/>
      <c r="HB21" s="82"/>
      <c r="HC21" s="82"/>
      <c r="HD21" s="82"/>
      <c r="HE21" s="82"/>
      <c r="HF21" s="82"/>
      <c r="HG21" s="82"/>
      <c r="HH21" s="82"/>
      <c r="HI21" s="82"/>
    </row>
    <row r="22" spans="1:217" s="83" customFormat="1" ht="17.649999999999999" thickBot="1" x14ac:dyDescent="0.5">
      <c r="A22" s="59">
        <v>5</v>
      </c>
      <c r="B22" s="60">
        <v>20</v>
      </c>
      <c r="C22" s="61">
        <v>0.5</v>
      </c>
      <c r="D22" s="62">
        <v>5</v>
      </c>
      <c r="E22" s="63">
        <v>5</v>
      </c>
      <c r="F22" s="64"/>
      <c r="G22" s="65"/>
      <c r="H22" s="65"/>
      <c r="I22" s="66" t="b">
        <f>IF(Tableau45[[#This Row],[ANFO]]&lt;&gt;0,Tableau45[[#This Row],[Ht]]-INDEX(T_BdD[hauteur en m],MATCH(Tableau45[[#This Row],[ANFO]],T_BdD[Kilos],0)))</f>
        <v>0</v>
      </c>
      <c r="J22" s="67">
        <v>2</v>
      </c>
      <c r="K22" s="68">
        <f t="shared" si="0"/>
        <v>0</v>
      </c>
      <c r="L22" s="69">
        <f t="shared" si="1"/>
        <v>0</v>
      </c>
      <c r="M22" s="70">
        <f>Tableau45[[#This Row],[hauteur]]-Tableau45[[#This Row],[bourrage]]</f>
        <v>-2</v>
      </c>
      <c r="N22" s="60"/>
      <c r="O22" s="60"/>
      <c r="P22" s="71"/>
      <c r="Q22" s="72"/>
      <c r="R22" s="60"/>
      <c r="S22" s="71"/>
      <c r="T22" s="72"/>
      <c r="U22" s="73"/>
      <c r="V22" s="71"/>
      <c r="W22" s="72"/>
      <c r="X22" s="60"/>
      <c r="Y22" s="71"/>
      <c r="Z22" s="72"/>
      <c r="AA22" s="60"/>
      <c r="AB22" s="71"/>
      <c r="AC22" s="72"/>
      <c r="AD22" s="60"/>
      <c r="AE22" s="84">
        <f t="shared" si="6"/>
        <v>0</v>
      </c>
      <c r="AF22" s="85">
        <f t="shared" si="2"/>
        <v>0</v>
      </c>
      <c r="AG22" s="76">
        <f t="shared" si="3"/>
        <v>0</v>
      </c>
      <c r="AH22" s="77">
        <f t="shared" si="4"/>
        <v>0</v>
      </c>
      <c r="AI22" s="29">
        <f t="shared" si="5"/>
        <v>0</v>
      </c>
      <c r="AJ22" s="78" t="s">
        <v>71</v>
      </c>
      <c r="AK22" s="86">
        <f>H58+O58+R58+U58+X58+AA58+AD58</f>
        <v>100</v>
      </c>
      <c r="AL22" s="90">
        <v>3887</v>
      </c>
      <c r="AM22" s="81">
        <f>AK22*0.69</f>
        <v>69</v>
      </c>
      <c r="AN22" s="82"/>
      <c r="AO22"/>
      <c r="AP22"/>
      <c r="AQ22"/>
      <c r="AR22"/>
      <c r="AS22"/>
      <c r="AT22"/>
      <c r="AU22"/>
      <c r="AV22" s="278" t="s">
        <v>140</v>
      </c>
      <c r="AW22" s="82"/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2"/>
      <c r="BY22" s="82"/>
      <c r="BZ22" s="82"/>
      <c r="CA22" s="82"/>
      <c r="CB22" s="82"/>
      <c r="CC22" s="82"/>
      <c r="CD22" s="82"/>
      <c r="CE22" s="82"/>
      <c r="CF22" s="82"/>
      <c r="CG22" s="82"/>
      <c r="CH22" s="82"/>
      <c r="CI22" s="82"/>
      <c r="CJ22" s="82"/>
      <c r="CK22" s="82"/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2"/>
      <c r="DG22" s="82"/>
      <c r="DH22" s="82"/>
      <c r="DI22" s="82"/>
      <c r="DJ22" s="82"/>
      <c r="DK22" s="82"/>
      <c r="DL22" s="82"/>
      <c r="DM22" s="82"/>
      <c r="DN22" s="82"/>
      <c r="DO22" s="82"/>
      <c r="DP22" s="82"/>
      <c r="DQ22" s="82"/>
      <c r="DR22" s="82"/>
      <c r="DS22" s="82"/>
      <c r="DT22" s="82"/>
      <c r="DU22" s="82"/>
      <c r="DV22" s="82"/>
      <c r="DW22" s="82"/>
      <c r="DX22" s="82"/>
      <c r="DY22" s="82"/>
      <c r="DZ22" s="82"/>
      <c r="EA22" s="82"/>
      <c r="EB22" s="82"/>
      <c r="EC22" s="82"/>
      <c r="ED22" s="82"/>
      <c r="EE22" s="82"/>
      <c r="EF22" s="82"/>
      <c r="EG22" s="82"/>
      <c r="EH22" s="82"/>
      <c r="EI22" s="82"/>
      <c r="EJ22" s="82"/>
      <c r="EK22" s="82"/>
      <c r="EL22" s="82"/>
      <c r="EM22" s="82"/>
      <c r="EN22" s="82"/>
      <c r="EO22" s="82"/>
      <c r="EP22" s="82"/>
      <c r="EQ22" s="82"/>
      <c r="ER22" s="82"/>
      <c r="ES22" s="82"/>
      <c r="ET22" s="82"/>
      <c r="EU22" s="82"/>
      <c r="EV22" s="82"/>
      <c r="EW22" s="82"/>
      <c r="EX22" s="82"/>
      <c r="EY22" s="82"/>
      <c r="EZ22" s="82"/>
      <c r="FA22" s="82"/>
      <c r="FB22" s="82"/>
      <c r="FC22" s="82"/>
      <c r="FD22" s="82"/>
      <c r="FE22" s="82"/>
      <c r="FF22" s="82"/>
      <c r="FG22" s="82"/>
      <c r="FH22" s="82"/>
      <c r="FI22" s="82"/>
      <c r="FJ22" s="82"/>
      <c r="FK22" s="82"/>
      <c r="FL22" s="82"/>
      <c r="FM22" s="82"/>
      <c r="FN22" s="82"/>
      <c r="FO22" s="82"/>
      <c r="FP22" s="82"/>
      <c r="FQ22" s="82"/>
      <c r="FR22" s="82"/>
      <c r="FS22" s="82"/>
      <c r="FT22" s="82"/>
      <c r="FU22" s="82"/>
      <c r="FV22" s="82"/>
      <c r="FW22" s="82"/>
      <c r="FX22" s="82"/>
      <c r="FY22" s="82"/>
      <c r="FZ22" s="82"/>
      <c r="GA22" s="82"/>
      <c r="GB22" s="82"/>
      <c r="GC22" s="82"/>
      <c r="GD22" s="82"/>
      <c r="GE22" s="82"/>
      <c r="GF22" s="82"/>
      <c r="GG22" s="82"/>
      <c r="GH22" s="82"/>
      <c r="GI22" s="82"/>
      <c r="GJ22" s="82"/>
      <c r="GK22" s="82"/>
      <c r="GL22" s="82"/>
      <c r="GM22" s="82"/>
      <c r="GN22" s="82"/>
      <c r="GO22" s="82"/>
      <c r="GP22" s="82"/>
      <c r="GQ22" s="82"/>
      <c r="GR22" s="82"/>
      <c r="GS22" s="82"/>
      <c r="GT22" s="82"/>
      <c r="GU22" s="82"/>
      <c r="GV22" s="82"/>
      <c r="GW22" s="82"/>
      <c r="GX22" s="82"/>
      <c r="GY22" s="82"/>
      <c r="GZ22" s="82"/>
      <c r="HA22" s="82"/>
      <c r="HB22" s="82"/>
      <c r="HC22" s="82"/>
      <c r="HD22" s="82"/>
      <c r="HE22" s="82"/>
      <c r="HF22" s="82"/>
      <c r="HG22" s="82"/>
      <c r="HH22" s="82"/>
      <c r="HI22" s="82"/>
    </row>
    <row r="23" spans="1:217" s="83" customFormat="1" ht="17.649999999999999" thickBot="1" x14ac:dyDescent="0.5">
      <c r="A23" s="59">
        <v>6</v>
      </c>
      <c r="B23" s="60">
        <v>20</v>
      </c>
      <c r="C23" s="61">
        <v>0.5</v>
      </c>
      <c r="D23" s="62">
        <v>5</v>
      </c>
      <c r="E23" s="63">
        <v>5</v>
      </c>
      <c r="F23" s="64"/>
      <c r="G23" s="65"/>
      <c r="H23" s="65"/>
      <c r="I23" s="66" t="b">
        <f>IF(Tableau45[[#This Row],[ANFO]]&lt;&gt;0,Tableau45[[#This Row],[Ht]]-INDEX(T_BdD[hauteur en m],MATCH(Tableau45[[#This Row],[ANFO]],T_BdD[Kilos],0)))</f>
        <v>0</v>
      </c>
      <c r="J23" s="67">
        <v>2</v>
      </c>
      <c r="K23" s="68">
        <f t="shared" si="0"/>
        <v>0</v>
      </c>
      <c r="L23" s="69">
        <f t="shared" si="1"/>
        <v>0</v>
      </c>
      <c r="M23" s="70">
        <f>Tableau45[[#This Row],[hauteur]]-Tableau45[[#This Row],[bourrage]]</f>
        <v>-2</v>
      </c>
      <c r="N23" s="60"/>
      <c r="O23" s="60"/>
      <c r="P23" s="71"/>
      <c r="Q23" s="72"/>
      <c r="R23" s="60"/>
      <c r="S23" s="71"/>
      <c r="T23" s="72"/>
      <c r="U23" s="73"/>
      <c r="V23" s="71"/>
      <c r="W23" s="72"/>
      <c r="X23" s="60"/>
      <c r="Y23" s="71"/>
      <c r="Z23" s="72"/>
      <c r="AA23" s="60"/>
      <c r="AB23" s="71"/>
      <c r="AC23" s="72"/>
      <c r="AD23" s="60"/>
      <c r="AE23" s="84">
        <f t="shared" si="6"/>
        <v>0</v>
      </c>
      <c r="AF23" s="85">
        <f t="shared" si="2"/>
        <v>0</v>
      </c>
      <c r="AG23" s="76">
        <f t="shared" si="3"/>
        <v>0</v>
      </c>
      <c r="AH23" s="77">
        <f t="shared" si="4"/>
        <v>0</v>
      </c>
      <c r="AI23" s="29">
        <f t="shared" si="5"/>
        <v>0</v>
      </c>
      <c r="AJ23" s="78" t="s">
        <v>72</v>
      </c>
      <c r="AK23" s="91">
        <v>0</v>
      </c>
      <c r="AM23" s="81">
        <f>AK23*0.88</f>
        <v>0</v>
      </c>
      <c r="AN23" s="82"/>
      <c r="AO23"/>
      <c r="AP23"/>
      <c r="AQ23"/>
      <c r="AR23"/>
      <c r="AS23" s="278" t="s">
        <v>141</v>
      </c>
      <c r="AT23"/>
      <c r="AU23"/>
      <c r="AV23"/>
      <c r="AW23" s="82"/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2"/>
      <c r="BM23" s="82"/>
      <c r="BN23" s="82"/>
      <c r="BO23" s="82"/>
      <c r="BP23" s="82"/>
      <c r="BQ23" s="82"/>
      <c r="BR23" s="82"/>
      <c r="BS23" s="82"/>
      <c r="BT23" s="82"/>
      <c r="BU23" s="82"/>
      <c r="BV23" s="82"/>
      <c r="BW23" s="82"/>
      <c r="BX23" s="82"/>
      <c r="BY23" s="82"/>
      <c r="BZ23" s="82"/>
      <c r="CA23" s="82"/>
      <c r="CB23" s="82"/>
      <c r="CC23" s="82"/>
      <c r="CD23" s="82"/>
      <c r="CE23" s="82"/>
      <c r="CF23" s="82"/>
      <c r="CG23" s="82"/>
      <c r="CH23" s="82"/>
      <c r="CI23" s="82"/>
      <c r="CJ23" s="82"/>
      <c r="CK23" s="82"/>
      <c r="CL23" s="82"/>
      <c r="CM23" s="82"/>
      <c r="CN23" s="82"/>
      <c r="CO23" s="82"/>
      <c r="CP23" s="82"/>
      <c r="CQ23" s="82"/>
      <c r="CR23" s="82"/>
      <c r="CS23" s="82"/>
      <c r="CT23" s="82"/>
      <c r="CU23" s="82"/>
      <c r="CV23" s="82"/>
      <c r="CW23" s="82"/>
      <c r="CX23" s="82"/>
      <c r="CY23" s="82"/>
      <c r="CZ23" s="82"/>
      <c r="DA23" s="82"/>
      <c r="DB23" s="82"/>
      <c r="DC23" s="82"/>
      <c r="DD23" s="82"/>
      <c r="DE23" s="82"/>
      <c r="DF23" s="82"/>
      <c r="DG23" s="82"/>
      <c r="DH23" s="82"/>
      <c r="DI23" s="82"/>
      <c r="DJ23" s="82"/>
      <c r="DK23" s="82"/>
      <c r="DL23" s="82"/>
      <c r="DM23" s="82"/>
      <c r="DN23" s="82"/>
      <c r="DO23" s="82"/>
      <c r="DP23" s="82"/>
      <c r="DQ23" s="82"/>
      <c r="DR23" s="82"/>
      <c r="DS23" s="82"/>
      <c r="DT23" s="82"/>
      <c r="DU23" s="82"/>
      <c r="DV23" s="82"/>
      <c r="DW23" s="82"/>
      <c r="DX23" s="82"/>
      <c r="DY23" s="82"/>
      <c r="DZ23" s="82"/>
      <c r="EA23" s="82"/>
      <c r="EB23" s="82"/>
      <c r="EC23" s="82"/>
      <c r="ED23" s="82"/>
      <c r="EE23" s="82"/>
      <c r="EF23" s="82"/>
      <c r="EG23" s="82"/>
      <c r="EH23" s="82"/>
      <c r="EI23" s="82"/>
      <c r="EJ23" s="82"/>
      <c r="EK23" s="82"/>
      <c r="EL23" s="82"/>
      <c r="EM23" s="82"/>
      <c r="EN23" s="82"/>
      <c r="EO23" s="82"/>
      <c r="EP23" s="82"/>
      <c r="EQ23" s="82"/>
      <c r="ER23" s="82"/>
      <c r="ES23" s="82"/>
      <c r="ET23" s="82"/>
      <c r="EU23" s="82"/>
      <c r="EV23" s="82"/>
      <c r="EW23" s="82"/>
      <c r="EX23" s="82"/>
      <c r="EY23" s="82"/>
      <c r="EZ23" s="82"/>
      <c r="FA23" s="82"/>
      <c r="FB23" s="82"/>
      <c r="FC23" s="82"/>
      <c r="FD23" s="82"/>
      <c r="FE23" s="82"/>
      <c r="FF23" s="82"/>
      <c r="FG23" s="82"/>
      <c r="FH23" s="82"/>
      <c r="FI23" s="82"/>
      <c r="FJ23" s="82"/>
      <c r="FK23" s="82"/>
      <c r="FL23" s="82"/>
      <c r="FM23" s="82"/>
      <c r="FN23" s="82"/>
      <c r="FO23" s="82"/>
      <c r="FP23" s="82"/>
      <c r="FQ23" s="82"/>
      <c r="FR23" s="82"/>
      <c r="FS23" s="82"/>
      <c r="FT23" s="82"/>
      <c r="FU23" s="82"/>
      <c r="FV23" s="82"/>
      <c r="FW23" s="82"/>
      <c r="FX23" s="82"/>
      <c r="FY23" s="82"/>
      <c r="FZ23" s="82"/>
      <c r="GA23" s="82"/>
      <c r="GB23" s="82"/>
      <c r="GC23" s="82"/>
      <c r="GD23" s="82"/>
      <c r="GE23" s="82"/>
      <c r="GF23" s="82"/>
      <c r="GG23" s="82"/>
      <c r="GH23" s="82"/>
      <c r="GI23" s="82"/>
      <c r="GJ23" s="82"/>
      <c r="GK23" s="82"/>
      <c r="GL23" s="82"/>
      <c r="GM23" s="82"/>
      <c r="GN23" s="82"/>
      <c r="GO23" s="82"/>
      <c r="GP23" s="82"/>
      <c r="GQ23" s="82"/>
      <c r="GR23" s="82"/>
      <c r="GS23" s="82"/>
      <c r="GT23" s="82"/>
      <c r="GU23" s="82"/>
      <c r="GV23" s="82"/>
      <c r="GW23" s="82"/>
      <c r="GX23" s="82"/>
      <c r="GY23" s="82"/>
      <c r="GZ23" s="82"/>
      <c r="HA23" s="82"/>
      <c r="HB23" s="82"/>
      <c r="HC23" s="82"/>
      <c r="HD23" s="82"/>
      <c r="HE23" s="82"/>
      <c r="HF23" s="82"/>
      <c r="HG23" s="82"/>
      <c r="HH23" s="82"/>
      <c r="HI23" s="82"/>
    </row>
    <row r="24" spans="1:217" s="83" customFormat="1" ht="17.649999999999999" thickBot="1" x14ac:dyDescent="0.5">
      <c r="A24" s="59">
        <v>7</v>
      </c>
      <c r="B24" s="60">
        <v>20</v>
      </c>
      <c r="C24" s="61">
        <v>0.5</v>
      </c>
      <c r="D24" s="62">
        <v>5</v>
      </c>
      <c r="E24" s="63">
        <v>5</v>
      </c>
      <c r="F24" s="64"/>
      <c r="G24" s="65"/>
      <c r="H24" s="65"/>
      <c r="I24" s="66" t="b">
        <f>IF(Tableau45[[#This Row],[ANFO]]&lt;&gt;0,Tableau45[[#This Row],[Ht]]-INDEX(T_BdD[hauteur en m],MATCH(Tableau45[[#This Row],[ANFO]],T_BdD[Kilos],0)))</f>
        <v>0</v>
      </c>
      <c r="J24" s="67">
        <v>2</v>
      </c>
      <c r="K24" s="68">
        <f t="shared" si="0"/>
        <v>0</v>
      </c>
      <c r="L24" s="69">
        <f t="shared" si="1"/>
        <v>0</v>
      </c>
      <c r="M24" s="70">
        <f>Tableau45[[#This Row],[hauteur]]-Tableau45[[#This Row],[bourrage]]</f>
        <v>-2</v>
      </c>
      <c r="N24" s="60"/>
      <c r="O24" s="60"/>
      <c r="P24" s="71"/>
      <c r="Q24" s="72"/>
      <c r="R24" s="60"/>
      <c r="S24" s="71"/>
      <c r="T24" s="72"/>
      <c r="U24" s="73"/>
      <c r="V24" s="71"/>
      <c r="W24" s="72"/>
      <c r="X24" s="60"/>
      <c r="Y24" s="71"/>
      <c r="Z24" s="72"/>
      <c r="AA24" s="60"/>
      <c r="AB24" s="71"/>
      <c r="AC24" s="72"/>
      <c r="AD24" s="60"/>
      <c r="AE24" s="84">
        <f t="shared" si="6"/>
        <v>0</v>
      </c>
      <c r="AF24" s="85">
        <f t="shared" si="2"/>
        <v>0</v>
      </c>
      <c r="AG24" s="76">
        <f t="shared" si="3"/>
        <v>0</v>
      </c>
      <c r="AH24" s="77">
        <f t="shared" si="4"/>
        <v>0</v>
      </c>
      <c r="AI24" s="29">
        <f t="shared" si="5"/>
        <v>0</v>
      </c>
      <c r="AJ24" s="78" t="s">
        <v>73</v>
      </c>
      <c r="AK24" s="91">
        <v>0</v>
      </c>
      <c r="AM24" s="81">
        <f>AK24*0.54</f>
        <v>0</v>
      </c>
      <c r="AN24" s="82"/>
      <c r="AO24" s="278"/>
      <c r="AP24"/>
      <c r="AQ24"/>
      <c r="AR24"/>
      <c r="AS24"/>
      <c r="AT24"/>
      <c r="AU24"/>
      <c r="AV24"/>
      <c r="AW24" s="82"/>
      <c r="AX24" s="82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2"/>
      <c r="BY24" s="82"/>
      <c r="BZ24" s="82"/>
      <c r="CA24" s="82"/>
      <c r="CB24" s="82"/>
      <c r="CC24" s="82"/>
      <c r="CD24" s="82"/>
      <c r="CE24" s="82"/>
      <c r="CF24" s="82"/>
      <c r="CG24" s="82"/>
      <c r="CH24" s="82"/>
      <c r="CI24" s="82"/>
      <c r="CJ24" s="82"/>
      <c r="CK24" s="82"/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2"/>
      <c r="DG24" s="82"/>
      <c r="DH24" s="82"/>
      <c r="DI24" s="82"/>
      <c r="DJ24" s="82"/>
      <c r="DK24" s="82"/>
      <c r="DL24" s="82"/>
      <c r="DM24" s="82"/>
      <c r="DN24" s="82"/>
      <c r="DO24" s="82"/>
      <c r="DP24" s="82"/>
      <c r="DQ24" s="82"/>
      <c r="DR24" s="82"/>
      <c r="DS24" s="82"/>
      <c r="DT24" s="82"/>
      <c r="DU24" s="82"/>
      <c r="DV24" s="82"/>
      <c r="DW24" s="82"/>
      <c r="DX24" s="82"/>
      <c r="DY24" s="82"/>
      <c r="DZ24" s="82"/>
      <c r="EA24" s="82"/>
      <c r="EB24" s="82"/>
      <c r="EC24" s="82"/>
      <c r="ED24" s="82"/>
      <c r="EE24" s="82"/>
      <c r="EF24" s="82"/>
      <c r="EG24" s="82"/>
      <c r="EH24" s="82"/>
      <c r="EI24" s="82"/>
      <c r="EJ24" s="82"/>
      <c r="EK24" s="82"/>
      <c r="EL24" s="82"/>
      <c r="EM24" s="82"/>
      <c r="EN24" s="82"/>
      <c r="EO24" s="82"/>
      <c r="EP24" s="82"/>
      <c r="EQ24" s="82"/>
      <c r="ER24" s="82"/>
      <c r="ES24" s="82"/>
      <c r="ET24" s="82"/>
      <c r="EU24" s="82"/>
      <c r="EV24" s="82"/>
      <c r="EW24" s="82"/>
      <c r="EX24" s="82"/>
      <c r="EY24" s="82"/>
      <c r="EZ24" s="82"/>
      <c r="FA24" s="82"/>
      <c r="FB24" s="82"/>
      <c r="FC24" s="82"/>
      <c r="FD24" s="82"/>
      <c r="FE24" s="82"/>
      <c r="FF24" s="82"/>
      <c r="FG24" s="82"/>
      <c r="FH24" s="82"/>
      <c r="FI24" s="82"/>
      <c r="FJ24" s="82"/>
      <c r="FK24" s="82"/>
      <c r="FL24" s="82"/>
      <c r="FM24" s="82"/>
      <c r="FN24" s="82"/>
      <c r="FO24" s="82"/>
      <c r="FP24" s="82"/>
      <c r="FQ24" s="82"/>
      <c r="FR24" s="82"/>
      <c r="FS24" s="82"/>
      <c r="FT24" s="82"/>
      <c r="FU24" s="82"/>
      <c r="FV24" s="82"/>
      <c r="FW24" s="82"/>
      <c r="FX24" s="82"/>
      <c r="FY24" s="82"/>
      <c r="FZ24" s="82"/>
      <c r="GA24" s="82"/>
      <c r="GB24" s="82"/>
      <c r="GC24" s="82"/>
      <c r="GD24" s="82"/>
      <c r="GE24" s="82"/>
      <c r="GF24" s="82"/>
      <c r="GG24" s="82"/>
      <c r="GH24" s="82"/>
      <c r="GI24" s="82"/>
      <c r="GJ24" s="82"/>
      <c r="GK24" s="82"/>
      <c r="GL24" s="82"/>
      <c r="GM24" s="82"/>
      <c r="GN24" s="82"/>
      <c r="GO24" s="82"/>
      <c r="GP24" s="82"/>
      <c r="GQ24" s="82"/>
      <c r="GR24" s="82"/>
      <c r="GS24" s="82"/>
      <c r="GT24" s="82"/>
      <c r="GU24" s="82"/>
      <c r="GV24" s="82"/>
      <c r="GW24" s="82"/>
      <c r="GX24" s="82"/>
      <c r="GY24" s="82"/>
      <c r="GZ24" s="82"/>
      <c r="HA24" s="82"/>
      <c r="HB24" s="82"/>
      <c r="HC24" s="82"/>
      <c r="HD24" s="82"/>
      <c r="HE24" s="82"/>
      <c r="HF24" s="82"/>
      <c r="HG24" s="82"/>
      <c r="HH24" s="82"/>
      <c r="HI24" s="82"/>
    </row>
    <row r="25" spans="1:217" s="83" customFormat="1" ht="17.649999999999999" thickBot="1" x14ac:dyDescent="0.5">
      <c r="A25" s="59">
        <v>8</v>
      </c>
      <c r="B25" s="60">
        <v>20</v>
      </c>
      <c r="C25" s="61">
        <v>0.5</v>
      </c>
      <c r="D25" s="62">
        <v>5</v>
      </c>
      <c r="E25" s="63">
        <v>5</v>
      </c>
      <c r="F25" s="64"/>
      <c r="G25" s="65"/>
      <c r="H25" s="65"/>
      <c r="I25" s="66" t="b">
        <f>IF(Tableau45[[#This Row],[ANFO]]&lt;&gt;0,Tableau45[[#This Row],[Ht]]-INDEX(T_BdD[hauteur en m],MATCH(Tableau45[[#This Row],[ANFO]],T_BdD[Kilos],0)))</f>
        <v>0</v>
      </c>
      <c r="J25" s="67">
        <v>2</v>
      </c>
      <c r="K25" s="68">
        <f t="shared" si="0"/>
        <v>0</v>
      </c>
      <c r="L25" s="69">
        <f t="shared" si="1"/>
        <v>0</v>
      </c>
      <c r="M25" s="70">
        <f>Tableau45[[#This Row],[hauteur]]-Tableau45[[#This Row],[bourrage]]</f>
        <v>-2</v>
      </c>
      <c r="N25" s="60"/>
      <c r="O25" s="60"/>
      <c r="P25" s="71"/>
      <c r="Q25" s="72"/>
      <c r="R25" s="60"/>
      <c r="S25" s="71"/>
      <c r="T25" s="72"/>
      <c r="U25" s="73"/>
      <c r="V25" s="71"/>
      <c r="W25" s="72"/>
      <c r="X25" s="60"/>
      <c r="Y25" s="71"/>
      <c r="Z25" s="72"/>
      <c r="AA25" s="60"/>
      <c r="AB25" s="71"/>
      <c r="AC25" s="72"/>
      <c r="AD25" s="60"/>
      <c r="AE25" s="84">
        <f t="shared" si="6"/>
        <v>0</v>
      </c>
      <c r="AF25" s="85">
        <f t="shared" si="2"/>
        <v>0</v>
      </c>
      <c r="AG25" s="76">
        <f t="shared" si="3"/>
        <v>0</v>
      </c>
      <c r="AH25" s="77">
        <f t="shared" si="4"/>
        <v>0</v>
      </c>
      <c r="AI25" s="29">
        <f t="shared" si="5"/>
        <v>0</v>
      </c>
      <c r="AJ25" s="78" t="s">
        <v>74</v>
      </c>
      <c r="AK25" s="91">
        <v>0</v>
      </c>
      <c r="AL25" s="92"/>
      <c r="AM25" s="81">
        <f>AK25*0.4</f>
        <v>0</v>
      </c>
      <c r="AN25" s="82"/>
      <c r="AO25" s="278" t="s">
        <v>142</v>
      </c>
      <c r="AP25"/>
      <c r="AQ25"/>
      <c r="AR25"/>
      <c r="AS25"/>
      <c r="AT25"/>
      <c r="AU25"/>
      <c r="AV25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82"/>
      <c r="BM25" s="82"/>
      <c r="BN25" s="82"/>
      <c r="BO25" s="82"/>
      <c r="BP25" s="82"/>
      <c r="BQ25" s="82"/>
      <c r="BR25" s="82"/>
      <c r="BS25" s="82"/>
      <c r="BT25" s="82"/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82"/>
      <c r="CG25" s="82"/>
      <c r="CH25" s="82"/>
      <c r="CI25" s="82"/>
      <c r="CJ25" s="82"/>
      <c r="CK25" s="82"/>
      <c r="CL25" s="82"/>
      <c r="CM25" s="82"/>
      <c r="CN25" s="82"/>
      <c r="CO25" s="82"/>
      <c r="CP25" s="82"/>
      <c r="CQ25" s="82"/>
      <c r="CR25" s="82"/>
      <c r="CS25" s="82"/>
      <c r="CT25" s="82"/>
      <c r="CU25" s="82"/>
      <c r="CV25" s="82"/>
      <c r="CW25" s="82"/>
      <c r="CX25" s="82"/>
      <c r="CY25" s="82"/>
      <c r="CZ25" s="82"/>
      <c r="DA25" s="82"/>
      <c r="DB25" s="82"/>
      <c r="DC25" s="82"/>
      <c r="DD25" s="82"/>
      <c r="DE25" s="82"/>
      <c r="DF25" s="82"/>
      <c r="DG25" s="82"/>
      <c r="DH25" s="82"/>
      <c r="DI25" s="82"/>
      <c r="DJ25" s="82"/>
      <c r="DK25" s="82"/>
      <c r="DL25" s="82"/>
      <c r="DM25" s="82"/>
      <c r="DN25" s="82"/>
      <c r="DO25" s="82"/>
      <c r="DP25" s="82"/>
      <c r="DQ25" s="82"/>
      <c r="DR25" s="82"/>
      <c r="DS25" s="82"/>
      <c r="DT25" s="82"/>
      <c r="DU25" s="82"/>
      <c r="DV25" s="82"/>
      <c r="DW25" s="82"/>
      <c r="DX25" s="82"/>
      <c r="DY25" s="82"/>
      <c r="DZ25" s="82"/>
      <c r="EA25" s="82"/>
      <c r="EB25" s="82"/>
      <c r="EC25" s="82"/>
      <c r="ED25" s="82"/>
      <c r="EE25" s="82"/>
      <c r="EF25" s="82"/>
      <c r="EG25" s="82"/>
      <c r="EH25" s="82"/>
      <c r="EI25" s="82"/>
      <c r="EJ25" s="82"/>
      <c r="EK25" s="82"/>
      <c r="EL25" s="82"/>
      <c r="EM25" s="82"/>
      <c r="EN25" s="82"/>
      <c r="EO25" s="82"/>
      <c r="EP25" s="82"/>
      <c r="EQ25" s="82"/>
      <c r="ER25" s="82"/>
      <c r="ES25" s="82"/>
      <c r="ET25" s="82"/>
      <c r="EU25" s="82"/>
      <c r="EV25" s="82"/>
      <c r="EW25" s="82"/>
      <c r="EX25" s="82"/>
      <c r="EY25" s="82"/>
      <c r="EZ25" s="82"/>
      <c r="FA25" s="82"/>
      <c r="FB25" s="82"/>
      <c r="FC25" s="82"/>
      <c r="FD25" s="82"/>
      <c r="FE25" s="82"/>
      <c r="FF25" s="82"/>
      <c r="FG25" s="82"/>
      <c r="FH25" s="82"/>
      <c r="FI25" s="82"/>
      <c r="FJ25" s="82"/>
      <c r="FK25" s="82"/>
      <c r="FL25" s="82"/>
      <c r="FM25" s="82"/>
      <c r="FN25" s="82"/>
      <c r="FO25" s="82"/>
      <c r="FP25" s="82"/>
      <c r="FQ25" s="82"/>
      <c r="FR25" s="82"/>
      <c r="FS25" s="82"/>
      <c r="FT25" s="82"/>
      <c r="FU25" s="82"/>
      <c r="FV25" s="82"/>
      <c r="FW25" s="82"/>
      <c r="FX25" s="82"/>
      <c r="FY25" s="82"/>
      <c r="FZ25" s="82"/>
      <c r="GA25" s="82"/>
      <c r="GB25" s="82"/>
      <c r="GC25" s="82"/>
      <c r="GD25" s="82"/>
      <c r="GE25" s="82"/>
      <c r="GF25" s="82"/>
      <c r="GG25" s="82"/>
      <c r="GH25" s="82"/>
      <c r="GI25" s="82"/>
      <c r="GJ25" s="82"/>
      <c r="GK25" s="82"/>
      <c r="GL25" s="82"/>
      <c r="GM25" s="82"/>
      <c r="GN25" s="82"/>
      <c r="GO25" s="82"/>
      <c r="GP25" s="82"/>
      <c r="GQ25" s="82"/>
      <c r="GR25" s="82"/>
      <c r="GS25" s="82"/>
      <c r="GT25" s="82"/>
      <c r="GU25" s="82"/>
      <c r="GV25" s="82"/>
      <c r="GW25" s="82"/>
      <c r="GX25" s="82"/>
      <c r="GY25" s="82"/>
      <c r="GZ25" s="82"/>
      <c r="HA25" s="82"/>
      <c r="HB25" s="82"/>
      <c r="HC25" s="82"/>
      <c r="HD25" s="82"/>
      <c r="HE25" s="82"/>
      <c r="HF25" s="82"/>
      <c r="HG25" s="82"/>
      <c r="HH25" s="82"/>
      <c r="HI25" s="82"/>
    </row>
    <row r="26" spans="1:217" s="83" customFormat="1" ht="17.649999999999999" thickBot="1" x14ac:dyDescent="0.5">
      <c r="A26" s="59">
        <v>9</v>
      </c>
      <c r="B26" s="60">
        <v>20</v>
      </c>
      <c r="C26" s="61">
        <v>0.5</v>
      </c>
      <c r="D26" s="62">
        <v>5</v>
      </c>
      <c r="E26" s="63">
        <v>5</v>
      </c>
      <c r="F26" s="64"/>
      <c r="G26" s="65"/>
      <c r="H26" s="65"/>
      <c r="I26" s="66" t="b">
        <f>IF(Tableau45[[#This Row],[ANFO]]&lt;&gt;0,Tableau45[[#This Row],[Ht]]-INDEX(T_BdD[hauteur en m],MATCH(Tableau45[[#This Row],[ANFO]],T_BdD[Kilos],0)))</f>
        <v>0</v>
      </c>
      <c r="J26" s="67">
        <v>2</v>
      </c>
      <c r="K26" s="68">
        <f t="shared" si="0"/>
        <v>0</v>
      </c>
      <c r="L26" s="69">
        <f t="shared" si="1"/>
        <v>0</v>
      </c>
      <c r="M26" s="70">
        <f>Tableau45[[#This Row],[hauteur]]-Tableau45[[#This Row],[bourrage]]</f>
        <v>-2</v>
      </c>
      <c r="N26" s="60"/>
      <c r="O26" s="60"/>
      <c r="P26" s="71"/>
      <c r="Q26" s="72"/>
      <c r="R26" s="60"/>
      <c r="S26" s="71"/>
      <c r="T26" s="72"/>
      <c r="U26" s="73"/>
      <c r="V26" s="71"/>
      <c r="W26" s="72"/>
      <c r="X26" s="60"/>
      <c r="Y26" s="71"/>
      <c r="Z26" s="72"/>
      <c r="AA26" s="60"/>
      <c r="AB26" s="71"/>
      <c r="AC26" s="72"/>
      <c r="AD26" s="60"/>
      <c r="AE26" s="84">
        <f t="shared" si="6"/>
        <v>0</v>
      </c>
      <c r="AF26" s="85">
        <f t="shared" si="2"/>
        <v>0</v>
      </c>
      <c r="AG26" s="76">
        <f t="shared" si="3"/>
        <v>0</v>
      </c>
      <c r="AH26" s="77">
        <f t="shared" si="4"/>
        <v>0</v>
      </c>
      <c r="AI26" s="29">
        <f t="shared" si="5"/>
        <v>0</v>
      </c>
      <c r="AJ26" s="93" t="s">
        <v>75</v>
      </c>
      <c r="AK26" s="94">
        <f>SUM(AK$18:AK$22)+(AK$23*0.04)+(AK$24*0.02)+(AK$25*0.012)</f>
        <v>200</v>
      </c>
      <c r="AL26" s="82"/>
      <c r="AM26" s="95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2"/>
      <c r="BY26" s="82"/>
      <c r="BZ26" s="82"/>
      <c r="CA26" s="82"/>
      <c r="CB26" s="82"/>
      <c r="CC26" s="82"/>
      <c r="CD26" s="82"/>
      <c r="CE26" s="82"/>
      <c r="CF26" s="82"/>
      <c r="CG26" s="82"/>
      <c r="CH26" s="82"/>
      <c r="CI26" s="82"/>
      <c r="CJ26" s="82"/>
      <c r="CK26" s="82"/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2"/>
      <c r="DG26" s="82"/>
      <c r="DH26" s="82"/>
      <c r="DI26" s="82"/>
      <c r="DJ26" s="82"/>
      <c r="DK26" s="82"/>
      <c r="DL26" s="82"/>
      <c r="DM26" s="82"/>
      <c r="DN26" s="82"/>
      <c r="DO26" s="82"/>
      <c r="DP26" s="82"/>
      <c r="DQ26" s="82"/>
      <c r="DR26" s="82"/>
      <c r="DS26" s="82"/>
      <c r="DT26" s="82"/>
      <c r="DU26" s="82"/>
      <c r="DV26" s="82"/>
      <c r="DW26" s="82"/>
      <c r="DX26" s="82"/>
      <c r="DY26" s="82"/>
      <c r="DZ26" s="82"/>
      <c r="EA26" s="82"/>
      <c r="EB26" s="82"/>
      <c r="EC26" s="82"/>
      <c r="ED26" s="82"/>
      <c r="EE26" s="82"/>
      <c r="EF26" s="82"/>
      <c r="EG26" s="82"/>
      <c r="EH26" s="82"/>
      <c r="EI26" s="82"/>
      <c r="EJ26" s="82"/>
      <c r="EK26" s="82"/>
      <c r="EL26" s="82"/>
      <c r="EM26" s="82"/>
      <c r="EN26" s="82"/>
      <c r="EO26" s="82"/>
      <c r="EP26" s="82"/>
      <c r="EQ26" s="82"/>
      <c r="ER26" s="82"/>
      <c r="ES26" s="82"/>
      <c r="ET26" s="82"/>
      <c r="EU26" s="82"/>
      <c r="EV26" s="82"/>
      <c r="EW26" s="82"/>
      <c r="EX26" s="82"/>
      <c r="EY26" s="82"/>
      <c r="EZ26" s="82"/>
      <c r="FA26" s="82"/>
      <c r="FB26" s="82"/>
      <c r="FC26" s="82"/>
      <c r="FD26" s="82"/>
      <c r="FE26" s="82"/>
      <c r="FF26" s="82"/>
      <c r="FG26" s="82"/>
      <c r="FH26" s="82"/>
      <c r="FI26" s="82"/>
      <c r="FJ26" s="82"/>
      <c r="FK26" s="82"/>
      <c r="FL26" s="82"/>
      <c r="FM26" s="82"/>
      <c r="FN26" s="82"/>
      <c r="FO26" s="82"/>
      <c r="FP26" s="82"/>
      <c r="FQ26" s="82"/>
      <c r="FR26" s="82"/>
      <c r="FS26" s="82"/>
      <c r="FT26" s="82"/>
      <c r="FU26" s="82"/>
      <c r="FV26" s="82"/>
      <c r="FW26" s="82"/>
      <c r="FX26" s="82"/>
      <c r="FY26" s="82"/>
      <c r="FZ26" s="82"/>
      <c r="GA26" s="82"/>
      <c r="GB26" s="82"/>
      <c r="GC26" s="82"/>
      <c r="GD26" s="82"/>
      <c r="GE26" s="82"/>
      <c r="GF26" s="82"/>
      <c r="GG26" s="82"/>
      <c r="GH26" s="82"/>
      <c r="GI26" s="82"/>
      <c r="GJ26" s="82"/>
      <c r="GK26" s="82"/>
      <c r="GL26" s="82"/>
      <c r="GM26" s="82"/>
      <c r="GN26" s="82"/>
      <c r="GO26" s="82"/>
      <c r="GP26" s="82"/>
      <c r="GQ26" s="82"/>
      <c r="GR26" s="82"/>
      <c r="GS26" s="82"/>
      <c r="GT26" s="82"/>
      <c r="GU26" s="82"/>
      <c r="GV26" s="82"/>
      <c r="GW26" s="82"/>
      <c r="GX26" s="82"/>
      <c r="GY26" s="82"/>
      <c r="GZ26" s="82"/>
      <c r="HA26" s="82"/>
      <c r="HB26" s="82"/>
      <c r="HC26" s="82"/>
      <c r="HD26" s="82"/>
      <c r="HE26" s="82"/>
      <c r="HF26" s="82"/>
      <c r="HG26" s="82"/>
      <c r="HH26" s="82"/>
      <c r="HI26" s="82"/>
    </row>
    <row r="27" spans="1:217" s="83" customFormat="1" ht="17.649999999999999" thickBot="1" x14ac:dyDescent="0.5">
      <c r="A27" s="59">
        <v>10</v>
      </c>
      <c r="B27" s="60">
        <v>20</v>
      </c>
      <c r="C27" s="61">
        <v>0.5</v>
      </c>
      <c r="D27" s="62">
        <v>5</v>
      </c>
      <c r="E27" s="63">
        <v>5</v>
      </c>
      <c r="F27" s="64"/>
      <c r="G27" s="65"/>
      <c r="H27" s="65"/>
      <c r="I27" s="66" t="b">
        <f>IF(Tableau45[[#This Row],[ANFO]]&lt;&gt;0,Tableau45[[#This Row],[Ht]]-INDEX(T_BdD[hauteur en m],MATCH(Tableau45[[#This Row],[ANFO]],T_BdD[Kilos],0)))</f>
        <v>0</v>
      </c>
      <c r="J27" s="67">
        <v>2</v>
      </c>
      <c r="K27" s="68">
        <f t="shared" si="0"/>
        <v>0</v>
      </c>
      <c r="L27" s="69">
        <f t="shared" si="1"/>
        <v>0</v>
      </c>
      <c r="M27" s="70">
        <f>Tableau45[[#This Row],[hauteur]]-Tableau45[[#This Row],[bourrage]]</f>
        <v>-2</v>
      </c>
      <c r="N27" s="60"/>
      <c r="O27" s="60"/>
      <c r="P27" s="71"/>
      <c r="Q27" s="72"/>
      <c r="R27" s="60"/>
      <c r="S27" s="71"/>
      <c r="T27" s="72"/>
      <c r="U27" s="73"/>
      <c r="V27" s="71"/>
      <c r="W27" s="72"/>
      <c r="X27" s="60"/>
      <c r="Y27" s="71"/>
      <c r="Z27" s="72"/>
      <c r="AA27" s="60"/>
      <c r="AB27" s="71"/>
      <c r="AC27" s="72"/>
      <c r="AD27" s="60"/>
      <c r="AE27" s="84">
        <f t="shared" si="6"/>
        <v>0</v>
      </c>
      <c r="AF27" s="85">
        <f t="shared" si="2"/>
        <v>0</v>
      </c>
      <c r="AG27" s="76">
        <f t="shared" si="3"/>
        <v>0</v>
      </c>
      <c r="AH27" s="77">
        <f t="shared" si="4"/>
        <v>0</v>
      </c>
      <c r="AI27" s="29">
        <f t="shared" si="5"/>
        <v>0</v>
      </c>
      <c r="AJ27" s="82"/>
      <c r="AK27" s="96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82"/>
      <c r="BC27" s="82"/>
      <c r="BD27" s="82"/>
      <c r="BE27" s="82"/>
      <c r="BF27" s="82"/>
      <c r="BG27" s="82"/>
      <c r="BH27" s="82"/>
      <c r="BI27" s="82"/>
      <c r="BJ27" s="82"/>
      <c r="BK27" s="82"/>
      <c r="BL27" s="82"/>
      <c r="BM27" s="82"/>
      <c r="BN27" s="82"/>
      <c r="BO27" s="82"/>
      <c r="BP27" s="82"/>
      <c r="BQ27" s="82"/>
      <c r="BR27" s="82"/>
      <c r="BS27" s="82"/>
      <c r="BT27" s="82"/>
      <c r="BU27" s="82"/>
      <c r="BV27" s="82"/>
      <c r="BW27" s="82"/>
      <c r="BX27" s="82"/>
      <c r="BY27" s="82"/>
      <c r="BZ27" s="82"/>
      <c r="CA27" s="82"/>
      <c r="CB27" s="82"/>
      <c r="CC27" s="82"/>
      <c r="CD27" s="82"/>
      <c r="CE27" s="82"/>
      <c r="CF27" s="82"/>
      <c r="CG27" s="82"/>
      <c r="CH27" s="82"/>
      <c r="CI27" s="82"/>
      <c r="CJ27" s="82"/>
      <c r="CK27" s="82"/>
      <c r="CL27" s="82"/>
      <c r="CM27" s="82"/>
      <c r="CN27" s="82"/>
      <c r="CO27" s="82"/>
      <c r="CP27" s="82"/>
      <c r="CQ27" s="82"/>
      <c r="CR27" s="82"/>
      <c r="CS27" s="82"/>
      <c r="CT27" s="82"/>
      <c r="CU27" s="82"/>
      <c r="CV27" s="82"/>
      <c r="CW27" s="82"/>
      <c r="CX27" s="82"/>
      <c r="CY27" s="82"/>
      <c r="CZ27" s="82"/>
      <c r="DA27" s="82"/>
      <c r="DB27" s="82"/>
      <c r="DC27" s="82"/>
      <c r="DD27" s="82"/>
      <c r="DE27" s="82"/>
      <c r="DF27" s="82"/>
      <c r="DG27" s="82"/>
      <c r="DH27" s="82"/>
      <c r="DI27" s="82"/>
      <c r="DJ27" s="82"/>
      <c r="DK27" s="82"/>
      <c r="DL27" s="82"/>
      <c r="DM27" s="82"/>
      <c r="DN27" s="82"/>
      <c r="DO27" s="82"/>
      <c r="DP27" s="82"/>
      <c r="DQ27" s="82"/>
      <c r="DR27" s="82"/>
      <c r="DS27" s="82"/>
      <c r="DT27" s="82"/>
      <c r="DU27" s="82"/>
      <c r="DV27" s="82"/>
      <c r="DW27" s="82"/>
      <c r="DX27" s="82"/>
      <c r="DY27" s="82"/>
      <c r="DZ27" s="82"/>
      <c r="EA27" s="82"/>
      <c r="EB27" s="82"/>
      <c r="EC27" s="82"/>
      <c r="ED27" s="82"/>
      <c r="EE27" s="82"/>
      <c r="EF27" s="82"/>
      <c r="EG27" s="82"/>
      <c r="EH27" s="82"/>
      <c r="EI27" s="82"/>
      <c r="EJ27" s="82"/>
      <c r="EK27" s="82"/>
      <c r="EL27" s="82"/>
      <c r="EM27" s="82"/>
      <c r="EN27" s="82"/>
      <c r="EO27" s="82"/>
      <c r="EP27" s="82"/>
      <c r="EQ27" s="82"/>
      <c r="ER27" s="82"/>
      <c r="ES27" s="82"/>
      <c r="ET27" s="82"/>
      <c r="EU27" s="82"/>
      <c r="EV27" s="82"/>
      <c r="EW27" s="82"/>
      <c r="EX27" s="82"/>
      <c r="EY27" s="82"/>
      <c r="EZ27" s="82"/>
      <c r="FA27" s="82"/>
      <c r="FB27" s="82"/>
      <c r="FC27" s="82"/>
      <c r="FD27" s="82"/>
      <c r="FE27" s="82"/>
      <c r="FF27" s="82"/>
      <c r="FG27" s="82"/>
      <c r="FH27" s="82"/>
      <c r="FI27" s="82"/>
      <c r="FJ27" s="82"/>
      <c r="FK27" s="82"/>
      <c r="FL27" s="82"/>
      <c r="FM27" s="82"/>
      <c r="FN27" s="82"/>
      <c r="FO27" s="82"/>
      <c r="FP27" s="82"/>
      <c r="FQ27" s="82"/>
      <c r="FR27" s="82"/>
      <c r="FS27" s="82"/>
      <c r="FT27" s="82"/>
      <c r="FU27" s="82"/>
      <c r="FV27" s="82"/>
      <c r="FW27" s="82"/>
      <c r="FX27" s="82"/>
      <c r="FY27" s="82"/>
      <c r="FZ27" s="82"/>
      <c r="GA27" s="82"/>
      <c r="GB27" s="82"/>
      <c r="GC27" s="82"/>
      <c r="GD27" s="82"/>
      <c r="GE27" s="82"/>
      <c r="GF27" s="82"/>
      <c r="GG27" s="82"/>
      <c r="GH27" s="82"/>
      <c r="GI27" s="82"/>
      <c r="GJ27" s="82"/>
      <c r="GK27" s="82"/>
      <c r="GL27" s="82"/>
      <c r="GM27" s="82"/>
      <c r="GN27" s="82"/>
      <c r="GO27" s="82"/>
      <c r="GP27" s="82"/>
      <c r="GQ27" s="82"/>
      <c r="GR27" s="82"/>
      <c r="GS27" s="82"/>
      <c r="GT27" s="82"/>
      <c r="GU27" s="82"/>
      <c r="GV27" s="82"/>
      <c r="GW27" s="82"/>
      <c r="GX27" s="82"/>
      <c r="GY27" s="82"/>
      <c r="GZ27" s="82"/>
      <c r="HA27" s="82"/>
      <c r="HB27" s="82"/>
      <c r="HC27" s="82"/>
      <c r="HD27" s="82"/>
      <c r="HE27" s="82"/>
      <c r="HF27" s="82"/>
      <c r="HG27" s="82"/>
      <c r="HH27" s="82"/>
      <c r="HI27" s="82"/>
    </row>
    <row r="28" spans="1:217" s="83" customFormat="1" ht="17.649999999999999" thickBot="1" x14ac:dyDescent="0.5">
      <c r="A28" s="59">
        <v>11</v>
      </c>
      <c r="B28" s="60">
        <v>20</v>
      </c>
      <c r="C28" s="61">
        <v>0.5</v>
      </c>
      <c r="D28" s="62">
        <v>5</v>
      </c>
      <c r="E28" s="63">
        <v>5</v>
      </c>
      <c r="F28" s="64"/>
      <c r="G28" s="65"/>
      <c r="H28" s="65"/>
      <c r="I28" s="66" t="b">
        <f>IF(Tableau45[[#This Row],[ANFO]]&lt;&gt;0,Tableau45[[#This Row],[Ht]]-INDEX(T_BdD[hauteur en m],MATCH(Tableau45[[#This Row],[ANFO]],T_BdD[Kilos],0)))</f>
        <v>0</v>
      </c>
      <c r="J28" s="67">
        <v>2</v>
      </c>
      <c r="K28" s="68">
        <f t="shared" si="0"/>
        <v>0</v>
      </c>
      <c r="L28" s="69">
        <f t="shared" si="1"/>
        <v>0</v>
      </c>
      <c r="M28" s="70">
        <f>Tableau45[[#This Row],[hauteur]]-Tableau45[[#This Row],[bourrage]]</f>
        <v>-2</v>
      </c>
      <c r="N28" s="60"/>
      <c r="O28" s="60"/>
      <c r="P28" s="71"/>
      <c r="Q28" s="72"/>
      <c r="R28" s="60"/>
      <c r="S28" s="71"/>
      <c r="T28" s="72"/>
      <c r="U28" s="73"/>
      <c r="V28" s="71"/>
      <c r="W28" s="72"/>
      <c r="X28" s="60"/>
      <c r="Y28" s="71"/>
      <c r="Z28" s="72"/>
      <c r="AA28" s="60"/>
      <c r="AB28" s="71"/>
      <c r="AC28" s="72"/>
      <c r="AD28" s="60"/>
      <c r="AE28" s="84">
        <f t="shared" si="6"/>
        <v>0</v>
      </c>
      <c r="AF28" s="85">
        <f t="shared" si="2"/>
        <v>0</v>
      </c>
      <c r="AG28" s="76">
        <f t="shared" si="3"/>
        <v>0</v>
      </c>
      <c r="AH28" s="77">
        <f t="shared" si="4"/>
        <v>0</v>
      </c>
      <c r="AI28" s="29">
        <f t="shared" si="5"/>
        <v>0</v>
      </c>
      <c r="AJ28" s="82"/>
      <c r="AK28" s="96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2"/>
      <c r="BY28" s="82"/>
      <c r="BZ28" s="82"/>
      <c r="CA28" s="82"/>
      <c r="CB28" s="82"/>
      <c r="CC28" s="82"/>
      <c r="CD28" s="82"/>
      <c r="CE28" s="82"/>
      <c r="CF28" s="82"/>
      <c r="CG28" s="82"/>
      <c r="CH28" s="82"/>
      <c r="CI28" s="82"/>
      <c r="CJ28" s="82"/>
      <c r="CK28" s="82"/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2"/>
      <c r="DG28" s="82"/>
      <c r="DH28" s="82"/>
      <c r="DI28" s="82"/>
      <c r="DJ28" s="82"/>
      <c r="DK28" s="82"/>
      <c r="DL28" s="82"/>
      <c r="DM28" s="82"/>
      <c r="DN28" s="82"/>
      <c r="DO28" s="82"/>
      <c r="DP28" s="82"/>
      <c r="DQ28" s="82"/>
      <c r="DR28" s="82"/>
      <c r="DS28" s="82"/>
      <c r="DT28" s="82"/>
      <c r="DU28" s="82"/>
      <c r="DV28" s="82"/>
      <c r="DW28" s="82"/>
      <c r="DX28" s="82"/>
      <c r="DY28" s="82"/>
      <c r="DZ28" s="82"/>
      <c r="EA28" s="82"/>
      <c r="EB28" s="82"/>
      <c r="EC28" s="82"/>
      <c r="ED28" s="82"/>
      <c r="EE28" s="82"/>
      <c r="EF28" s="82"/>
      <c r="EG28" s="82"/>
      <c r="EH28" s="82"/>
      <c r="EI28" s="82"/>
      <c r="EJ28" s="82"/>
      <c r="EK28" s="82"/>
      <c r="EL28" s="82"/>
      <c r="EM28" s="82"/>
      <c r="EN28" s="82"/>
      <c r="EO28" s="82"/>
      <c r="EP28" s="82"/>
      <c r="EQ28" s="82"/>
      <c r="ER28" s="82"/>
      <c r="ES28" s="82"/>
      <c r="ET28" s="82"/>
      <c r="EU28" s="82"/>
      <c r="EV28" s="82"/>
      <c r="EW28" s="82"/>
      <c r="EX28" s="82"/>
      <c r="EY28" s="82"/>
      <c r="EZ28" s="82"/>
      <c r="FA28" s="82"/>
      <c r="FB28" s="82"/>
      <c r="FC28" s="82"/>
      <c r="FD28" s="82"/>
      <c r="FE28" s="82"/>
      <c r="FF28" s="82"/>
      <c r="FG28" s="82"/>
      <c r="FH28" s="82"/>
      <c r="FI28" s="82"/>
      <c r="FJ28" s="82"/>
      <c r="FK28" s="82"/>
      <c r="FL28" s="82"/>
      <c r="FM28" s="82"/>
      <c r="FN28" s="82"/>
      <c r="FO28" s="82"/>
      <c r="FP28" s="82"/>
      <c r="FQ28" s="82"/>
      <c r="FR28" s="82"/>
      <c r="FS28" s="82"/>
      <c r="FT28" s="82"/>
      <c r="FU28" s="82"/>
      <c r="FV28" s="82"/>
      <c r="FW28" s="82"/>
      <c r="FX28" s="82"/>
      <c r="FY28" s="82"/>
      <c r="FZ28" s="82"/>
      <c r="GA28" s="82"/>
      <c r="GB28" s="82"/>
      <c r="GC28" s="82"/>
      <c r="GD28" s="82"/>
      <c r="GE28" s="82"/>
      <c r="GF28" s="82"/>
      <c r="GG28" s="82"/>
      <c r="GH28" s="82"/>
      <c r="GI28" s="82"/>
      <c r="GJ28" s="82"/>
      <c r="GK28" s="82"/>
      <c r="GL28" s="82"/>
      <c r="GM28" s="82"/>
      <c r="GN28" s="82"/>
      <c r="GO28" s="82"/>
      <c r="GP28" s="82"/>
      <c r="GQ28" s="82"/>
      <c r="GR28" s="82"/>
      <c r="GS28" s="82"/>
      <c r="GT28" s="82"/>
      <c r="GU28" s="82"/>
      <c r="GV28" s="82"/>
      <c r="GW28" s="82"/>
      <c r="GX28" s="82"/>
      <c r="GY28" s="82"/>
      <c r="GZ28" s="82"/>
      <c r="HA28" s="82"/>
      <c r="HB28" s="82"/>
      <c r="HC28" s="82"/>
      <c r="HD28" s="82"/>
      <c r="HE28" s="82"/>
      <c r="HF28" s="82"/>
      <c r="HG28" s="82"/>
      <c r="HH28" s="82"/>
      <c r="HI28" s="82"/>
    </row>
    <row r="29" spans="1:217" s="83" customFormat="1" ht="18" thickBot="1" x14ac:dyDescent="0.5">
      <c r="A29" s="59">
        <v>12</v>
      </c>
      <c r="B29" s="60">
        <v>20</v>
      </c>
      <c r="C29" s="61">
        <v>0.5</v>
      </c>
      <c r="D29" s="62">
        <v>5</v>
      </c>
      <c r="E29" s="63">
        <v>5</v>
      </c>
      <c r="F29" s="64"/>
      <c r="G29" s="65"/>
      <c r="H29" s="65"/>
      <c r="I29" s="66" t="b">
        <f>IF(Tableau45[[#This Row],[ANFO]]&lt;&gt;0,Tableau45[[#This Row],[Ht]]-INDEX(T_BdD[hauteur en m],MATCH(Tableau45[[#This Row],[ANFO]],T_BdD[Kilos],0)))</f>
        <v>0</v>
      </c>
      <c r="J29" s="67">
        <v>2</v>
      </c>
      <c r="K29" s="68">
        <f t="shared" si="0"/>
        <v>0</v>
      </c>
      <c r="L29" s="69">
        <f t="shared" si="1"/>
        <v>0</v>
      </c>
      <c r="M29" s="70">
        <f>Tableau45[[#This Row],[hauteur]]-Tableau45[[#This Row],[bourrage]]</f>
        <v>-2</v>
      </c>
      <c r="N29" s="60"/>
      <c r="O29" s="60"/>
      <c r="P29" s="71"/>
      <c r="Q29" s="72"/>
      <c r="R29" s="60"/>
      <c r="S29" s="71"/>
      <c r="T29" s="72"/>
      <c r="U29" s="73"/>
      <c r="V29" s="71"/>
      <c r="W29" s="72"/>
      <c r="X29" s="60"/>
      <c r="Y29" s="71"/>
      <c r="Z29" s="72"/>
      <c r="AA29" s="60"/>
      <c r="AB29" s="71"/>
      <c r="AC29" s="72"/>
      <c r="AD29" s="60"/>
      <c r="AE29" s="84">
        <f t="shared" si="6"/>
        <v>0</v>
      </c>
      <c r="AF29" s="85">
        <f t="shared" si="2"/>
        <v>0</v>
      </c>
      <c r="AG29" s="76">
        <f t="shared" si="3"/>
        <v>0</v>
      </c>
      <c r="AH29" s="77">
        <f t="shared" si="4"/>
        <v>0</v>
      </c>
      <c r="AI29" s="29">
        <f t="shared" si="5"/>
        <v>0</v>
      </c>
      <c r="AJ29" s="231" t="s">
        <v>76</v>
      </c>
      <c r="AK29" s="23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2"/>
      <c r="BN29" s="82"/>
      <c r="BO29" s="82"/>
      <c r="BP29" s="82"/>
      <c r="BQ29" s="82"/>
      <c r="BR29" s="82"/>
      <c r="BS29" s="82"/>
      <c r="BT29" s="82"/>
      <c r="BU29" s="82"/>
      <c r="BV29" s="82"/>
      <c r="BW29" s="82"/>
      <c r="BX29" s="82"/>
      <c r="BY29" s="82"/>
      <c r="BZ29" s="82"/>
      <c r="CA29" s="82"/>
      <c r="CB29" s="82"/>
      <c r="CC29" s="82"/>
      <c r="CD29" s="82"/>
      <c r="CE29" s="82"/>
      <c r="CF29" s="82"/>
      <c r="CG29" s="82"/>
      <c r="CH29" s="82"/>
      <c r="CI29" s="82"/>
      <c r="CJ29" s="82"/>
      <c r="CK29" s="82"/>
      <c r="CL29" s="82"/>
      <c r="CM29" s="82"/>
      <c r="CN29" s="82"/>
      <c r="CO29" s="82"/>
      <c r="CP29" s="82"/>
      <c r="CQ29" s="82"/>
      <c r="CR29" s="82"/>
      <c r="CS29" s="82"/>
      <c r="CT29" s="82"/>
      <c r="CU29" s="82"/>
      <c r="CV29" s="82"/>
      <c r="CW29" s="82"/>
      <c r="CX29" s="82"/>
      <c r="CY29" s="82"/>
      <c r="CZ29" s="82"/>
      <c r="DA29" s="82"/>
      <c r="DB29" s="82"/>
      <c r="DC29" s="82"/>
      <c r="DD29" s="82"/>
      <c r="DE29" s="82"/>
      <c r="DF29" s="82"/>
      <c r="DG29" s="82"/>
      <c r="DH29" s="82"/>
      <c r="DI29" s="82"/>
      <c r="DJ29" s="82"/>
      <c r="DK29" s="82"/>
      <c r="DL29" s="82"/>
      <c r="DM29" s="82"/>
      <c r="DN29" s="82"/>
      <c r="DO29" s="82"/>
      <c r="DP29" s="82"/>
      <c r="DQ29" s="82"/>
      <c r="DR29" s="82"/>
      <c r="DS29" s="82"/>
      <c r="DT29" s="82"/>
      <c r="DU29" s="82"/>
      <c r="DV29" s="82"/>
      <c r="DW29" s="82"/>
      <c r="DX29" s="82"/>
      <c r="DY29" s="82"/>
      <c r="DZ29" s="82"/>
      <c r="EA29" s="82"/>
      <c r="EB29" s="82"/>
      <c r="EC29" s="82"/>
      <c r="ED29" s="82"/>
      <c r="EE29" s="82"/>
      <c r="EF29" s="82"/>
      <c r="EG29" s="82"/>
      <c r="EH29" s="82"/>
      <c r="EI29" s="82"/>
      <c r="EJ29" s="82"/>
      <c r="EK29" s="82"/>
      <c r="EL29" s="82"/>
      <c r="EM29" s="82"/>
      <c r="EN29" s="82"/>
      <c r="EO29" s="82"/>
      <c r="EP29" s="82"/>
      <c r="EQ29" s="82"/>
      <c r="ER29" s="82"/>
      <c r="ES29" s="82"/>
      <c r="ET29" s="82"/>
      <c r="EU29" s="82"/>
      <c r="EV29" s="82"/>
      <c r="EW29" s="82"/>
      <c r="EX29" s="82"/>
      <c r="EY29" s="82"/>
      <c r="EZ29" s="82"/>
      <c r="FA29" s="82"/>
      <c r="FB29" s="82"/>
      <c r="FC29" s="82"/>
      <c r="FD29" s="82"/>
      <c r="FE29" s="82"/>
      <c r="FF29" s="82"/>
      <c r="FG29" s="82"/>
      <c r="FH29" s="82"/>
      <c r="FI29" s="82"/>
      <c r="FJ29" s="82"/>
      <c r="FK29" s="82"/>
      <c r="FL29" s="82"/>
      <c r="FM29" s="82"/>
      <c r="FN29" s="82"/>
      <c r="FO29" s="82"/>
      <c r="FP29" s="82"/>
      <c r="FQ29" s="82"/>
      <c r="FR29" s="82"/>
      <c r="FS29" s="82"/>
      <c r="FT29" s="82"/>
      <c r="FU29" s="82"/>
      <c r="FV29" s="82"/>
      <c r="FW29" s="82"/>
      <c r="FX29" s="82"/>
      <c r="FY29" s="82"/>
      <c r="FZ29" s="82"/>
      <c r="GA29" s="82"/>
      <c r="GB29" s="82"/>
      <c r="GC29" s="82"/>
      <c r="GD29" s="82"/>
      <c r="GE29" s="82"/>
      <c r="GF29" s="82"/>
      <c r="GG29" s="82"/>
      <c r="GH29" s="82"/>
      <c r="GI29" s="82"/>
      <c r="GJ29" s="82"/>
      <c r="GK29" s="82"/>
      <c r="GL29" s="82"/>
      <c r="GM29" s="82"/>
      <c r="GN29" s="82"/>
      <c r="GO29" s="82"/>
      <c r="GP29" s="82"/>
      <c r="GQ29" s="82"/>
      <c r="GR29" s="82"/>
      <c r="GS29" s="82"/>
      <c r="GT29" s="82"/>
      <c r="GU29" s="82"/>
      <c r="GV29" s="82"/>
      <c r="GW29" s="82"/>
      <c r="GX29" s="82"/>
      <c r="GY29" s="82"/>
      <c r="GZ29" s="82"/>
      <c r="HA29" s="82"/>
      <c r="HB29" s="82"/>
      <c r="HC29" s="82"/>
      <c r="HD29" s="82"/>
      <c r="HE29" s="82"/>
      <c r="HF29" s="82"/>
      <c r="HG29" s="82"/>
      <c r="HH29" s="82"/>
      <c r="HI29" s="82"/>
    </row>
    <row r="30" spans="1:217" s="83" customFormat="1" ht="18" thickBot="1" x14ac:dyDescent="0.5">
      <c r="A30" s="59">
        <v>13</v>
      </c>
      <c r="B30" s="60">
        <v>20</v>
      </c>
      <c r="C30" s="61">
        <v>0.5</v>
      </c>
      <c r="D30" s="62">
        <v>5</v>
      </c>
      <c r="E30" s="63">
        <v>5</v>
      </c>
      <c r="F30" s="64"/>
      <c r="G30" s="65"/>
      <c r="H30" s="65"/>
      <c r="I30" s="66" t="b">
        <f>IF(Tableau45[[#This Row],[ANFO]]&lt;&gt;0,Tableau45[[#This Row],[Ht]]-INDEX(T_BdD[hauteur en m],MATCH(Tableau45[[#This Row],[ANFO]],T_BdD[Kilos],0)))</f>
        <v>0</v>
      </c>
      <c r="J30" s="67">
        <v>2</v>
      </c>
      <c r="K30" s="68">
        <f t="shared" si="0"/>
        <v>0</v>
      </c>
      <c r="L30" s="69">
        <f t="shared" si="1"/>
        <v>0</v>
      </c>
      <c r="M30" s="70">
        <f>Tableau45[[#This Row],[hauteur]]-Tableau45[[#This Row],[bourrage]]</f>
        <v>-2</v>
      </c>
      <c r="N30" s="60"/>
      <c r="O30" s="60"/>
      <c r="P30" s="71"/>
      <c r="Q30" s="72"/>
      <c r="R30" s="60"/>
      <c r="S30" s="71"/>
      <c r="T30" s="72"/>
      <c r="U30" s="73"/>
      <c r="V30" s="71"/>
      <c r="W30" s="72"/>
      <c r="X30" s="60"/>
      <c r="Y30" s="71"/>
      <c r="Z30" s="72"/>
      <c r="AA30" s="60"/>
      <c r="AB30" s="71"/>
      <c r="AC30" s="72"/>
      <c r="AD30" s="60"/>
      <c r="AE30" s="84">
        <f t="shared" si="6"/>
        <v>0</v>
      </c>
      <c r="AF30" s="85">
        <f t="shared" si="2"/>
        <v>0</v>
      </c>
      <c r="AG30" s="76">
        <f t="shared" si="3"/>
        <v>0</v>
      </c>
      <c r="AH30" s="77">
        <f t="shared" si="4"/>
        <v>0</v>
      </c>
      <c r="AI30" s="29">
        <f t="shared" si="5"/>
        <v>0</v>
      </c>
      <c r="AJ30" s="97" t="s">
        <v>77</v>
      </c>
      <c r="AK30" s="98"/>
      <c r="AL30" s="82"/>
      <c r="AM30" s="81">
        <f>AK30*19.02</f>
        <v>0</v>
      </c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2"/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2"/>
      <c r="BY30" s="82"/>
      <c r="BZ30" s="82"/>
      <c r="CA30" s="82"/>
      <c r="CB30" s="82"/>
      <c r="CC30" s="82"/>
      <c r="CD30" s="82"/>
      <c r="CE30" s="82"/>
      <c r="CF30" s="82"/>
      <c r="CG30" s="82"/>
      <c r="CH30" s="82"/>
      <c r="CI30" s="82"/>
      <c r="CJ30" s="82"/>
      <c r="CK30" s="82"/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2"/>
      <c r="DG30" s="82"/>
      <c r="DH30" s="82"/>
      <c r="DI30" s="82"/>
      <c r="DJ30" s="82"/>
      <c r="DK30" s="82"/>
      <c r="DL30" s="82"/>
      <c r="DM30" s="82"/>
      <c r="DN30" s="82"/>
      <c r="DO30" s="82"/>
      <c r="DP30" s="82"/>
      <c r="DQ30" s="82"/>
      <c r="DR30" s="82"/>
      <c r="DS30" s="82"/>
      <c r="DT30" s="82"/>
      <c r="DU30" s="82"/>
      <c r="DV30" s="82"/>
      <c r="DW30" s="82"/>
      <c r="DX30" s="82"/>
      <c r="DY30" s="82"/>
      <c r="DZ30" s="82"/>
      <c r="EA30" s="82"/>
      <c r="EB30" s="82"/>
      <c r="EC30" s="82"/>
      <c r="ED30" s="82"/>
      <c r="EE30" s="82"/>
      <c r="EF30" s="82"/>
      <c r="EG30" s="82"/>
      <c r="EH30" s="82"/>
      <c r="EI30" s="82"/>
      <c r="EJ30" s="82"/>
      <c r="EK30" s="82"/>
      <c r="EL30" s="82"/>
      <c r="EM30" s="82"/>
      <c r="EN30" s="82"/>
      <c r="EO30" s="82"/>
      <c r="EP30" s="82"/>
      <c r="EQ30" s="82"/>
      <c r="ER30" s="82"/>
      <c r="ES30" s="82"/>
      <c r="ET30" s="82"/>
      <c r="EU30" s="82"/>
      <c r="EV30" s="82"/>
      <c r="EW30" s="82"/>
      <c r="EX30" s="82"/>
      <c r="EY30" s="82"/>
      <c r="EZ30" s="82"/>
      <c r="FA30" s="82"/>
      <c r="FB30" s="82"/>
      <c r="FC30" s="82"/>
      <c r="FD30" s="82"/>
      <c r="FE30" s="82"/>
      <c r="FF30" s="82"/>
      <c r="FG30" s="82"/>
      <c r="FH30" s="82"/>
      <c r="FI30" s="82"/>
      <c r="FJ30" s="82"/>
      <c r="FK30" s="82"/>
      <c r="FL30" s="82"/>
      <c r="FM30" s="82"/>
      <c r="FN30" s="82"/>
      <c r="FO30" s="82"/>
      <c r="FP30" s="82"/>
      <c r="FQ30" s="82"/>
      <c r="FR30" s="82"/>
      <c r="FS30" s="82"/>
      <c r="FT30" s="82"/>
      <c r="FU30" s="82"/>
      <c r="FV30" s="82"/>
      <c r="FW30" s="82"/>
      <c r="FX30" s="82"/>
      <c r="FY30" s="82"/>
      <c r="FZ30" s="82"/>
      <c r="GA30" s="82"/>
      <c r="GB30" s="82"/>
      <c r="GC30" s="82"/>
      <c r="GD30" s="82"/>
      <c r="GE30" s="82"/>
      <c r="GF30" s="82"/>
      <c r="GG30" s="82"/>
      <c r="GH30" s="82"/>
      <c r="GI30" s="82"/>
      <c r="GJ30" s="82"/>
      <c r="GK30" s="82"/>
      <c r="GL30" s="82"/>
      <c r="GM30" s="82"/>
      <c r="GN30" s="82"/>
      <c r="GO30" s="82"/>
      <c r="GP30" s="82"/>
      <c r="GQ30" s="82"/>
      <c r="GR30" s="82"/>
      <c r="GS30" s="82"/>
      <c r="GT30" s="82"/>
      <c r="GU30" s="82"/>
      <c r="GV30" s="82"/>
      <c r="GW30" s="82"/>
      <c r="GX30" s="82"/>
      <c r="GY30" s="82"/>
      <c r="GZ30" s="82"/>
      <c r="HA30" s="82"/>
      <c r="HB30" s="82"/>
      <c r="HC30" s="82"/>
      <c r="HD30" s="82"/>
      <c r="HE30" s="82"/>
      <c r="HF30" s="82"/>
      <c r="HG30" s="82"/>
      <c r="HH30" s="82"/>
      <c r="HI30" s="82"/>
    </row>
    <row r="31" spans="1:217" s="83" customFormat="1" ht="17.649999999999999" thickBot="1" x14ac:dyDescent="0.5">
      <c r="A31" s="59">
        <v>14</v>
      </c>
      <c r="B31" s="60">
        <v>20</v>
      </c>
      <c r="C31" s="61">
        <v>0.5</v>
      </c>
      <c r="D31" s="62">
        <v>5</v>
      </c>
      <c r="E31" s="63">
        <v>5</v>
      </c>
      <c r="F31" s="64"/>
      <c r="G31" s="65"/>
      <c r="H31" s="65"/>
      <c r="I31" s="66" t="b">
        <f>IF(Tableau45[[#This Row],[ANFO]]&lt;&gt;0,Tableau45[[#This Row],[Ht]]-INDEX(T_BdD[hauteur en m],MATCH(Tableau45[[#This Row],[ANFO]],T_BdD[Kilos],0)))</f>
        <v>0</v>
      </c>
      <c r="J31" s="67">
        <v>2</v>
      </c>
      <c r="K31" s="68">
        <f t="shared" si="0"/>
        <v>0</v>
      </c>
      <c r="L31" s="69">
        <f t="shared" si="1"/>
        <v>0</v>
      </c>
      <c r="M31" s="70">
        <f>Tableau45[[#This Row],[hauteur]]-Tableau45[[#This Row],[bourrage]]</f>
        <v>-2</v>
      </c>
      <c r="N31" s="60"/>
      <c r="O31" s="60"/>
      <c r="P31" s="71"/>
      <c r="Q31" s="72"/>
      <c r="R31" s="60"/>
      <c r="S31" s="71"/>
      <c r="T31" s="72"/>
      <c r="U31" s="73"/>
      <c r="V31" s="71"/>
      <c r="W31" s="72"/>
      <c r="X31" s="60"/>
      <c r="Y31" s="71"/>
      <c r="Z31" s="72"/>
      <c r="AA31" s="60"/>
      <c r="AB31" s="71"/>
      <c r="AC31" s="72"/>
      <c r="AD31" s="60"/>
      <c r="AE31" s="84">
        <f t="shared" si="6"/>
        <v>0</v>
      </c>
      <c r="AF31" s="85">
        <f t="shared" si="2"/>
        <v>0</v>
      </c>
      <c r="AG31" s="76">
        <f t="shared" si="3"/>
        <v>0</v>
      </c>
      <c r="AH31" s="77">
        <f t="shared" si="4"/>
        <v>0</v>
      </c>
      <c r="AI31" s="29">
        <f t="shared" si="5"/>
        <v>0</v>
      </c>
      <c r="AJ31" s="99" t="s">
        <v>78</v>
      </c>
      <c r="AK31" s="100"/>
      <c r="AL31" s="82"/>
      <c r="AM31" s="81">
        <f>AK31*22.8</f>
        <v>0</v>
      </c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2"/>
      <c r="BM31" s="82"/>
      <c r="BN31" s="82"/>
      <c r="BO31" s="82"/>
      <c r="BP31" s="82"/>
      <c r="BQ31" s="82"/>
      <c r="BR31" s="82"/>
      <c r="BS31" s="82"/>
      <c r="BT31" s="82"/>
      <c r="BU31" s="82"/>
      <c r="BV31" s="82"/>
      <c r="BW31" s="82"/>
      <c r="BX31" s="82"/>
      <c r="BY31" s="82"/>
      <c r="BZ31" s="82"/>
      <c r="CA31" s="82"/>
      <c r="CB31" s="82"/>
      <c r="CC31" s="82"/>
      <c r="CD31" s="82"/>
      <c r="CE31" s="82"/>
      <c r="CF31" s="82"/>
      <c r="CG31" s="82"/>
      <c r="CH31" s="82"/>
      <c r="CI31" s="82"/>
      <c r="CJ31" s="82"/>
      <c r="CK31" s="82"/>
      <c r="CL31" s="82"/>
      <c r="CM31" s="82"/>
      <c r="CN31" s="82"/>
      <c r="CO31" s="82"/>
      <c r="CP31" s="82"/>
      <c r="CQ31" s="82"/>
      <c r="CR31" s="82"/>
      <c r="CS31" s="82"/>
      <c r="CT31" s="82"/>
      <c r="CU31" s="82"/>
      <c r="CV31" s="82"/>
      <c r="CW31" s="82"/>
      <c r="CX31" s="82"/>
      <c r="CY31" s="82"/>
      <c r="CZ31" s="82"/>
      <c r="DA31" s="82"/>
      <c r="DB31" s="82"/>
      <c r="DC31" s="82"/>
      <c r="DD31" s="82"/>
      <c r="DE31" s="82"/>
      <c r="DF31" s="82"/>
      <c r="DG31" s="82"/>
      <c r="DH31" s="82"/>
      <c r="DI31" s="82"/>
      <c r="DJ31" s="82"/>
      <c r="DK31" s="82"/>
      <c r="DL31" s="82"/>
      <c r="DM31" s="82"/>
      <c r="DN31" s="82"/>
      <c r="DO31" s="82"/>
      <c r="DP31" s="82"/>
      <c r="DQ31" s="82"/>
      <c r="DR31" s="82"/>
      <c r="DS31" s="82"/>
      <c r="DT31" s="82"/>
      <c r="DU31" s="82"/>
      <c r="DV31" s="82"/>
      <c r="DW31" s="82"/>
      <c r="DX31" s="82"/>
      <c r="DY31" s="82"/>
      <c r="DZ31" s="82"/>
      <c r="EA31" s="82"/>
      <c r="EB31" s="82"/>
      <c r="EC31" s="82"/>
      <c r="ED31" s="82"/>
      <c r="EE31" s="82"/>
      <c r="EF31" s="82"/>
      <c r="EG31" s="82"/>
      <c r="EH31" s="82"/>
      <c r="EI31" s="82"/>
      <c r="EJ31" s="82"/>
      <c r="EK31" s="82"/>
      <c r="EL31" s="82"/>
      <c r="EM31" s="82"/>
      <c r="EN31" s="82"/>
      <c r="EO31" s="82"/>
      <c r="EP31" s="82"/>
      <c r="EQ31" s="82"/>
      <c r="ER31" s="82"/>
      <c r="ES31" s="82"/>
      <c r="ET31" s="82"/>
      <c r="EU31" s="82"/>
      <c r="EV31" s="82"/>
      <c r="EW31" s="82"/>
      <c r="EX31" s="82"/>
      <c r="EY31" s="82"/>
      <c r="EZ31" s="82"/>
      <c r="FA31" s="82"/>
      <c r="FB31" s="82"/>
      <c r="FC31" s="82"/>
      <c r="FD31" s="82"/>
      <c r="FE31" s="82"/>
      <c r="FF31" s="82"/>
      <c r="FG31" s="82"/>
      <c r="FH31" s="82"/>
      <c r="FI31" s="82"/>
      <c r="FJ31" s="82"/>
      <c r="FK31" s="82"/>
      <c r="FL31" s="82"/>
      <c r="FM31" s="82"/>
      <c r="FN31" s="82"/>
      <c r="FO31" s="82"/>
      <c r="FP31" s="82"/>
      <c r="FQ31" s="82"/>
      <c r="FR31" s="82"/>
      <c r="FS31" s="82"/>
      <c r="FT31" s="82"/>
      <c r="FU31" s="82"/>
      <c r="FV31" s="82"/>
      <c r="FW31" s="82"/>
      <c r="FX31" s="82"/>
      <c r="FY31" s="82"/>
      <c r="FZ31" s="82"/>
      <c r="GA31" s="82"/>
      <c r="GB31" s="82"/>
      <c r="GC31" s="82"/>
      <c r="GD31" s="82"/>
      <c r="GE31" s="82"/>
      <c r="GF31" s="82"/>
      <c r="GG31" s="82"/>
      <c r="GH31" s="82"/>
      <c r="GI31" s="82"/>
      <c r="GJ31" s="82"/>
      <c r="GK31" s="82"/>
      <c r="GL31" s="82"/>
      <c r="GM31" s="82"/>
      <c r="GN31" s="82"/>
      <c r="GO31" s="82"/>
      <c r="GP31" s="82"/>
      <c r="GQ31" s="82"/>
      <c r="GR31" s="82"/>
      <c r="GS31" s="82"/>
      <c r="GT31" s="82"/>
      <c r="GU31" s="82"/>
      <c r="GV31" s="82"/>
      <c r="GW31" s="82"/>
      <c r="GX31" s="82"/>
      <c r="GY31" s="82"/>
      <c r="GZ31" s="82"/>
      <c r="HA31" s="82"/>
      <c r="HB31" s="82"/>
      <c r="HC31" s="82"/>
      <c r="HD31" s="82"/>
      <c r="HE31" s="82"/>
      <c r="HF31" s="82"/>
      <c r="HG31" s="82"/>
      <c r="HH31" s="82"/>
      <c r="HI31" s="82"/>
    </row>
    <row r="32" spans="1:217" s="83" customFormat="1" ht="17.649999999999999" thickBot="1" x14ac:dyDescent="0.5">
      <c r="A32" s="59">
        <v>15</v>
      </c>
      <c r="B32" s="60">
        <v>20</v>
      </c>
      <c r="C32" s="61">
        <v>0.5</v>
      </c>
      <c r="D32" s="62">
        <v>5</v>
      </c>
      <c r="E32" s="63">
        <v>5</v>
      </c>
      <c r="F32" s="64"/>
      <c r="G32" s="65"/>
      <c r="H32" s="65"/>
      <c r="I32" s="66" t="b">
        <f>IF(Tableau45[[#This Row],[ANFO]]&lt;&gt;0,Tableau45[[#This Row],[Ht]]-INDEX(T_BdD[hauteur en m],MATCH(Tableau45[[#This Row],[ANFO]],T_BdD[Kilos],0)))</f>
        <v>0</v>
      </c>
      <c r="J32" s="67">
        <v>2</v>
      </c>
      <c r="K32" s="68">
        <f t="shared" si="0"/>
        <v>0</v>
      </c>
      <c r="L32" s="69">
        <f t="shared" si="1"/>
        <v>0</v>
      </c>
      <c r="M32" s="70">
        <f>Tableau45[[#This Row],[hauteur]]-Tableau45[[#This Row],[bourrage]]</f>
        <v>-2</v>
      </c>
      <c r="N32" s="60"/>
      <c r="O32" s="60"/>
      <c r="P32" s="71"/>
      <c r="Q32" s="72"/>
      <c r="R32" s="60"/>
      <c r="S32" s="71"/>
      <c r="T32" s="72"/>
      <c r="U32" s="73"/>
      <c r="V32" s="71"/>
      <c r="W32" s="72"/>
      <c r="X32" s="60"/>
      <c r="Y32" s="71"/>
      <c r="Z32" s="72"/>
      <c r="AA32" s="60"/>
      <c r="AB32" s="71"/>
      <c r="AC32" s="72"/>
      <c r="AD32" s="60"/>
      <c r="AE32" s="84">
        <f t="shared" si="6"/>
        <v>0</v>
      </c>
      <c r="AF32" s="85">
        <f t="shared" si="2"/>
        <v>0</v>
      </c>
      <c r="AG32" s="76">
        <f t="shared" si="3"/>
        <v>0</v>
      </c>
      <c r="AH32" s="77">
        <f t="shared" si="4"/>
        <v>0</v>
      </c>
      <c r="AI32" s="29">
        <f t="shared" si="5"/>
        <v>0</v>
      </c>
      <c r="AJ32" s="99" t="s">
        <v>79</v>
      </c>
      <c r="AK32" s="100"/>
      <c r="AL32" s="82"/>
      <c r="AM32" s="81">
        <f>AK32*24.8</f>
        <v>0</v>
      </c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2"/>
      <c r="AZ32" s="82"/>
      <c r="BA32" s="82"/>
      <c r="BB32" s="82"/>
      <c r="BC32" s="82"/>
      <c r="BD32" s="82"/>
      <c r="BE32" s="82"/>
      <c r="BF32" s="82"/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2"/>
      <c r="BY32" s="82"/>
      <c r="BZ32" s="82"/>
      <c r="CA32" s="82"/>
      <c r="CB32" s="82"/>
      <c r="CC32" s="82"/>
      <c r="CD32" s="82"/>
      <c r="CE32" s="82"/>
      <c r="CF32" s="82"/>
      <c r="CG32" s="82"/>
      <c r="CH32" s="82"/>
      <c r="CI32" s="82"/>
      <c r="CJ32" s="82"/>
      <c r="CK32" s="82"/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2"/>
      <c r="DG32" s="82"/>
      <c r="DH32" s="82"/>
      <c r="DI32" s="82"/>
      <c r="DJ32" s="82"/>
      <c r="DK32" s="82"/>
      <c r="DL32" s="82"/>
      <c r="DM32" s="82"/>
      <c r="DN32" s="82"/>
      <c r="DO32" s="82"/>
      <c r="DP32" s="82"/>
      <c r="DQ32" s="82"/>
      <c r="DR32" s="82"/>
      <c r="DS32" s="82"/>
      <c r="DT32" s="82"/>
      <c r="DU32" s="82"/>
      <c r="DV32" s="82"/>
      <c r="DW32" s="82"/>
      <c r="DX32" s="82"/>
      <c r="DY32" s="82"/>
      <c r="DZ32" s="82"/>
      <c r="EA32" s="82"/>
      <c r="EB32" s="82"/>
      <c r="EC32" s="82"/>
      <c r="ED32" s="82"/>
      <c r="EE32" s="82"/>
      <c r="EF32" s="82"/>
      <c r="EG32" s="82"/>
      <c r="EH32" s="82"/>
      <c r="EI32" s="82"/>
      <c r="EJ32" s="82"/>
      <c r="EK32" s="82"/>
      <c r="EL32" s="82"/>
      <c r="EM32" s="82"/>
      <c r="EN32" s="82"/>
      <c r="EO32" s="82"/>
      <c r="EP32" s="82"/>
      <c r="EQ32" s="82"/>
      <c r="ER32" s="82"/>
      <c r="ES32" s="82"/>
      <c r="ET32" s="82"/>
      <c r="EU32" s="82"/>
      <c r="EV32" s="82"/>
      <c r="EW32" s="82"/>
      <c r="EX32" s="82"/>
      <c r="EY32" s="82"/>
      <c r="EZ32" s="82"/>
      <c r="FA32" s="82"/>
      <c r="FB32" s="82"/>
      <c r="FC32" s="82"/>
      <c r="FD32" s="82"/>
      <c r="FE32" s="82"/>
      <c r="FF32" s="82"/>
      <c r="FG32" s="82"/>
      <c r="FH32" s="82"/>
      <c r="FI32" s="82"/>
      <c r="FJ32" s="82"/>
      <c r="FK32" s="82"/>
      <c r="FL32" s="82"/>
      <c r="FM32" s="82"/>
      <c r="FN32" s="82"/>
      <c r="FO32" s="82"/>
      <c r="FP32" s="82"/>
      <c r="FQ32" s="82"/>
      <c r="FR32" s="82"/>
      <c r="FS32" s="82"/>
      <c r="FT32" s="82"/>
      <c r="FU32" s="82"/>
      <c r="FV32" s="82"/>
      <c r="FW32" s="82"/>
      <c r="FX32" s="82"/>
      <c r="FY32" s="82"/>
      <c r="FZ32" s="82"/>
      <c r="GA32" s="82"/>
      <c r="GB32" s="82"/>
      <c r="GC32" s="82"/>
      <c r="GD32" s="82"/>
      <c r="GE32" s="82"/>
      <c r="GF32" s="82"/>
      <c r="GG32" s="82"/>
      <c r="GH32" s="82"/>
      <c r="GI32" s="82"/>
      <c r="GJ32" s="82"/>
      <c r="GK32" s="82"/>
      <c r="GL32" s="82"/>
      <c r="GM32" s="82"/>
      <c r="GN32" s="82"/>
      <c r="GO32" s="82"/>
      <c r="GP32" s="82"/>
      <c r="GQ32" s="82"/>
      <c r="GR32" s="82"/>
      <c r="GS32" s="82"/>
      <c r="GT32" s="82"/>
      <c r="GU32" s="82"/>
      <c r="GV32" s="82"/>
      <c r="GW32" s="82"/>
      <c r="GX32" s="82"/>
      <c r="GY32" s="82"/>
      <c r="GZ32" s="82"/>
      <c r="HA32" s="82"/>
      <c r="HB32" s="82"/>
      <c r="HC32" s="82"/>
      <c r="HD32" s="82"/>
      <c r="HE32" s="82"/>
      <c r="HF32" s="82"/>
      <c r="HG32" s="82"/>
      <c r="HH32" s="82"/>
      <c r="HI32" s="82"/>
    </row>
    <row r="33" spans="1:217" s="83" customFormat="1" ht="17.649999999999999" thickBot="1" x14ac:dyDescent="0.5">
      <c r="A33" s="59">
        <v>16</v>
      </c>
      <c r="B33" s="60">
        <v>20</v>
      </c>
      <c r="C33" s="61">
        <v>0.5</v>
      </c>
      <c r="D33" s="62">
        <v>5</v>
      </c>
      <c r="E33" s="63">
        <v>5</v>
      </c>
      <c r="F33" s="64"/>
      <c r="G33" s="65"/>
      <c r="H33" s="65"/>
      <c r="I33" s="66" t="b">
        <f>IF(Tableau45[[#This Row],[ANFO]]&lt;&gt;0,Tableau45[[#This Row],[Ht]]-INDEX(T_BdD[hauteur en m],MATCH(Tableau45[[#This Row],[ANFO]],T_BdD[Kilos],0)))</f>
        <v>0</v>
      </c>
      <c r="J33" s="67">
        <v>2</v>
      </c>
      <c r="K33" s="68">
        <f t="shared" si="0"/>
        <v>0</v>
      </c>
      <c r="L33" s="69">
        <f t="shared" si="1"/>
        <v>0</v>
      </c>
      <c r="M33" s="70">
        <f>Tableau45[[#This Row],[hauteur]]-Tableau45[[#This Row],[bourrage]]</f>
        <v>-2</v>
      </c>
      <c r="N33" s="60"/>
      <c r="O33" s="60"/>
      <c r="P33" s="71"/>
      <c r="Q33" s="72"/>
      <c r="R33" s="60"/>
      <c r="S33" s="71"/>
      <c r="T33" s="72"/>
      <c r="U33" s="73"/>
      <c r="V33" s="71"/>
      <c r="W33" s="72"/>
      <c r="X33" s="60"/>
      <c r="Y33" s="71"/>
      <c r="Z33" s="72"/>
      <c r="AA33" s="60"/>
      <c r="AB33" s="71"/>
      <c r="AC33" s="72"/>
      <c r="AD33" s="60"/>
      <c r="AE33" s="84">
        <f t="shared" si="6"/>
        <v>0</v>
      </c>
      <c r="AF33" s="85">
        <f t="shared" si="2"/>
        <v>0</v>
      </c>
      <c r="AG33" s="76">
        <f t="shared" si="3"/>
        <v>0</v>
      </c>
      <c r="AH33" s="77">
        <f t="shared" si="4"/>
        <v>0</v>
      </c>
      <c r="AI33" s="29">
        <f t="shared" si="5"/>
        <v>0</v>
      </c>
      <c r="AJ33" s="99" t="s">
        <v>80</v>
      </c>
      <c r="AK33" s="100"/>
      <c r="AL33" s="82"/>
      <c r="AM33" s="81">
        <f>AK33*26.8</f>
        <v>0</v>
      </c>
      <c r="AN33" s="82"/>
      <c r="AO33" s="82"/>
      <c r="AP33" s="82"/>
      <c r="AQ33" s="82"/>
      <c r="AR33" s="82"/>
      <c r="AS33" s="82"/>
      <c r="AT33" s="82"/>
      <c r="AU33" s="82"/>
      <c r="AV33" s="82"/>
      <c r="AW33" s="82"/>
      <c r="AX33" s="82"/>
      <c r="AY33" s="82"/>
      <c r="AZ33" s="82"/>
      <c r="BA33" s="82"/>
      <c r="BB33" s="82"/>
      <c r="BC33" s="82"/>
      <c r="BD33" s="82"/>
      <c r="BE33" s="82"/>
      <c r="BF33" s="82"/>
      <c r="BG33" s="82"/>
      <c r="BH33" s="82"/>
      <c r="BI33" s="82"/>
      <c r="BJ33" s="82"/>
      <c r="BK33" s="82"/>
      <c r="BL33" s="82"/>
      <c r="BM33" s="82"/>
      <c r="BN33" s="82"/>
      <c r="BO33" s="82"/>
      <c r="BP33" s="82"/>
      <c r="BQ33" s="82"/>
      <c r="BR33" s="82"/>
      <c r="BS33" s="82"/>
      <c r="BT33" s="82"/>
      <c r="BU33" s="82"/>
      <c r="BV33" s="82"/>
      <c r="BW33" s="82"/>
      <c r="BX33" s="82"/>
      <c r="BY33" s="82"/>
      <c r="BZ33" s="82"/>
      <c r="CA33" s="82"/>
      <c r="CB33" s="82"/>
      <c r="CC33" s="82"/>
      <c r="CD33" s="82"/>
      <c r="CE33" s="82"/>
      <c r="CF33" s="82"/>
      <c r="CG33" s="82"/>
      <c r="CH33" s="82"/>
      <c r="CI33" s="82"/>
      <c r="CJ33" s="82"/>
      <c r="CK33" s="82"/>
      <c r="CL33" s="82"/>
      <c r="CM33" s="82"/>
      <c r="CN33" s="82"/>
      <c r="CO33" s="82"/>
      <c r="CP33" s="82"/>
      <c r="CQ33" s="82"/>
      <c r="CR33" s="82"/>
      <c r="CS33" s="82"/>
      <c r="CT33" s="82"/>
      <c r="CU33" s="82"/>
      <c r="CV33" s="82"/>
      <c r="CW33" s="82"/>
      <c r="CX33" s="82"/>
      <c r="CY33" s="82"/>
      <c r="CZ33" s="82"/>
      <c r="DA33" s="82"/>
      <c r="DB33" s="82"/>
      <c r="DC33" s="82"/>
      <c r="DD33" s="82"/>
      <c r="DE33" s="82"/>
      <c r="DF33" s="82"/>
      <c r="DG33" s="82"/>
      <c r="DH33" s="82"/>
      <c r="DI33" s="82"/>
      <c r="DJ33" s="82"/>
      <c r="DK33" s="82"/>
      <c r="DL33" s="82"/>
      <c r="DM33" s="82"/>
      <c r="DN33" s="82"/>
      <c r="DO33" s="82"/>
      <c r="DP33" s="82"/>
      <c r="DQ33" s="82"/>
      <c r="DR33" s="82"/>
      <c r="DS33" s="82"/>
      <c r="DT33" s="82"/>
      <c r="DU33" s="82"/>
      <c r="DV33" s="82"/>
      <c r="DW33" s="82"/>
      <c r="DX33" s="82"/>
      <c r="DY33" s="82"/>
      <c r="DZ33" s="82"/>
      <c r="EA33" s="82"/>
      <c r="EB33" s="82"/>
      <c r="EC33" s="82"/>
      <c r="ED33" s="82"/>
      <c r="EE33" s="82"/>
      <c r="EF33" s="82"/>
      <c r="EG33" s="82"/>
      <c r="EH33" s="82"/>
      <c r="EI33" s="82"/>
      <c r="EJ33" s="82"/>
      <c r="EK33" s="82"/>
      <c r="EL33" s="82"/>
      <c r="EM33" s="82"/>
      <c r="EN33" s="82"/>
      <c r="EO33" s="82"/>
      <c r="EP33" s="82"/>
      <c r="EQ33" s="82"/>
      <c r="ER33" s="82"/>
      <c r="ES33" s="82"/>
      <c r="ET33" s="82"/>
      <c r="EU33" s="82"/>
      <c r="EV33" s="82"/>
      <c r="EW33" s="82"/>
      <c r="EX33" s="82"/>
      <c r="EY33" s="82"/>
      <c r="EZ33" s="82"/>
      <c r="FA33" s="82"/>
      <c r="FB33" s="82"/>
      <c r="FC33" s="82"/>
      <c r="FD33" s="82"/>
      <c r="FE33" s="82"/>
      <c r="FF33" s="82"/>
      <c r="FG33" s="82"/>
      <c r="FH33" s="82"/>
      <c r="FI33" s="82"/>
      <c r="FJ33" s="82"/>
      <c r="FK33" s="82"/>
      <c r="FL33" s="82"/>
      <c r="FM33" s="82"/>
      <c r="FN33" s="82"/>
      <c r="FO33" s="82"/>
      <c r="FP33" s="82"/>
      <c r="FQ33" s="82"/>
      <c r="FR33" s="82"/>
      <c r="FS33" s="82"/>
      <c r="FT33" s="82"/>
      <c r="FU33" s="82"/>
      <c r="FV33" s="82"/>
      <c r="FW33" s="82"/>
      <c r="FX33" s="82"/>
      <c r="FY33" s="82"/>
      <c r="FZ33" s="82"/>
      <c r="GA33" s="82"/>
      <c r="GB33" s="82"/>
      <c r="GC33" s="82"/>
      <c r="GD33" s="82"/>
      <c r="GE33" s="82"/>
      <c r="GF33" s="82"/>
      <c r="GG33" s="82"/>
      <c r="GH33" s="82"/>
      <c r="GI33" s="82"/>
      <c r="GJ33" s="82"/>
      <c r="GK33" s="82"/>
      <c r="GL33" s="82"/>
      <c r="GM33" s="82"/>
      <c r="GN33" s="82"/>
      <c r="GO33" s="82"/>
      <c r="GP33" s="82"/>
      <c r="GQ33" s="82"/>
      <c r="GR33" s="82"/>
      <c r="GS33" s="82"/>
      <c r="GT33" s="82"/>
      <c r="GU33" s="82"/>
      <c r="GV33" s="82"/>
      <c r="GW33" s="82"/>
      <c r="GX33" s="82"/>
      <c r="GY33" s="82"/>
      <c r="GZ33" s="82"/>
      <c r="HA33" s="82"/>
      <c r="HB33" s="82"/>
      <c r="HC33" s="82"/>
      <c r="HD33" s="82"/>
      <c r="HE33" s="82"/>
      <c r="HF33" s="82"/>
      <c r="HG33" s="82"/>
      <c r="HH33" s="82"/>
      <c r="HI33" s="82"/>
    </row>
    <row r="34" spans="1:217" s="83" customFormat="1" ht="17.649999999999999" thickBot="1" x14ac:dyDescent="0.5">
      <c r="A34" s="59">
        <v>17</v>
      </c>
      <c r="B34" s="60">
        <v>20</v>
      </c>
      <c r="C34" s="61">
        <v>0.5</v>
      </c>
      <c r="D34" s="62">
        <v>5</v>
      </c>
      <c r="E34" s="63">
        <v>5</v>
      </c>
      <c r="F34" s="64"/>
      <c r="G34" s="65"/>
      <c r="H34" s="65"/>
      <c r="I34" s="66" t="b">
        <f>IF(Tableau45[[#This Row],[ANFO]]&lt;&gt;0,Tableau45[[#This Row],[Ht]]-INDEX(T_BdD[hauteur en m],MATCH(Tableau45[[#This Row],[ANFO]],T_BdD[Kilos],0)))</f>
        <v>0</v>
      </c>
      <c r="J34" s="67">
        <v>2</v>
      </c>
      <c r="K34" s="68">
        <f t="shared" si="0"/>
        <v>0</v>
      </c>
      <c r="L34" s="69">
        <f t="shared" si="1"/>
        <v>0</v>
      </c>
      <c r="M34" s="70">
        <f>Tableau45[[#This Row],[hauteur]]-Tableau45[[#This Row],[bourrage]]</f>
        <v>-2</v>
      </c>
      <c r="N34" s="60"/>
      <c r="O34" s="60"/>
      <c r="P34" s="71"/>
      <c r="Q34" s="72"/>
      <c r="R34" s="60"/>
      <c r="S34" s="71"/>
      <c r="T34" s="72"/>
      <c r="U34" s="73"/>
      <c r="V34" s="71"/>
      <c r="W34" s="72"/>
      <c r="X34" s="60"/>
      <c r="Y34" s="71"/>
      <c r="Z34" s="72"/>
      <c r="AA34" s="60"/>
      <c r="AB34" s="71"/>
      <c r="AC34" s="72"/>
      <c r="AD34" s="60"/>
      <c r="AE34" s="84">
        <f t="shared" si="6"/>
        <v>0</v>
      </c>
      <c r="AF34" s="85">
        <f t="shared" si="2"/>
        <v>0</v>
      </c>
      <c r="AG34" s="76">
        <f t="shared" si="3"/>
        <v>0</v>
      </c>
      <c r="AH34" s="77">
        <f t="shared" si="4"/>
        <v>0</v>
      </c>
      <c r="AI34" s="29">
        <f t="shared" si="5"/>
        <v>0</v>
      </c>
      <c r="AJ34" s="82"/>
      <c r="AK34" s="101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F34" s="82"/>
      <c r="CG34" s="82"/>
      <c r="CH34" s="82"/>
      <c r="CI34" s="82"/>
      <c r="CJ34" s="82"/>
      <c r="CK34" s="82"/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2"/>
      <c r="DG34" s="82"/>
      <c r="DH34" s="82"/>
      <c r="DI34" s="82"/>
      <c r="DJ34" s="82"/>
      <c r="DK34" s="82"/>
      <c r="DL34" s="82"/>
      <c r="DM34" s="82"/>
      <c r="DN34" s="82"/>
      <c r="DO34" s="82"/>
      <c r="DP34" s="82"/>
      <c r="DQ34" s="82"/>
      <c r="DR34" s="82"/>
      <c r="DS34" s="82"/>
      <c r="DT34" s="82"/>
      <c r="DU34" s="82"/>
      <c r="DV34" s="82"/>
      <c r="DW34" s="82"/>
      <c r="DX34" s="82"/>
      <c r="DY34" s="82"/>
      <c r="DZ34" s="82"/>
      <c r="EA34" s="82"/>
      <c r="EB34" s="82"/>
      <c r="EC34" s="82"/>
      <c r="ED34" s="82"/>
      <c r="EE34" s="82"/>
      <c r="EF34" s="82"/>
      <c r="EG34" s="82"/>
      <c r="EH34" s="82"/>
      <c r="EI34" s="82"/>
      <c r="EJ34" s="82"/>
      <c r="EK34" s="82"/>
      <c r="EL34" s="82"/>
      <c r="EM34" s="82"/>
      <c r="EN34" s="82"/>
      <c r="EO34" s="82"/>
      <c r="EP34" s="82"/>
      <c r="EQ34" s="82"/>
      <c r="ER34" s="82"/>
      <c r="ES34" s="82"/>
      <c r="ET34" s="82"/>
      <c r="EU34" s="82"/>
      <c r="EV34" s="82"/>
      <c r="EW34" s="82"/>
      <c r="EX34" s="82"/>
      <c r="EY34" s="82"/>
      <c r="EZ34" s="82"/>
      <c r="FA34" s="82"/>
      <c r="FB34" s="82"/>
      <c r="FC34" s="82"/>
      <c r="FD34" s="82"/>
      <c r="FE34" s="82"/>
      <c r="FF34" s="82"/>
      <c r="FG34" s="82"/>
      <c r="FH34" s="82"/>
      <c r="FI34" s="82"/>
      <c r="FJ34" s="82"/>
      <c r="FK34" s="82"/>
      <c r="FL34" s="82"/>
      <c r="FM34" s="82"/>
      <c r="FN34" s="82"/>
      <c r="FO34" s="82"/>
      <c r="FP34" s="82"/>
      <c r="FQ34" s="82"/>
      <c r="FR34" s="82"/>
      <c r="FS34" s="82"/>
      <c r="FT34" s="82"/>
      <c r="FU34" s="82"/>
      <c r="FV34" s="82"/>
      <c r="FW34" s="82"/>
      <c r="FX34" s="82"/>
      <c r="FY34" s="82"/>
      <c r="FZ34" s="82"/>
      <c r="GA34" s="82"/>
      <c r="GB34" s="82"/>
      <c r="GC34" s="82"/>
      <c r="GD34" s="82"/>
      <c r="GE34" s="82"/>
      <c r="GF34" s="82"/>
      <c r="GG34" s="82"/>
      <c r="GH34" s="82"/>
      <c r="GI34" s="82"/>
      <c r="GJ34" s="82"/>
      <c r="GK34" s="82"/>
      <c r="GL34" s="82"/>
      <c r="GM34" s="82"/>
      <c r="GN34" s="82"/>
      <c r="GO34" s="82"/>
      <c r="GP34" s="82"/>
      <c r="GQ34" s="82"/>
      <c r="GR34" s="82"/>
      <c r="GS34" s="82"/>
      <c r="GT34" s="82"/>
      <c r="GU34" s="82"/>
      <c r="GV34" s="82"/>
      <c r="GW34" s="82"/>
      <c r="GX34" s="82"/>
      <c r="GY34" s="82"/>
      <c r="GZ34" s="82"/>
      <c r="HA34" s="82"/>
      <c r="HB34" s="82"/>
      <c r="HC34" s="82"/>
      <c r="HD34" s="82"/>
      <c r="HE34" s="82"/>
      <c r="HF34" s="82"/>
      <c r="HG34" s="82"/>
      <c r="HH34" s="82"/>
      <c r="HI34" s="82"/>
    </row>
    <row r="35" spans="1:217" s="83" customFormat="1" ht="17.649999999999999" thickBot="1" x14ac:dyDescent="0.5">
      <c r="A35" s="59">
        <v>18</v>
      </c>
      <c r="B35" s="60">
        <v>20</v>
      </c>
      <c r="C35" s="61">
        <v>0.5</v>
      </c>
      <c r="D35" s="62">
        <v>5</v>
      </c>
      <c r="E35" s="63">
        <v>5</v>
      </c>
      <c r="F35" s="64"/>
      <c r="G35" s="65"/>
      <c r="H35" s="65"/>
      <c r="I35" s="66" t="b">
        <f>IF(Tableau45[[#This Row],[ANFO]]&lt;&gt;0,Tableau45[[#This Row],[Ht]]-INDEX(T_BdD[hauteur en m],MATCH(Tableau45[[#This Row],[ANFO]],T_BdD[Kilos],0)))</f>
        <v>0</v>
      </c>
      <c r="J35" s="67">
        <v>2</v>
      </c>
      <c r="K35" s="68">
        <f t="shared" si="0"/>
        <v>0</v>
      </c>
      <c r="L35" s="69">
        <f t="shared" si="1"/>
        <v>0</v>
      </c>
      <c r="M35" s="70">
        <f>Tableau45[[#This Row],[hauteur]]-Tableau45[[#This Row],[bourrage]]</f>
        <v>-2</v>
      </c>
      <c r="N35" s="60"/>
      <c r="O35" s="60"/>
      <c r="P35" s="71"/>
      <c r="Q35" s="72"/>
      <c r="R35" s="60"/>
      <c r="S35" s="71"/>
      <c r="T35" s="72"/>
      <c r="U35" s="73"/>
      <c r="V35" s="71"/>
      <c r="W35" s="72"/>
      <c r="X35" s="60"/>
      <c r="Y35" s="71"/>
      <c r="Z35" s="72"/>
      <c r="AA35" s="60"/>
      <c r="AB35" s="71"/>
      <c r="AC35" s="72"/>
      <c r="AD35" s="60"/>
      <c r="AE35" s="84">
        <f t="shared" si="6"/>
        <v>0</v>
      </c>
      <c r="AF35" s="85">
        <f t="shared" si="2"/>
        <v>0</v>
      </c>
      <c r="AG35" s="76">
        <f t="shared" si="3"/>
        <v>0</v>
      </c>
      <c r="AH35" s="77">
        <f t="shared" si="4"/>
        <v>0</v>
      </c>
      <c r="AI35" s="29">
        <f t="shared" si="5"/>
        <v>0</v>
      </c>
      <c r="AJ35" s="82"/>
      <c r="AK35" s="101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V35" s="82"/>
      <c r="AW35" s="82"/>
      <c r="AX35" s="82"/>
      <c r="AY35" s="82"/>
      <c r="AZ35" s="82"/>
      <c r="BA35" s="82"/>
      <c r="BB35" s="82"/>
      <c r="BC35" s="82"/>
      <c r="BD35" s="82"/>
      <c r="BE35" s="82"/>
      <c r="BF35" s="82"/>
      <c r="BG35" s="82"/>
      <c r="BH35" s="82"/>
      <c r="BI35" s="82"/>
      <c r="BJ35" s="82"/>
      <c r="BK35" s="82"/>
      <c r="BL35" s="82"/>
      <c r="BM35" s="82"/>
      <c r="BN35" s="82"/>
      <c r="BO35" s="82"/>
      <c r="BP35" s="82"/>
      <c r="BQ35" s="82"/>
      <c r="BR35" s="82"/>
      <c r="BS35" s="82"/>
      <c r="BT35" s="82"/>
      <c r="BU35" s="82"/>
      <c r="BV35" s="82"/>
      <c r="BW35" s="82"/>
      <c r="BX35" s="82"/>
      <c r="BY35" s="82"/>
      <c r="BZ35" s="82"/>
      <c r="CA35" s="82"/>
      <c r="CB35" s="82"/>
      <c r="CC35" s="82"/>
      <c r="CD35" s="82"/>
      <c r="CE35" s="82"/>
      <c r="CF35" s="82"/>
      <c r="CG35" s="82"/>
      <c r="CH35" s="82"/>
      <c r="CI35" s="82"/>
      <c r="CJ35" s="82"/>
      <c r="CK35" s="82"/>
      <c r="CL35" s="82"/>
      <c r="CM35" s="82"/>
      <c r="CN35" s="82"/>
      <c r="CO35" s="82"/>
      <c r="CP35" s="82"/>
      <c r="CQ35" s="82"/>
      <c r="CR35" s="82"/>
      <c r="CS35" s="82"/>
      <c r="CT35" s="82"/>
      <c r="CU35" s="82"/>
      <c r="CV35" s="82"/>
      <c r="CW35" s="82"/>
      <c r="CX35" s="82"/>
      <c r="CY35" s="82"/>
      <c r="CZ35" s="82"/>
      <c r="DA35" s="82"/>
      <c r="DB35" s="82"/>
      <c r="DC35" s="82"/>
      <c r="DD35" s="82"/>
      <c r="DE35" s="82"/>
      <c r="DF35" s="82"/>
      <c r="DG35" s="82"/>
      <c r="DH35" s="82"/>
      <c r="DI35" s="82"/>
      <c r="DJ35" s="82"/>
      <c r="DK35" s="82"/>
      <c r="DL35" s="82"/>
      <c r="DM35" s="82"/>
      <c r="DN35" s="82"/>
      <c r="DO35" s="82"/>
      <c r="DP35" s="82"/>
      <c r="DQ35" s="82"/>
      <c r="DR35" s="82"/>
      <c r="DS35" s="82"/>
      <c r="DT35" s="82"/>
      <c r="DU35" s="82"/>
      <c r="DV35" s="82"/>
      <c r="DW35" s="82"/>
      <c r="DX35" s="82"/>
      <c r="DY35" s="82"/>
      <c r="DZ35" s="82"/>
      <c r="EA35" s="82"/>
      <c r="EB35" s="82"/>
      <c r="EC35" s="82"/>
      <c r="ED35" s="82"/>
      <c r="EE35" s="82"/>
      <c r="EF35" s="82"/>
      <c r="EG35" s="82"/>
      <c r="EH35" s="82"/>
      <c r="EI35" s="82"/>
      <c r="EJ35" s="82"/>
      <c r="EK35" s="82"/>
      <c r="EL35" s="82"/>
      <c r="EM35" s="82"/>
      <c r="EN35" s="82"/>
      <c r="EO35" s="82"/>
      <c r="EP35" s="82"/>
      <c r="EQ35" s="82"/>
      <c r="ER35" s="82"/>
      <c r="ES35" s="82"/>
      <c r="ET35" s="82"/>
      <c r="EU35" s="82"/>
      <c r="EV35" s="82"/>
      <c r="EW35" s="82"/>
      <c r="EX35" s="82"/>
      <c r="EY35" s="82"/>
      <c r="EZ35" s="82"/>
      <c r="FA35" s="82"/>
      <c r="FB35" s="82"/>
      <c r="FC35" s="82"/>
      <c r="FD35" s="82"/>
      <c r="FE35" s="82"/>
      <c r="FF35" s="82"/>
      <c r="FG35" s="82"/>
      <c r="FH35" s="82"/>
      <c r="FI35" s="82"/>
      <c r="FJ35" s="82"/>
      <c r="FK35" s="82"/>
      <c r="FL35" s="82"/>
      <c r="FM35" s="82"/>
      <c r="FN35" s="82"/>
      <c r="FO35" s="82"/>
      <c r="FP35" s="82"/>
      <c r="FQ35" s="82"/>
      <c r="FR35" s="82"/>
      <c r="FS35" s="82"/>
      <c r="FT35" s="82"/>
      <c r="FU35" s="82"/>
      <c r="FV35" s="82"/>
      <c r="FW35" s="82"/>
      <c r="FX35" s="82"/>
      <c r="FY35" s="82"/>
      <c r="FZ35" s="82"/>
      <c r="GA35" s="82"/>
      <c r="GB35" s="82"/>
      <c r="GC35" s="82"/>
      <c r="GD35" s="82"/>
      <c r="GE35" s="82"/>
      <c r="GF35" s="82"/>
      <c r="GG35" s="82"/>
      <c r="GH35" s="82"/>
      <c r="GI35" s="82"/>
      <c r="GJ35" s="82"/>
      <c r="GK35" s="82"/>
      <c r="GL35" s="82"/>
      <c r="GM35" s="82"/>
      <c r="GN35" s="82"/>
      <c r="GO35" s="82"/>
      <c r="GP35" s="82"/>
      <c r="GQ35" s="82"/>
      <c r="GR35" s="82"/>
      <c r="GS35" s="82"/>
      <c r="GT35" s="82"/>
      <c r="GU35" s="82"/>
      <c r="GV35" s="82"/>
      <c r="GW35" s="82"/>
      <c r="GX35" s="82"/>
      <c r="GY35" s="82"/>
      <c r="GZ35" s="82"/>
      <c r="HA35" s="82"/>
      <c r="HB35" s="82"/>
      <c r="HC35" s="82"/>
      <c r="HD35" s="82"/>
      <c r="HE35" s="82"/>
      <c r="HF35" s="82"/>
      <c r="HG35" s="82"/>
      <c r="HH35" s="82"/>
      <c r="HI35" s="82"/>
    </row>
    <row r="36" spans="1:217" s="83" customFormat="1" ht="17.649999999999999" thickBot="1" x14ac:dyDescent="0.5">
      <c r="A36" s="59">
        <v>19</v>
      </c>
      <c r="B36" s="60">
        <v>20</v>
      </c>
      <c r="C36" s="61">
        <v>0.5</v>
      </c>
      <c r="D36" s="62">
        <v>5</v>
      </c>
      <c r="E36" s="63">
        <v>5</v>
      </c>
      <c r="F36" s="64"/>
      <c r="G36" s="65"/>
      <c r="H36" s="65"/>
      <c r="I36" s="66" t="b">
        <f>IF(Tableau45[[#This Row],[ANFO]]&lt;&gt;0,Tableau45[[#This Row],[Ht]]-INDEX(T_BdD[hauteur en m],MATCH(Tableau45[[#This Row],[ANFO]],T_BdD[Kilos],0)))</f>
        <v>0</v>
      </c>
      <c r="J36" s="67">
        <v>2</v>
      </c>
      <c r="K36" s="68">
        <f t="shared" si="0"/>
        <v>0</v>
      </c>
      <c r="L36" s="69">
        <f t="shared" si="1"/>
        <v>0</v>
      </c>
      <c r="M36" s="70">
        <f>Tableau45[[#This Row],[hauteur]]-Tableau45[[#This Row],[bourrage]]</f>
        <v>-2</v>
      </c>
      <c r="N36" s="60"/>
      <c r="O36" s="60"/>
      <c r="P36" s="71"/>
      <c r="Q36" s="72"/>
      <c r="R36" s="60"/>
      <c r="S36" s="71"/>
      <c r="T36" s="72"/>
      <c r="U36" s="73"/>
      <c r="V36" s="71"/>
      <c r="W36" s="72"/>
      <c r="X36" s="60"/>
      <c r="Y36" s="71"/>
      <c r="Z36" s="72"/>
      <c r="AA36" s="60"/>
      <c r="AB36" s="71"/>
      <c r="AC36" s="72"/>
      <c r="AD36" s="60"/>
      <c r="AE36" s="84">
        <f t="shared" si="6"/>
        <v>0</v>
      </c>
      <c r="AF36" s="85">
        <f t="shared" si="2"/>
        <v>0</v>
      </c>
      <c r="AG36" s="76">
        <f t="shared" si="3"/>
        <v>0</v>
      </c>
      <c r="AH36" s="77">
        <f t="shared" si="4"/>
        <v>0</v>
      </c>
      <c r="AI36" s="29">
        <f t="shared" si="5"/>
        <v>0</v>
      </c>
      <c r="AJ36" s="99" t="s">
        <v>81</v>
      </c>
      <c r="AK36" s="100"/>
      <c r="AL36" s="82"/>
      <c r="AM36" s="81">
        <f>AK36*2.6</f>
        <v>0</v>
      </c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2"/>
      <c r="BC36" s="82"/>
      <c r="BD36" s="82"/>
      <c r="BE36" s="82"/>
      <c r="BF36" s="82"/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2"/>
      <c r="BY36" s="82"/>
      <c r="BZ36" s="82"/>
      <c r="CA36" s="82"/>
      <c r="CB36" s="82"/>
      <c r="CC36" s="82"/>
      <c r="CD36" s="82"/>
      <c r="CE36" s="82"/>
      <c r="CF36" s="82"/>
      <c r="CG36" s="82"/>
      <c r="CH36" s="82"/>
      <c r="CI36" s="82"/>
      <c r="CJ36" s="82"/>
      <c r="CK36" s="82"/>
      <c r="CL36" s="82"/>
      <c r="CM36" s="82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2"/>
      <c r="DG36" s="82"/>
      <c r="DH36" s="82"/>
      <c r="DI36" s="82"/>
      <c r="DJ36" s="82"/>
      <c r="DK36" s="82"/>
      <c r="DL36" s="82"/>
      <c r="DM36" s="82"/>
      <c r="DN36" s="82"/>
      <c r="DO36" s="82"/>
      <c r="DP36" s="82"/>
      <c r="DQ36" s="82"/>
      <c r="DR36" s="82"/>
      <c r="DS36" s="82"/>
      <c r="DT36" s="82"/>
      <c r="DU36" s="82"/>
      <c r="DV36" s="82"/>
      <c r="DW36" s="82"/>
      <c r="DX36" s="82"/>
      <c r="DY36" s="82"/>
      <c r="DZ36" s="82"/>
      <c r="EA36" s="82"/>
      <c r="EB36" s="82"/>
      <c r="EC36" s="82"/>
      <c r="ED36" s="82"/>
      <c r="EE36" s="82"/>
      <c r="EF36" s="82"/>
      <c r="EG36" s="82"/>
      <c r="EH36" s="82"/>
      <c r="EI36" s="82"/>
      <c r="EJ36" s="82"/>
      <c r="EK36" s="82"/>
      <c r="EL36" s="82"/>
      <c r="EM36" s="82"/>
      <c r="EN36" s="82"/>
      <c r="EO36" s="82"/>
      <c r="EP36" s="82"/>
      <c r="EQ36" s="82"/>
      <c r="ER36" s="82"/>
      <c r="ES36" s="82"/>
      <c r="ET36" s="82"/>
      <c r="EU36" s="82"/>
      <c r="EV36" s="82"/>
      <c r="EW36" s="82"/>
      <c r="EX36" s="82"/>
      <c r="EY36" s="82"/>
      <c r="EZ36" s="82"/>
      <c r="FA36" s="82"/>
      <c r="FB36" s="82"/>
      <c r="FC36" s="82"/>
      <c r="FD36" s="82"/>
      <c r="FE36" s="82"/>
      <c r="FF36" s="82"/>
      <c r="FG36" s="82"/>
      <c r="FH36" s="82"/>
      <c r="FI36" s="82"/>
      <c r="FJ36" s="82"/>
      <c r="FK36" s="82"/>
      <c r="FL36" s="82"/>
      <c r="FM36" s="82"/>
      <c r="FN36" s="82"/>
      <c r="FO36" s="82"/>
      <c r="FP36" s="82"/>
      <c r="FQ36" s="82"/>
      <c r="FR36" s="82"/>
      <c r="FS36" s="82"/>
      <c r="FT36" s="82"/>
      <c r="FU36" s="82"/>
      <c r="FV36" s="82"/>
      <c r="FW36" s="82"/>
      <c r="FX36" s="82"/>
      <c r="FY36" s="82"/>
      <c r="FZ36" s="82"/>
      <c r="GA36" s="82"/>
      <c r="GB36" s="82"/>
      <c r="GC36" s="82"/>
      <c r="GD36" s="82"/>
      <c r="GE36" s="82"/>
      <c r="GF36" s="82"/>
      <c r="GG36" s="82"/>
      <c r="GH36" s="82"/>
      <c r="GI36" s="82"/>
      <c r="GJ36" s="82"/>
      <c r="GK36" s="82"/>
      <c r="GL36" s="82"/>
      <c r="GM36" s="82"/>
      <c r="GN36" s="82"/>
      <c r="GO36" s="82"/>
      <c r="GP36" s="82"/>
      <c r="GQ36" s="82"/>
      <c r="GR36" s="82"/>
      <c r="GS36" s="82"/>
      <c r="GT36" s="82"/>
      <c r="GU36" s="82"/>
      <c r="GV36" s="82"/>
      <c r="GW36" s="82"/>
      <c r="GX36" s="82"/>
      <c r="GY36" s="82"/>
      <c r="GZ36" s="82"/>
      <c r="HA36" s="82"/>
      <c r="HB36" s="82"/>
      <c r="HC36" s="82"/>
      <c r="HD36" s="82"/>
      <c r="HE36" s="82"/>
      <c r="HF36" s="82"/>
      <c r="HG36" s="82"/>
      <c r="HH36" s="82"/>
      <c r="HI36" s="82"/>
    </row>
    <row r="37" spans="1:217" s="83" customFormat="1" ht="17.649999999999999" thickBot="1" x14ac:dyDescent="0.5">
      <c r="A37" s="59">
        <v>20</v>
      </c>
      <c r="B37" s="60">
        <v>20</v>
      </c>
      <c r="C37" s="61">
        <v>0.5</v>
      </c>
      <c r="D37" s="62">
        <v>5</v>
      </c>
      <c r="E37" s="63">
        <v>5</v>
      </c>
      <c r="F37" s="64"/>
      <c r="G37" s="65"/>
      <c r="H37" s="65"/>
      <c r="I37" s="66" t="b">
        <f>IF(Tableau45[[#This Row],[ANFO]]&lt;&gt;0,Tableau45[[#This Row],[Ht]]-INDEX(T_BdD[hauteur en m],MATCH(Tableau45[[#This Row],[ANFO]],T_BdD[Kilos],0)))</f>
        <v>0</v>
      </c>
      <c r="J37" s="67">
        <v>2</v>
      </c>
      <c r="K37" s="68">
        <f t="shared" si="0"/>
        <v>0</v>
      </c>
      <c r="L37" s="69">
        <f t="shared" si="1"/>
        <v>0</v>
      </c>
      <c r="M37" s="70">
        <f>Tableau45[[#This Row],[hauteur]]-Tableau45[[#This Row],[bourrage]]</f>
        <v>-2</v>
      </c>
      <c r="N37" s="60"/>
      <c r="O37" s="60"/>
      <c r="P37" s="71"/>
      <c r="Q37" s="72"/>
      <c r="R37" s="60"/>
      <c r="S37" s="71"/>
      <c r="T37" s="72"/>
      <c r="U37" s="73"/>
      <c r="V37" s="71"/>
      <c r="W37" s="72"/>
      <c r="X37" s="60"/>
      <c r="Y37" s="71"/>
      <c r="Z37" s="72"/>
      <c r="AA37" s="60"/>
      <c r="AB37" s="71"/>
      <c r="AC37" s="72"/>
      <c r="AD37" s="60"/>
      <c r="AE37" s="84">
        <f t="shared" si="6"/>
        <v>0</v>
      </c>
      <c r="AF37" s="85">
        <f t="shared" si="2"/>
        <v>0</v>
      </c>
      <c r="AG37" s="76">
        <f t="shared" si="3"/>
        <v>0</v>
      </c>
      <c r="AH37" s="77">
        <f t="shared" si="4"/>
        <v>0</v>
      </c>
      <c r="AI37" s="29">
        <f t="shared" si="5"/>
        <v>0</v>
      </c>
      <c r="AJ37" s="99" t="s">
        <v>82</v>
      </c>
      <c r="AK37" s="100"/>
      <c r="AL37" s="82"/>
      <c r="AM37" s="81">
        <f>AK37*3.45</f>
        <v>0</v>
      </c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  <c r="BM37" s="82"/>
      <c r="BN37" s="82"/>
      <c r="BO37" s="82"/>
      <c r="BP37" s="82"/>
      <c r="BQ37" s="82"/>
      <c r="BR37" s="82"/>
      <c r="BS37" s="82"/>
      <c r="BT37" s="82"/>
      <c r="BU37" s="82"/>
      <c r="BV37" s="82"/>
      <c r="BW37" s="82"/>
      <c r="BX37" s="82"/>
      <c r="BY37" s="82"/>
      <c r="BZ37" s="82"/>
      <c r="CA37" s="82"/>
      <c r="CB37" s="82"/>
      <c r="CC37" s="82"/>
      <c r="CD37" s="82"/>
      <c r="CE37" s="82"/>
      <c r="CF37" s="82"/>
      <c r="CG37" s="82"/>
      <c r="CH37" s="82"/>
      <c r="CI37" s="82"/>
      <c r="CJ37" s="82"/>
      <c r="CK37" s="82"/>
      <c r="CL37" s="82"/>
      <c r="CM37" s="82"/>
      <c r="CN37" s="82"/>
      <c r="CO37" s="82"/>
      <c r="CP37" s="82"/>
      <c r="CQ37" s="82"/>
      <c r="CR37" s="82"/>
      <c r="CS37" s="82"/>
      <c r="CT37" s="82"/>
      <c r="CU37" s="82"/>
      <c r="CV37" s="82"/>
      <c r="CW37" s="82"/>
      <c r="CX37" s="82"/>
      <c r="CY37" s="82"/>
      <c r="CZ37" s="82"/>
      <c r="DA37" s="82"/>
      <c r="DB37" s="82"/>
      <c r="DC37" s="82"/>
      <c r="DD37" s="82"/>
      <c r="DE37" s="82"/>
      <c r="DF37" s="82"/>
      <c r="DG37" s="82"/>
      <c r="DH37" s="82"/>
      <c r="DI37" s="82"/>
      <c r="DJ37" s="82"/>
      <c r="DK37" s="82"/>
      <c r="DL37" s="82"/>
      <c r="DM37" s="82"/>
      <c r="DN37" s="82"/>
      <c r="DO37" s="82"/>
      <c r="DP37" s="82"/>
      <c r="DQ37" s="82"/>
      <c r="DR37" s="82"/>
      <c r="DS37" s="82"/>
      <c r="DT37" s="82"/>
      <c r="DU37" s="82"/>
      <c r="DV37" s="82"/>
      <c r="DW37" s="82"/>
      <c r="DX37" s="82"/>
      <c r="DY37" s="82"/>
      <c r="DZ37" s="82"/>
      <c r="EA37" s="82"/>
      <c r="EB37" s="82"/>
      <c r="EC37" s="82"/>
      <c r="ED37" s="82"/>
      <c r="EE37" s="82"/>
      <c r="EF37" s="82"/>
      <c r="EG37" s="82"/>
      <c r="EH37" s="82"/>
      <c r="EI37" s="82"/>
      <c r="EJ37" s="82"/>
      <c r="EK37" s="82"/>
      <c r="EL37" s="82"/>
      <c r="EM37" s="82"/>
      <c r="EN37" s="82"/>
      <c r="EO37" s="82"/>
      <c r="EP37" s="82"/>
      <c r="EQ37" s="82"/>
      <c r="ER37" s="82"/>
      <c r="ES37" s="82"/>
      <c r="ET37" s="82"/>
      <c r="EU37" s="82"/>
      <c r="EV37" s="82"/>
      <c r="EW37" s="82"/>
      <c r="EX37" s="82"/>
      <c r="EY37" s="82"/>
      <c r="EZ37" s="82"/>
      <c r="FA37" s="82"/>
      <c r="FB37" s="82"/>
      <c r="FC37" s="82"/>
      <c r="FD37" s="82"/>
      <c r="FE37" s="82"/>
      <c r="FF37" s="82"/>
      <c r="FG37" s="82"/>
      <c r="FH37" s="82"/>
      <c r="FI37" s="82"/>
      <c r="FJ37" s="82"/>
      <c r="FK37" s="82"/>
      <c r="FL37" s="82"/>
      <c r="FM37" s="82"/>
      <c r="FN37" s="82"/>
      <c r="FO37" s="82"/>
      <c r="FP37" s="82"/>
      <c r="FQ37" s="82"/>
      <c r="FR37" s="82"/>
      <c r="FS37" s="82"/>
      <c r="FT37" s="82"/>
      <c r="FU37" s="82"/>
      <c r="FV37" s="82"/>
      <c r="FW37" s="82"/>
      <c r="FX37" s="82"/>
      <c r="FY37" s="82"/>
      <c r="FZ37" s="82"/>
      <c r="GA37" s="82"/>
      <c r="GB37" s="82"/>
      <c r="GC37" s="82"/>
      <c r="GD37" s="82"/>
      <c r="GE37" s="82"/>
      <c r="GF37" s="82"/>
      <c r="GG37" s="82"/>
      <c r="GH37" s="82"/>
      <c r="GI37" s="82"/>
      <c r="GJ37" s="82"/>
      <c r="GK37" s="82"/>
      <c r="GL37" s="82"/>
      <c r="GM37" s="82"/>
      <c r="GN37" s="82"/>
      <c r="GO37" s="82"/>
      <c r="GP37" s="82"/>
      <c r="GQ37" s="82"/>
      <c r="GR37" s="82"/>
      <c r="GS37" s="82"/>
      <c r="GT37" s="82"/>
      <c r="GU37" s="82"/>
      <c r="GV37" s="82"/>
      <c r="GW37" s="82"/>
      <c r="GX37" s="82"/>
      <c r="GY37" s="82"/>
      <c r="GZ37" s="82"/>
      <c r="HA37" s="82"/>
      <c r="HB37" s="82"/>
      <c r="HC37" s="82"/>
      <c r="HD37" s="82"/>
      <c r="HE37" s="82"/>
      <c r="HF37" s="82"/>
      <c r="HG37" s="82"/>
      <c r="HH37" s="82"/>
      <c r="HI37" s="82"/>
    </row>
    <row r="38" spans="1:217" s="83" customFormat="1" ht="17.649999999999999" thickBot="1" x14ac:dyDescent="0.5">
      <c r="A38" s="59">
        <v>21</v>
      </c>
      <c r="B38" s="60">
        <v>20</v>
      </c>
      <c r="C38" s="61">
        <v>0.5</v>
      </c>
      <c r="D38" s="62">
        <v>5</v>
      </c>
      <c r="E38" s="63">
        <v>5</v>
      </c>
      <c r="F38" s="64"/>
      <c r="G38" s="65"/>
      <c r="H38" s="65"/>
      <c r="I38" s="66" t="b">
        <f>IF(Tableau45[[#This Row],[ANFO]]&lt;&gt;0,Tableau45[[#This Row],[Ht]]-INDEX(T_BdD[hauteur en m],MATCH(Tableau45[[#This Row],[ANFO]],T_BdD[Kilos],0)))</f>
        <v>0</v>
      </c>
      <c r="J38" s="67">
        <v>2</v>
      </c>
      <c r="K38" s="68">
        <f t="shared" si="0"/>
        <v>0</v>
      </c>
      <c r="L38" s="69">
        <f t="shared" si="1"/>
        <v>0</v>
      </c>
      <c r="M38" s="70">
        <f>Tableau45[[#This Row],[hauteur]]-Tableau45[[#This Row],[bourrage]]</f>
        <v>-2</v>
      </c>
      <c r="N38" s="60"/>
      <c r="O38" s="60"/>
      <c r="P38" s="71"/>
      <c r="Q38" s="72"/>
      <c r="R38" s="60"/>
      <c r="S38" s="71"/>
      <c r="T38" s="72"/>
      <c r="U38" s="73"/>
      <c r="V38" s="71"/>
      <c r="W38" s="72"/>
      <c r="X38" s="60"/>
      <c r="Y38" s="71"/>
      <c r="Z38" s="72"/>
      <c r="AA38" s="60"/>
      <c r="AB38" s="71"/>
      <c r="AC38" s="72"/>
      <c r="AD38" s="60"/>
      <c r="AE38" s="84">
        <f t="shared" si="6"/>
        <v>0</v>
      </c>
      <c r="AF38" s="85">
        <f t="shared" si="2"/>
        <v>0</v>
      </c>
      <c r="AG38" s="76">
        <f t="shared" si="3"/>
        <v>0</v>
      </c>
      <c r="AH38" s="77">
        <f t="shared" si="4"/>
        <v>0</v>
      </c>
      <c r="AI38" s="29">
        <f t="shared" si="5"/>
        <v>0</v>
      </c>
      <c r="AJ38" s="99" t="s">
        <v>83</v>
      </c>
      <c r="AK38" s="100"/>
      <c r="AL38" s="82"/>
      <c r="AM38" s="81">
        <f>AK38*4.21</f>
        <v>0</v>
      </c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2"/>
      <c r="BY38" s="82"/>
      <c r="BZ38" s="82"/>
      <c r="CA38" s="82"/>
      <c r="CB38" s="82"/>
      <c r="CC38" s="82"/>
      <c r="CD38" s="82"/>
      <c r="CE38" s="82"/>
      <c r="CF38" s="82"/>
      <c r="CG38" s="82"/>
      <c r="CH38" s="82"/>
      <c r="CI38" s="82"/>
      <c r="CJ38" s="82"/>
      <c r="CK38" s="82"/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2"/>
      <c r="DG38" s="82"/>
      <c r="DH38" s="82"/>
      <c r="DI38" s="82"/>
      <c r="DJ38" s="82"/>
      <c r="DK38" s="82"/>
      <c r="DL38" s="82"/>
      <c r="DM38" s="82"/>
      <c r="DN38" s="82"/>
      <c r="DO38" s="82"/>
      <c r="DP38" s="82"/>
      <c r="DQ38" s="82"/>
      <c r="DR38" s="82"/>
      <c r="DS38" s="82"/>
      <c r="DT38" s="82"/>
      <c r="DU38" s="82"/>
      <c r="DV38" s="82"/>
      <c r="DW38" s="82"/>
      <c r="DX38" s="82"/>
      <c r="DY38" s="82"/>
      <c r="DZ38" s="82"/>
      <c r="EA38" s="82"/>
      <c r="EB38" s="82"/>
      <c r="EC38" s="82"/>
      <c r="ED38" s="82"/>
      <c r="EE38" s="82"/>
      <c r="EF38" s="82"/>
      <c r="EG38" s="82"/>
      <c r="EH38" s="82"/>
      <c r="EI38" s="82"/>
      <c r="EJ38" s="82"/>
      <c r="EK38" s="82"/>
      <c r="EL38" s="82"/>
      <c r="EM38" s="82"/>
      <c r="EN38" s="82"/>
      <c r="EO38" s="82"/>
      <c r="EP38" s="82"/>
      <c r="EQ38" s="82"/>
      <c r="ER38" s="82"/>
      <c r="ES38" s="82"/>
      <c r="ET38" s="82"/>
      <c r="EU38" s="82"/>
      <c r="EV38" s="82"/>
      <c r="EW38" s="82"/>
      <c r="EX38" s="82"/>
      <c r="EY38" s="82"/>
      <c r="EZ38" s="82"/>
      <c r="FA38" s="82"/>
      <c r="FB38" s="82"/>
      <c r="FC38" s="82"/>
      <c r="FD38" s="82"/>
      <c r="FE38" s="82"/>
      <c r="FF38" s="82"/>
      <c r="FG38" s="82"/>
      <c r="FH38" s="82"/>
      <c r="FI38" s="82"/>
      <c r="FJ38" s="82"/>
      <c r="FK38" s="82"/>
      <c r="FL38" s="82"/>
      <c r="FM38" s="82"/>
      <c r="FN38" s="82"/>
      <c r="FO38" s="82"/>
      <c r="FP38" s="82"/>
      <c r="FQ38" s="82"/>
      <c r="FR38" s="82"/>
      <c r="FS38" s="82"/>
      <c r="FT38" s="82"/>
      <c r="FU38" s="82"/>
      <c r="FV38" s="82"/>
      <c r="FW38" s="82"/>
      <c r="FX38" s="82"/>
      <c r="FY38" s="82"/>
      <c r="FZ38" s="82"/>
      <c r="GA38" s="82"/>
      <c r="GB38" s="82"/>
      <c r="GC38" s="82"/>
      <c r="GD38" s="82"/>
      <c r="GE38" s="82"/>
      <c r="GF38" s="82"/>
      <c r="GG38" s="82"/>
      <c r="GH38" s="82"/>
      <c r="GI38" s="82"/>
      <c r="GJ38" s="82"/>
      <c r="GK38" s="82"/>
      <c r="GL38" s="82"/>
      <c r="GM38" s="82"/>
      <c r="GN38" s="82"/>
      <c r="GO38" s="82"/>
      <c r="GP38" s="82"/>
      <c r="GQ38" s="82"/>
      <c r="GR38" s="82"/>
      <c r="GS38" s="82"/>
      <c r="GT38" s="82"/>
      <c r="GU38" s="82"/>
      <c r="GV38" s="82"/>
      <c r="GW38" s="82"/>
      <c r="GX38" s="82"/>
      <c r="GY38" s="82"/>
      <c r="GZ38" s="82"/>
      <c r="HA38" s="82"/>
      <c r="HB38" s="82"/>
      <c r="HC38" s="82"/>
      <c r="HD38" s="82"/>
      <c r="HE38" s="82"/>
      <c r="HF38" s="82"/>
      <c r="HG38" s="82"/>
      <c r="HH38" s="82"/>
      <c r="HI38" s="82"/>
    </row>
    <row r="39" spans="1:217" s="83" customFormat="1" ht="17.649999999999999" thickBot="1" x14ac:dyDescent="0.5">
      <c r="A39" s="59">
        <v>22</v>
      </c>
      <c r="B39" s="60">
        <v>20</v>
      </c>
      <c r="C39" s="61">
        <v>0.5</v>
      </c>
      <c r="D39" s="62">
        <v>5</v>
      </c>
      <c r="E39" s="63">
        <v>5</v>
      </c>
      <c r="F39" s="64"/>
      <c r="G39" s="65"/>
      <c r="H39" s="65"/>
      <c r="I39" s="66" t="b">
        <f>IF(Tableau45[[#This Row],[ANFO]]&lt;&gt;0,Tableau45[[#This Row],[Ht]]-INDEX(T_BdD[hauteur en m],MATCH(Tableau45[[#This Row],[ANFO]],T_BdD[Kilos],0)))</f>
        <v>0</v>
      </c>
      <c r="J39" s="67">
        <v>2</v>
      </c>
      <c r="K39" s="68">
        <f t="shared" si="0"/>
        <v>0</v>
      </c>
      <c r="L39" s="69">
        <f t="shared" si="1"/>
        <v>0</v>
      </c>
      <c r="M39" s="70">
        <f>Tableau45[[#This Row],[hauteur]]-Tableau45[[#This Row],[bourrage]]</f>
        <v>-2</v>
      </c>
      <c r="N39" s="60"/>
      <c r="O39" s="60"/>
      <c r="P39" s="71"/>
      <c r="Q39" s="72"/>
      <c r="R39" s="60"/>
      <c r="S39" s="71"/>
      <c r="T39" s="72"/>
      <c r="U39" s="73"/>
      <c r="V39" s="71"/>
      <c r="W39" s="72"/>
      <c r="X39" s="60"/>
      <c r="Y39" s="71"/>
      <c r="Z39" s="72"/>
      <c r="AA39" s="60"/>
      <c r="AB39" s="71"/>
      <c r="AC39" s="72"/>
      <c r="AD39" s="60"/>
      <c r="AE39" s="84">
        <f t="shared" si="6"/>
        <v>0</v>
      </c>
      <c r="AF39" s="85">
        <f t="shared" si="2"/>
        <v>0</v>
      </c>
      <c r="AG39" s="76">
        <f t="shared" si="3"/>
        <v>0</v>
      </c>
      <c r="AH39" s="77">
        <f t="shared" si="4"/>
        <v>0</v>
      </c>
      <c r="AI39" s="29">
        <f t="shared" si="5"/>
        <v>0</v>
      </c>
      <c r="AJ39" s="99" t="s">
        <v>84</v>
      </c>
      <c r="AK39" s="100"/>
      <c r="AL39" s="82"/>
      <c r="AM39" s="81">
        <f>AK39*6.65</f>
        <v>0</v>
      </c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82"/>
      <c r="BM39" s="82"/>
      <c r="BN39" s="82"/>
      <c r="BO39" s="82"/>
      <c r="BP39" s="82"/>
      <c r="BQ39" s="82"/>
      <c r="BR39" s="82"/>
      <c r="BS39" s="82"/>
      <c r="BT39" s="82"/>
      <c r="BU39" s="82"/>
      <c r="BV39" s="82"/>
      <c r="BW39" s="82"/>
      <c r="BX39" s="82"/>
      <c r="BY39" s="82"/>
      <c r="BZ39" s="82"/>
      <c r="CA39" s="82"/>
      <c r="CB39" s="82"/>
      <c r="CC39" s="82"/>
      <c r="CD39" s="82"/>
      <c r="CE39" s="82"/>
      <c r="CF39" s="82"/>
      <c r="CG39" s="82"/>
      <c r="CH39" s="82"/>
      <c r="CI39" s="82"/>
      <c r="CJ39" s="82"/>
      <c r="CK39" s="82"/>
      <c r="CL39" s="82"/>
      <c r="CM39" s="82"/>
      <c r="CN39" s="82"/>
      <c r="CO39" s="82"/>
      <c r="CP39" s="82"/>
      <c r="CQ39" s="82"/>
      <c r="CR39" s="82"/>
      <c r="CS39" s="82"/>
      <c r="CT39" s="82"/>
      <c r="CU39" s="82"/>
      <c r="CV39" s="82"/>
      <c r="CW39" s="82"/>
      <c r="CX39" s="82"/>
      <c r="CY39" s="82"/>
      <c r="CZ39" s="82"/>
      <c r="DA39" s="82"/>
      <c r="DB39" s="82"/>
      <c r="DC39" s="82"/>
      <c r="DD39" s="82"/>
      <c r="DE39" s="82"/>
      <c r="DF39" s="82"/>
      <c r="DG39" s="82"/>
      <c r="DH39" s="82"/>
      <c r="DI39" s="82"/>
      <c r="DJ39" s="82"/>
      <c r="DK39" s="82"/>
      <c r="DL39" s="82"/>
      <c r="DM39" s="82"/>
      <c r="DN39" s="82"/>
      <c r="DO39" s="82"/>
      <c r="DP39" s="82"/>
      <c r="DQ39" s="82"/>
      <c r="DR39" s="82"/>
      <c r="DS39" s="82"/>
      <c r="DT39" s="82"/>
      <c r="DU39" s="82"/>
      <c r="DV39" s="82"/>
      <c r="DW39" s="82"/>
      <c r="DX39" s="82"/>
      <c r="DY39" s="82"/>
      <c r="DZ39" s="82"/>
      <c r="EA39" s="82"/>
      <c r="EB39" s="82"/>
      <c r="EC39" s="82"/>
      <c r="ED39" s="82"/>
      <c r="EE39" s="82"/>
      <c r="EF39" s="82"/>
      <c r="EG39" s="82"/>
      <c r="EH39" s="82"/>
      <c r="EI39" s="82"/>
      <c r="EJ39" s="82"/>
      <c r="EK39" s="82"/>
      <c r="EL39" s="82"/>
      <c r="EM39" s="82"/>
      <c r="EN39" s="82"/>
      <c r="EO39" s="82"/>
      <c r="EP39" s="82"/>
      <c r="EQ39" s="82"/>
      <c r="ER39" s="82"/>
      <c r="ES39" s="82"/>
      <c r="ET39" s="82"/>
      <c r="EU39" s="82"/>
      <c r="EV39" s="82"/>
      <c r="EW39" s="82"/>
      <c r="EX39" s="82"/>
      <c r="EY39" s="82"/>
      <c r="EZ39" s="82"/>
      <c r="FA39" s="82"/>
      <c r="FB39" s="82"/>
      <c r="FC39" s="82"/>
      <c r="FD39" s="82"/>
      <c r="FE39" s="82"/>
      <c r="FF39" s="82"/>
      <c r="FG39" s="82"/>
      <c r="FH39" s="82"/>
      <c r="FI39" s="82"/>
      <c r="FJ39" s="82"/>
      <c r="FK39" s="82"/>
      <c r="FL39" s="82"/>
      <c r="FM39" s="82"/>
      <c r="FN39" s="82"/>
      <c r="FO39" s="82"/>
      <c r="FP39" s="82"/>
      <c r="FQ39" s="82"/>
      <c r="FR39" s="82"/>
      <c r="FS39" s="82"/>
      <c r="FT39" s="82"/>
      <c r="FU39" s="82"/>
      <c r="FV39" s="82"/>
      <c r="FW39" s="82"/>
      <c r="FX39" s="82"/>
      <c r="FY39" s="82"/>
      <c r="FZ39" s="82"/>
      <c r="GA39" s="82"/>
      <c r="GB39" s="82"/>
      <c r="GC39" s="82"/>
      <c r="GD39" s="82"/>
      <c r="GE39" s="82"/>
      <c r="GF39" s="82"/>
      <c r="GG39" s="82"/>
      <c r="GH39" s="82"/>
      <c r="GI39" s="82"/>
      <c r="GJ39" s="82"/>
      <c r="GK39" s="82"/>
      <c r="GL39" s="82"/>
      <c r="GM39" s="82"/>
      <c r="GN39" s="82"/>
      <c r="GO39" s="82"/>
      <c r="GP39" s="82"/>
      <c r="GQ39" s="82"/>
      <c r="GR39" s="82"/>
      <c r="GS39" s="82"/>
      <c r="GT39" s="82"/>
      <c r="GU39" s="82"/>
      <c r="GV39" s="82"/>
      <c r="GW39" s="82"/>
      <c r="GX39" s="82"/>
      <c r="GY39" s="82"/>
      <c r="GZ39" s="82"/>
      <c r="HA39" s="82"/>
      <c r="HB39" s="82"/>
      <c r="HC39" s="82"/>
      <c r="HD39" s="82"/>
      <c r="HE39" s="82"/>
      <c r="HF39" s="82"/>
      <c r="HG39" s="82"/>
      <c r="HH39" s="82"/>
      <c r="HI39" s="82"/>
    </row>
    <row r="40" spans="1:217" s="83" customFormat="1" ht="17.649999999999999" thickBot="1" x14ac:dyDescent="0.5">
      <c r="A40" s="59">
        <v>23</v>
      </c>
      <c r="B40" s="60">
        <v>20</v>
      </c>
      <c r="C40" s="61">
        <v>0.5</v>
      </c>
      <c r="D40" s="62">
        <v>5</v>
      </c>
      <c r="E40" s="63">
        <v>5</v>
      </c>
      <c r="F40" s="64"/>
      <c r="G40" s="65"/>
      <c r="H40" s="65"/>
      <c r="I40" s="66" t="b">
        <f>IF(Tableau45[[#This Row],[ANFO]]&lt;&gt;0,Tableau45[[#This Row],[Ht]]-INDEX(T_BdD[hauteur en m],MATCH(Tableau45[[#This Row],[ANFO]],T_BdD[Kilos],0)))</f>
        <v>0</v>
      </c>
      <c r="J40" s="67">
        <v>2</v>
      </c>
      <c r="K40" s="68">
        <f t="shared" si="0"/>
        <v>0</v>
      </c>
      <c r="L40" s="69">
        <f t="shared" si="1"/>
        <v>0</v>
      </c>
      <c r="M40" s="70">
        <f>Tableau45[[#This Row],[hauteur]]-Tableau45[[#This Row],[bourrage]]</f>
        <v>-2</v>
      </c>
      <c r="N40" s="60"/>
      <c r="O40" s="60"/>
      <c r="P40" s="71"/>
      <c r="Q40" s="72"/>
      <c r="R40" s="60"/>
      <c r="S40" s="71"/>
      <c r="T40" s="72"/>
      <c r="U40" s="73"/>
      <c r="V40" s="71"/>
      <c r="W40" s="72"/>
      <c r="X40" s="60"/>
      <c r="Y40" s="71"/>
      <c r="Z40" s="72"/>
      <c r="AA40" s="60"/>
      <c r="AB40" s="71"/>
      <c r="AC40" s="72"/>
      <c r="AD40" s="60"/>
      <c r="AE40" s="84">
        <f t="shared" si="6"/>
        <v>0</v>
      </c>
      <c r="AF40" s="85">
        <f t="shared" si="2"/>
        <v>0</v>
      </c>
      <c r="AG40" s="76">
        <f t="shared" si="3"/>
        <v>0</v>
      </c>
      <c r="AH40" s="77">
        <f t="shared" si="4"/>
        <v>0</v>
      </c>
      <c r="AI40" s="29">
        <f t="shared" si="5"/>
        <v>0</v>
      </c>
      <c r="AJ40" s="99" t="s">
        <v>85</v>
      </c>
      <c r="AK40" s="100"/>
      <c r="AL40" s="82"/>
      <c r="AM40" s="81">
        <f>AK40*9.2</f>
        <v>0</v>
      </c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2"/>
      <c r="BY40" s="82"/>
      <c r="BZ40" s="82"/>
      <c r="CA40" s="82"/>
      <c r="CB40" s="82"/>
      <c r="CC40" s="82"/>
      <c r="CD40" s="82"/>
      <c r="CE40" s="82"/>
      <c r="CF40" s="82"/>
      <c r="CG40" s="82"/>
      <c r="CH40" s="82"/>
      <c r="CI40" s="82"/>
      <c r="CJ40" s="82"/>
      <c r="CK40" s="82"/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2"/>
      <c r="DG40" s="82"/>
      <c r="DH40" s="82"/>
      <c r="DI40" s="82"/>
      <c r="DJ40" s="82"/>
      <c r="DK40" s="82"/>
      <c r="DL40" s="82"/>
      <c r="DM40" s="82"/>
      <c r="DN40" s="82"/>
      <c r="DO40" s="82"/>
      <c r="DP40" s="82"/>
      <c r="DQ40" s="82"/>
      <c r="DR40" s="82"/>
      <c r="DS40" s="82"/>
      <c r="DT40" s="82"/>
      <c r="DU40" s="82"/>
      <c r="DV40" s="82"/>
      <c r="DW40" s="82"/>
      <c r="DX40" s="82"/>
      <c r="DY40" s="82"/>
      <c r="DZ40" s="82"/>
      <c r="EA40" s="82"/>
      <c r="EB40" s="82"/>
      <c r="EC40" s="82"/>
      <c r="ED40" s="82"/>
      <c r="EE40" s="82"/>
      <c r="EF40" s="82"/>
      <c r="EG40" s="82"/>
      <c r="EH40" s="82"/>
      <c r="EI40" s="82"/>
      <c r="EJ40" s="82"/>
      <c r="EK40" s="82"/>
      <c r="EL40" s="82"/>
      <c r="EM40" s="82"/>
      <c r="EN40" s="82"/>
      <c r="EO40" s="82"/>
      <c r="EP40" s="82"/>
      <c r="EQ40" s="82"/>
      <c r="ER40" s="82"/>
      <c r="ES40" s="82"/>
      <c r="ET40" s="82"/>
      <c r="EU40" s="82"/>
      <c r="EV40" s="82"/>
      <c r="EW40" s="82"/>
      <c r="EX40" s="82"/>
      <c r="EY40" s="82"/>
      <c r="EZ40" s="82"/>
      <c r="FA40" s="82"/>
      <c r="FB40" s="82"/>
      <c r="FC40" s="82"/>
      <c r="FD40" s="82"/>
      <c r="FE40" s="82"/>
      <c r="FF40" s="82"/>
      <c r="FG40" s="82"/>
      <c r="FH40" s="82"/>
      <c r="FI40" s="82"/>
      <c r="FJ40" s="82"/>
      <c r="FK40" s="82"/>
      <c r="FL40" s="82"/>
      <c r="FM40" s="82"/>
      <c r="FN40" s="82"/>
      <c r="FO40" s="82"/>
      <c r="FP40" s="82"/>
      <c r="FQ40" s="82"/>
      <c r="FR40" s="82"/>
      <c r="FS40" s="82"/>
      <c r="FT40" s="82"/>
      <c r="FU40" s="82"/>
      <c r="FV40" s="82"/>
      <c r="FW40" s="82"/>
      <c r="FX40" s="82"/>
      <c r="FY40" s="82"/>
      <c r="FZ40" s="82"/>
      <c r="GA40" s="82"/>
      <c r="GB40" s="82"/>
      <c r="GC40" s="82"/>
      <c r="GD40" s="82"/>
      <c r="GE40" s="82"/>
      <c r="GF40" s="82"/>
      <c r="GG40" s="82"/>
      <c r="GH40" s="82"/>
      <c r="GI40" s="82"/>
      <c r="GJ40" s="82"/>
      <c r="GK40" s="82"/>
      <c r="GL40" s="82"/>
      <c r="GM40" s="82"/>
      <c r="GN40" s="82"/>
      <c r="GO40" s="82"/>
      <c r="GP40" s="82"/>
      <c r="GQ40" s="82"/>
      <c r="GR40" s="82"/>
      <c r="GS40" s="82"/>
      <c r="GT40" s="82"/>
      <c r="GU40" s="82"/>
      <c r="GV40" s="82"/>
      <c r="GW40" s="82"/>
      <c r="GX40" s="82"/>
      <c r="GY40" s="82"/>
      <c r="GZ40" s="82"/>
      <c r="HA40" s="82"/>
      <c r="HB40" s="82"/>
      <c r="HC40" s="82"/>
      <c r="HD40" s="82"/>
      <c r="HE40" s="82"/>
      <c r="HF40" s="82"/>
      <c r="HG40" s="82"/>
      <c r="HH40" s="82"/>
      <c r="HI40" s="82"/>
    </row>
    <row r="41" spans="1:217" s="83" customFormat="1" ht="17.649999999999999" thickBot="1" x14ac:dyDescent="0.5">
      <c r="A41" s="59">
        <v>24</v>
      </c>
      <c r="B41" s="60">
        <v>20</v>
      </c>
      <c r="C41" s="61">
        <v>0.5</v>
      </c>
      <c r="D41" s="62">
        <v>5</v>
      </c>
      <c r="E41" s="63">
        <v>5</v>
      </c>
      <c r="F41" s="64"/>
      <c r="G41" s="65"/>
      <c r="H41" s="65"/>
      <c r="I41" s="66" t="b">
        <f>IF(Tableau45[[#This Row],[ANFO]]&lt;&gt;0,Tableau45[[#This Row],[Ht]]-INDEX(T_BdD[hauteur en m],MATCH(Tableau45[[#This Row],[ANFO]],T_BdD[Kilos],0)))</f>
        <v>0</v>
      </c>
      <c r="J41" s="67">
        <v>2</v>
      </c>
      <c r="K41" s="68">
        <f t="shared" si="0"/>
        <v>0</v>
      </c>
      <c r="L41" s="69">
        <f t="shared" si="1"/>
        <v>0</v>
      </c>
      <c r="M41" s="70">
        <f>Tableau45[[#This Row],[hauteur]]-Tableau45[[#This Row],[bourrage]]</f>
        <v>-2</v>
      </c>
      <c r="N41" s="60"/>
      <c r="O41" s="60"/>
      <c r="P41" s="71"/>
      <c r="Q41" s="72"/>
      <c r="R41" s="60"/>
      <c r="S41" s="71"/>
      <c r="T41" s="72"/>
      <c r="U41" s="73"/>
      <c r="V41" s="71"/>
      <c r="W41" s="72"/>
      <c r="X41" s="60"/>
      <c r="Y41" s="71"/>
      <c r="Z41" s="72"/>
      <c r="AA41" s="60"/>
      <c r="AB41" s="71"/>
      <c r="AC41" s="72"/>
      <c r="AD41" s="60"/>
      <c r="AE41" s="84">
        <f t="shared" si="6"/>
        <v>0</v>
      </c>
      <c r="AF41" s="85">
        <f t="shared" si="2"/>
        <v>0</v>
      </c>
      <c r="AG41" s="76">
        <f t="shared" si="3"/>
        <v>0</v>
      </c>
      <c r="AH41" s="77">
        <f t="shared" si="4"/>
        <v>0</v>
      </c>
      <c r="AI41" s="29">
        <f t="shared" si="5"/>
        <v>0</v>
      </c>
      <c r="AJ41" s="78"/>
      <c r="AK41" s="102"/>
      <c r="AL41" s="82"/>
      <c r="AM41" s="81"/>
      <c r="AN41" s="82"/>
      <c r="AO41" s="82"/>
      <c r="AP41" s="82"/>
      <c r="AQ41" s="82"/>
      <c r="AR41" s="82"/>
      <c r="AS41" s="82"/>
      <c r="AT41" s="82"/>
      <c r="AU41" s="82"/>
      <c r="AV41" s="82"/>
      <c r="AW41" s="82"/>
      <c r="AX41" s="82"/>
      <c r="AY41" s="82"/>
      <c r="AZ41" s="82"/>
      <c r="BA41" s="82"/>
      <c r="BB41" s="82"/>
      <c r="BC41" s="82"/>
      <c r="BD41" s="82"/>
      <c r="BE41" s="82"/>
      <c r="BF41" s="82"/>
      <c r="BG41" s="82"/>
      <c r="BH41" s="82"/>
      <c r="BI41" s="82"/>
      <c r="BJ41" s="82"/>
      <c r="BK41" s="82"/>
      <c r="BL41" s="82"/>
      <c r="BM41" s="82"/>
      <c r="BN41" s="82"/>
      <c r="BO41" s="82"/>
      <c r="BP41" s="82"/>
      <c r="BQ41" s="82"/>
      <c r="BR41" s="82"/>
      <c r="BS41" s="82"/>
      <c r="BT41" s="82"/>
      <c r="BU41" s="82"/>
      <c r="BV41" s="82"/>
      <c r="BW41" s="82"/>
      <c r="BX41" s="82"/>
      <c r="BY41" s="82"/>
      <c r="BZ41" s="82"/>
      <c r="CA41" s="82"/>
      <c r="CB41" s="82"/>
      <c r="CC41" s="82"/>
      <c r="CD41" s="82"/>
      <c r="CE41" s="82"/>
      <c r="CF41" s="82"/>
      <c r="CG41" s="82"/>
      <c r="CH41" s="82"/>
      <c r="CI41" s="82"/>
      <c r="CJ41" s="82"/>
      <c r="CK41" s="82"/>
      <c r="CL41" s="82"/>
      <c r="CM41" s="82"/>
      <c r="CN41" s="82"/>
      <c r="CO41" s="82"/>
      <c r="CP41" s="82"/>
      <c r="CQ41" s="82"/>
      <c r="CR41" s="82"/>
      <c r="CS41" s="82"/>
      <c r="CT41" s="82"/>
      <c r="CU41" s="82"/>
      <c r="CV41" s="82"/>
      <c r="CW41" s="82"/>
      <c r="CX41" s="82"/>
      <c r="CY41" s="82"/>
      <c r="CZ41" s="82"/>
      <c r="DA41" s="82"/>
      <c r="DB41" s="82"/>
      <c r="DC41" s="82"/>
      <c r="DD41" s="82"/>
      <c r="DE41" s="82"/>
      <c r="DF41" s="82"/>
      <c r="DG41" s="82"/>
      <c r="DH41" s="82"/>
      <c r="DI41" s="82"/>
      <c r="DJ41" s="82"/>
      <c r="DK41" s="82"/>
      <c r="DL41" s="82"/>
      <c r="DM41" s="82"/>
      <c r="DN41" s="82"/>
      <c r="DO41" s="82"/>
      <c r="DP41" s="82"/>
      <c r="DQ41" s="82"/>
      <c r="DR41" s="82"/>
      <c r="DS41" s="82"/>
      <c r="DT41" s="82"/>
      <c r="DU41" s="82"/>
      <c r="DV41" s="82"/>
      <c r="DW41" s="82"/>
      <c r="DX41" s="82"/>
      <c r="DY41" s="82"/>
      <c r="DZ41" s="82"/>
      <c r="EA41" s="82"/>
      <c r="EB41" s="82"/>
      <c r="EC41" s="82"/>
      <c r="ED41" s="82"/>
      <c r="EE41" s="82"/>
      <c r="EF41" s="82"/>
      <c r="EG41" s="82"/>
      <c r="EH41" s="82"/>
      <c r="EI41" s="82"/>
      <c r="EJ41" s="82"/>
      <c r="EK41" s="82"/>
      <c r="EL41" s="82"/>
      <c r="EM41" s="82"/>
      <c r="EN41" s="82"/>
      <c r="EO41" s="82"/>
      <c r="EP41" s="82"/>
      <c r="EQ41" s="82"/>
      <c r="ER41" s="82"/>
      <c r="ES41" s="82"/>
      <c r="ET41" s="82"/>
      <c r="EU41" s="82"/>
      <c r="EV41" s="82"/>
      <c r="EW41" s="82"/>
      <c r="EX41" s="82"/>
      <c r="EY41" s="82"/>
      <c r="EZ41" s="82"/>
      <c r="FA41" s="82"/>
      <c r="FB41" s="82"/>
      <c r="FC41" s="82"/>
      <c r="FD41" s="82"/>
      <c r="FE41" s="82"/>
      <c r="FF41" s="82"/>
      <c r="FG41" s="82"/>
      <c r="FH41" s="82"/>
      <c r="FI41" s="82"/>
      <c r="FJ41" s="82"/>
      <c r="FK41" s="82"/>
      <c r="FL41" s="82"/>
      <c r="FM41" s="82"/>
      <c r="FN41" s="82"/>
      <c r="FO41" s="82"/>
      <c r="FP41" s="82"/>
      <c r="FQ41" s="82"/>
      <c r="FR41" s="82"/>
      <c r="FS41" s="82"/>
      <c r="FT41" s="82"/>
      <c r="FU41" s="82"/>
      <c r="FV41" s="82"/>
      <c r="FW41" s="82"/>
      <c r="FX41" s="82"/>
      <c r="FY41" s="82"/>
      <c r="FZ41" s="82"/>
      <c r="GA41" s="82"/>
      <c r="GB41" s="82"/>
      <c r="GC41" s="82"/>
      <c r="GD41" s="82"/>
      <c r="GE41" s="82"/>
      <c r="GF41" s="82"/>
      <c r="GG41" s="82"/>
      <c r="GH41" s="82"/>
      <c r="GI41" s="82"/>
      <c r="GJ41" s="82"/>
      <c r="GK41" s="82"/>
      <c r="GL41" s="82"/>
      <c r="GM41" s="82"/>
      <c r="GN41" s="82"/>
      <c r="GO41" s="82"/>
      <c r="GP41" s="82"/>
      <c r="GQ41" s="82"/>
      <c r="GR41" s="82"/>
      <c r="GS41" s="82"/>
      <c r="GT41" s="82"/>
      <c r="GU41" s="82"/>
      <c r="GV41" s="82"/>
      <c r="GW41" s="82"/>
      <c r="GX41" s="82"/>
      <c r="GY41" s="82"/>
      <c r="GZ41" s="82"/>
      <c r="HA41" s="82"/>
      <c r="HB41" s="82"/>
      <c r="HC41" s="82"/>
      <c r="HD41" s="82"/>
      <c r="HE41" s="82"/>
      <c r="HF41" s="82"/>
      <c r="HG41" s="82"/>
      <c r="HH41" s="82"/>
      <c r="HI41" s="82"/>
    </row>
    <row r="42" spans="1:217" s="83" customFormat="1" ht="18" thickBot="1" x14ac:dyDescent="0.5">
      <c r="A42" s="59">
        <v>25</v>
      </c>
      <c r="B42" s="60">
        <v>20</v>
      </c>
      <c r="C42" s="61">
        <v>0.5</v>
      </c>
      <c r="D42" s="62">
        <v>5</v>
      </c>
      <c r="E42" s="63">
        <v>5</v>
      </c>
      <c r="F42" s="64"/>
      <c r="G42" s="65"/>
      <c r="H42" s="65"/>
      <c r="I42" s="66" t="b">
        <f>IF(Tableau45[[#This Row],[ANFO]]&lt;&gt;0,Tableau45[[#This Row],[Ht]]-INDEX(T_BdD[hauteur en m],MATCH(Tableau45[[#This Row],[ANFO]],T_BdD[Kilos],0)))</f>
        <v>0</v>
      </c>
      <c r="J42" s="67">
        <v>2</v>
      </c>
      <c r="K42" s="68">
        <f t="shared" si="0"/>
        <v>0</v>
      </c>
      <c r="L42" s="69">
        <f t="shared" si="1"/>
        <v>0</v>
      </c>
      <c r="M42" s="70">
        <f>Tableau45[[#This Row],[hauteur]]-Tableau45[[#This Row],[bourrage]]</f>
        <v>-2</v>
      </c>
      <c r="N42" s="60"/>
      <c r="O42" s="60"/>
      <c r="P42" s="71"/>
      <c r="Q42" s="72"/>
      <c r="R42" s="60"/>
      <c r="S42" s="71"/>
      <c r="T42" s="72"/>
      <c r="U42" s="73"/>
      <c r="V42" s="71"/>
      <c r="W42" s="72"/>
      <c r="X42" s="60"/>
      <c r="Y42" s="71"/>
      <c r="Z42" s="72"/>
      <c r="AA42" s="60"/>
      <c r="AB42" s="71"/>
      <c r="AC42" s="72"/>
      <c r="AD42" s="60"/>
      <c r="AE42" s="84">
        <f t="shared" si="6"/>
        <v>0</v>
      </c>
      <c r="AF42" s="85">
        <f t="shared" si="2"/>
        <v>0</v>
      </c>
      <c r="AG42" s="76">
        <f t="shared" si="3"/>
        <v>0</v>
      </c>
      <c r="AH42" s="77">
        <f t="shared" si="4"/>
        <v>0</v>
      </c>
      <c r="AI42" s="29">
        <f t="shared" si="5"/>
        <v>0</v>
      </c>
      <c r="AJ42" s="231" t="s">
        <v>86</v>
      </c>
      <c r="AK42" s="233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2"/>
      <c r="BN42" s="82"/>
      <c r="BO42" s="82"/>
      <c r="BP42" s="82"/>
      <c r="BQ42" s="82"/>
      <c r="BR42" s="82"/>
      <c r="BS42" s="82"/>
      <c r="BT42" s="82"/>
      <c r="BU42" s="82"/>
      <c r="BV42" s="82"/>
      <c r="BW42" s="82"/>
      <c r="BX42" s="82"/>
      <c r="BY42" s="82"/>
      <c r="BZ42" s="82"/>
      <c r="CA42" s="82"/>
      <c r="CB42" s="82"/>
      <c r="CC42" s="82"/>
      <c r="CD42" s="82"/>
      <c r="CE42" s="82"/>
      <c r="CF42" s="82"/>
      <c r="CG42" s="82"/>
      <c r="CH42" s="82"/>
      <c r="CI42" s="82"/>
      <c r="CJ42" s="82"/>
      <c r="CK42" s="82"/>
      <c r="CL42" s="82"/>
      <c r="CM42" s="82"/>
      <c r="CN42" s="82"/>
      <c r="CO42" s="82"/>
      <c r="CP42" s="82"/>
      <c r="CQ42" s="82"/>
      <c r="CR42" s="82"/>
      <c r="CS42" s="82"/>
      <c r="CT42" s="82"/>
      <c r="CU42" s="82"/>
      <c r="CV42" s="82"/>
      <c r="CW42" s="82"/>
      <c r="CX42" s="82"/>
      <c r="CY42" s="82"/>
      <c r="CZ42" s="82"/>
      <c r="DA42" s="82"/>
      <c r="DB42" s="82"/>
      <c r="DC42" s="82"/>
      <c r="DD42" s="82"/>
      <c r="DE42" s="82"/>
      <c r="DF42" s="82"/>
      <c r="DG42" s="82"/>
      <c r="DH42" s="82"/>
      <c r="DI42" s="82"/>
      <c r="DJ42" s="82"/>
      <c r="DK42" s="82"/>
      <c r="DL42" s="82"/>
      <c r="DM42" s="82"/>
      <c r="DN42" s="82"/>
      <c r="DO42" s="82"/>
      <c r="DP42" s="82"/>
      <c r="DQ42" s="82"/>
      <c r="DR42" s="82"/>
      <c r="DS42" s="82"/>
      <c r="DT42" s="82"/>
      <c r="DU42" s="82"/>
      <c r="DV42" s="82"/>
      <c r="DW42" s="82"/>
      <c r="DX42" s="82"/>
      <c r="DY42" s="82"/>
      <c r="DZ42" s="82"/>
      <c r="EA42" s="82"/>
      <c r="EB42" s="82"/>
      <c r="EC42" s="82"/>
      <c r="ED42" s="82"/>
      <c r="EE42" s="82"/>
      <c r="EF42" s="82"/>
      <c r="EG42" s="82"/>
      <c r="EH42" s="82"/>
      <c r="EI42" s="82"/>
      <c r="EJ42" s="82"/>
      <c r="EK42" s="82"/>
      <c r="EL42" s="82"/>
      <c r="EM42" s="82"/>
      <c r="EN42" s="82"/>
      <c r="EO42" s="82"/>
      <c r="EP42" s="82"/>
      <c r="EQ42" s="82"/>
      <c r="ER42" s="82"/>
      <c r="ES42" s="82"/>
      <c r="ET42" s="82"/>
      <c r="EU42" s="82"/>
      <c r="EV42" s="82"/>
      <c r="EW42" s="82"/>
      <c r="EX42" s="82"/>
      <c r="EY42" s="82"/>
      <c r="EZ42" s="82"/>
      <c r="FA42" s="82"/>
      <c r="FB42" s="82"/>
      <c r="FC42" s="82"/>
      <c r="FD42" s="82"/>
      <c r="FE42" s="82"/>
      <c r="FF42" s="82"/>
      <c r="FG42" s="82"/>
      <c r="FH42" s="82"/>
      <c r="FI42" s="82"/>
      <c r="FJ42" s="82"/>
      <c r="FK42" s="82"/>
      <c r="FL42" s="82"/>
      <c r="FM42" s="82"/>
      <c r="FN42" s="82"/>
      <c r="FO42" s="82"/>
      <c r="FP42" s="82"/>
      <c r="FQ42" s="82"/>
      <c r="FR42" s="82"/>
      <c r="FS42" s="82"/>
      <c r="FT42" s="82"/>
      <c r="FU42" s="82"/>
      <c r="FV42" s="82"/>
      <c r="FW42" s="82"/>
      <c r="FX42" s="82"/>
      <c r="FY42" s="82"/>
      <c r="FZ42" s="82"/>
      <c r="GA42" s="82"/>
      <c r="GB42" s="82"/>
      <c r="GC42" s="82"/>
      <c r="GD42" s="82"/>
      <c r="GE42" s="82"/>
      <c r="GF42" s="82"/>
      <c r="GG42" s="82"/>
      <c r="GH42" s="82"/>
      <c r="GI42" s="82"/>
      <c r="GJ42" s="82"/>
      <c r="GK42" s="82"/>
      <c r="GL42" s="82"/>
      <c r="GM42" s="82"/>
      <c r="GN42" s="82"/>
      <c r="GO42" s="82"/>
      <c r="GP42" s="82"/>
      <c r="GQ42" s="82"/>
      <c r="GR42" s="82"/>
      <c r="GS42" s="82"/>
      <c r="GT42" s="82"/>
      <c r="GU42" s="82"/>
      <c r="GV42" s="82"/>
      <c r="GW42" s="82"/>
      <c r="GX42" s="82"/>
      <c r="GY42" s="82"/>
      <c r="GZ42" s="82"/>
      <c r="HA42" s="82"/>
      <c r="HB42" s="82"/>
      <c r="HC42" s="82"/>
      <c r="HD42" s="82"/>
      <c r="HE42" s="82"/>
      <c r="HF42" s="82"/>
      <c r="HG42" s="82"/>
      <c r="HH42" s="82"/>
      <c r="HI42" s="82"/>
    </row>
    <row r="43" spans="1:217" s="83" customFormat="1" ht="17.649999999999999" thickBot="1" x14ac:dyDescent="0.5">
      <c r="A43" s="59">
        <v>26</v>
      </c>
      <c r="B43" s="60">
        <v>20</v>
      </c>
      <c r="C43" s="61">
        <v>0.5</v>
      </c>
      <c r="D43" s="62">
        <v>5</v>
      </c>
      <c r="E43" s="63">
        <v>5</v>
      </c>
      <c r="F43" s="64"/>
      <c r="G43" s="65"/>
      <c r="H43" s="65"/>
      <c r="I43" s="66" t="b">
        <f>IF(Tableau45[[#This Row],[ANFO]]&lt;&gt;0,Tableau45[[#This Row],[Ht]]-INDEX(T_BdD[hauteur en m],MATCH(Tableau45[[#This Row],[ANFO]],T_BdD[Kilos],0)))</f>
        <v>0</v>
      </c>
      <c r="J43" s="67">
        <v>2</v>
      </c>
      <c r="K43" s="68">
        <f t="shared" si="0"/>
        <v>0</v>
      </c>
      <c r="L43" s="69">
        <f t="shared" si="1"/>
        <v>0</v>
      </c>
      <c r="M43" s="70">
        <f>Tableau45[[#This Row],[hauteur]]-Tableau45[[#This Row],[bourrage]]</f>
        <v>-2</v>
      </c>
      <c r="N43" s="60"/>
      <c r="O43" s="60"/>
      <c r="P43" s="71"/>
      <c r="Q43" s="72"/>
      <c r="R43" s="60"/>
      <c r="S43" s="71"/>
      <c r="T43" s="72"/>
      <c r="U43" s="73"/>
      <c r="V43" s="71"/>
      <c r="W43" s="72"/>
      <c r="X43" s="60"/>
      <c r="Y43" s="71"/>
      <c r="Z43" s="72"/>
      <c r="AA43" s="60"/>
      <c r="AB43" s="71"/>
      <c r="AC43" s="72"/>
      <c r="AD43" s="60"/>
      <c r="AE43" s="84">
        <f t="shared" si="6"/>
        <v>0</v>
      </c>
      <c r="AF43" s="85">
        <f t="shared" si="2"/>
        <v>0</v>
      </c>
      <c r="AG43" s="76">
        <f t="shared" si="3"/>
        <v>0</v>
      </c>
      <c r="AH43" s="77">
        <f t="shared" si="4"/>
        <v>0</v>
      </c>
      <c r="AI43" s="29">
        <f t="shared" si="5"/>
        <v>0</v>
      </c>
      <c r="AJ43" s="99" t="s">
        <v>87</v>
      </c>
      <c r="AK43" s="100"/>
      <c r="AL43" s="82"/>
      <c r="AM43" s="81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  <c r="BL43" s="82"/>
      <c r="BM43" s="82"/>
      <c r="BN43" s="82"/>
      <c r="BO43" s="82"/>
      <c r="BP43" s="82"/>
      <c r="BQ43" s="82"/>
      <c r="BR43" s="82"/>
      <c r="BS43" s="82"/>
      <c r="BT43" s="82"/>
      <c r="BU43" s="82"/>
      <c r="BV43" s="82"/>
      <c r="BW43" s="82"/>
      <c r="BX43" s="82"/>
      <c r="BY43" s="82"/>
      <c r="BZ43" s="82"/>
      <c r="CA43" s="82"/>
      <c r="CB43" s="82"/>
      <c r="CC43" s="82"/>
      <c r="CD43" s="82"/>
      <c r="CE43" s="82"/>
      <c r="CF43" s="82"/>
      <c r="CG43" s="82"/>
      <c r="CH43" s="82"/>
      <c r="CI43" s="82"/>
      <c r="CJ43" s="82"/>
      <c r="CK43" s="82"/>
      <c r="CL43" s="82"/>
      <c r="CM43" s="82"/>
      <c r="CN43" s="82"/>
      <c r="CO43" s="82"/>
      <c r="CP43" s="82"/>
      <c r="CQ43" s="82"/>
      <c r="CR43" s="82"/>
      <c r="CS43" s="82"/>
      <c r="CT43" s="82"/>
      <c r="CU43" s="82"/>
      <c r="CV43" s="82"/>
      <c r="CW43" s="82"/>
      <c r="CX43" s="82"/>
      <c r="CY43" s="82"/>
      <c r="CZ43" s="82"/>
      <c r="DA43" s="82"/>
      <c r="DB43" s="82"/>
      <c r="DC43" s="82"/>
      <c r="DD43" s="82"/>
      <c r="DE43" s="82"/>
      <c r="DF43" s="82"/>
      <c r="DG43" s="82"/>
      <c r="DH43" s="82"/>
      <c r="DI43" s="82"/>
      <c r="DJ43" s="82"/>
      <c r="DK43" s="82"/>
      <c r="DL43" s="82"/>
      <c r="DM43" s="82"/>
      <c r="DN43" s="82"/>
      <c r="DO43" s="82"/>
      <c r="DP43" s="82"/>
      <c r="DQ43" s="82"/>
      <c r="DR43" s="82"/>
      <c r="DS43" s="82"/>
      <c r="DT43" s="82"/>
      <c r="DU43" s="82"/>
      <c r="DV43" s="82"/>
      <c r="DW43" s="82"/>
      <c r="DX43" s="82"/>
      <c r="DY43" s="82"/>
      <c r="DZ43" s="82"/>
      <c r="EA43" s="82"/>
      <c r="EB43" s="82"/>
      <c r="EC43" s="82"/>
      <c r="ED43" s="82"/>
      <c r="EE43" s="82"/>
      <c r="EF43" s="82"/>
      <c r="EG43" s="82"/>
      <c r="EH43" s="82"/>
      <c r="EI43" s="82"/>
      <c r="EJ43" s="82"/>
      <c r="EK43" s="82"/>
      <c r="EL43" s="82"/>
      <c r="EM43" s="82"/>
      <c r="EN43" s="82"/>
      <c r="EO43" s="82"/>
      <c r="EP43" s="82"/>
      <c r="EQ43" s="82"/>
      <c r="ER43" s="82"/>
      <c r="ES43" s="82"/>
      <c r="ET43" s="82"/>
      <c r="EU43" s="82"/>
      <c r="EV43" s="82"/>
      <c r="EW43" s="82"/>
      <c r="EX43" s="82"/>
      <c r="EY43" s="82"/>
      <c r="EZ43" s="82"/>
      <c r="FA43" s="82"/>
      <c r="FB43" s="82"/>
      <c r="FC43" s="82"/>
      <c r="FD43" s="82"/>
      <c r="FE43" s="82"/>
      <c r="FF43" s="82"/>
      <c r="FG43" s="82"/>
      <c r="FH43" s="82"/>
      <c r="FI43" s="82"/>
      <c r="FJ43" s="82"/>
      <c r="FK43" s="82"/>
      <c r="FL43" s="82"/>
      <c r="FM43" s="82"/>
      <c r="FN43" s="82"/>
      <c r="FO43" s="82"/>
      <c r="FP43" s="82"/>
      <c r="FQ43" s="82"/>
      <c r="FR43" s="82"/>
      <c r="FS43" s="82"/>
      <c r="FT43" s="82"/>
      <c r="FU43" s="82"/>
      <c r="FV43" s="82"/>
      <c r="FW43" s="82"/>
      <c r="FX43" s="82"/>
      <c r="FY43" s="82"/>
      <c r="FZ43" s="82"/>
      <c r="GA43" s="82"/>
      <c r="GB43" s="82"/>
      <c r="GC43" s="82"/>
      <c r="GD43" s="82"/>
      <c r="GE43" s="82"/>
      <c r="GF43" s="82"/>
      <c r="GG43" s="82"/>
      <c r="GH43" s="82"/>
      <c r="GI43" s="82"/>
      <c r="GJ43" s="82"/>
      <c r="GK43" s="82"/>
      <c r="GL43" s="82"/>
      <c r="GM43" s="82"/>
      <c r="GN43" s="82"/>
      <c r="GO43" s="82"/>
      <c r="GP43" s="82"/>
      <c r="GQ43" s="82"/>
      <c r="GR43" s="82"/>
      <c r="GS43" s="82"/>
      <c r="GT43" s="82"/>
      <c r="GU43" s="82"/>
      <c r="GV43" s="82"/>
      <c r="GW43" s="82"/>
      <c r="GX43" s="82"/>
      <c r="GY43" s="82"/>
      <c r="GZ43" s="82"/>
      <c r="HA43" s="82"/>
      <c r="HB43" s="82"/>
      <c r="HC43" s="82"/>
      <c r="HD43" s="82"/>
      <c r="HE43" s="82"/>
      <c r="HF43" s="82"/>
      <c r="HG43" s="82"/>
      <c r="HH43" s="82"/>
      <c r="HI43" s="82"/>
    </row>
    <row r="44" spans="1:217" s="83" customFormat="1" ht="17.649999999999999" thickBot="1" x14ac:dyDescent="0.5">
      <c r="A44" s="59">
        <v>27</v>
      </c>
      <c r="B44" s="60">
        <v>20</v>
      </c>
      <c r="C44" s="61">
        <v>0.5</v>
      </c>
      <c r="D44" s="62">
        <v>5</v>
      </c>
      <c r="E44" s="63">
        <v>5</v>
      </c>
      <c r="F44" s="64"/>
      <c r="G44" s="65"/>
      <c r="H44" s="65"/>
      <c r="I44" s="66" t="b">
        <f>IF(Tableau45[[#This Row],[ANFO]]&lt;&gt;0,Tableau45[[#This Row],[Ht]]-INDEX(T_BdD[hauteur en m],MATCH(Tableau45[[#This Row],[ANFO]],T_BdD[Kilos],0)))</f>
        <v>0</v>
      </c>
      <c r="J44" s="67">
        <v>2</v>
      </c>
      <c r="K44" s="68">
        <f t="shared" si="0"/>
        <v>0</v>
      </c>
      <c r="L44" s="69">
        <f t="shared" si="1"/>
        <v>0</v>
      </c>
      <c r="M44" s="70">
        <f>Tableau45[[#This Row],[hauteur]]-Tableau45[[#This Row],[bourrage]]</f>
        <v>-2</v>
      </c>
      <c r="N44" s="60"/>
      <c r="O44" s="60"/>
      <c r="P44" s="71"/>
      <c r="Q44" s="72"/>
      <c r="R44" s="60"/>
      <c r="S44" s="71"/>
      <c r="T44" s="72"/>
      <c r="U44" s="73"/>
      <c r="V44" s="71"/>
      <c r="W44" s="72"/>
      <c r="X44" s="60"/>
      <c r="Y44" s="71"/>
      <c r="Z44" s="72"/>
      <c r="AA44" s="60"/>
      <c r="AB44" s="71"/>
      <c r="AC44" s="72"/>
      <c r="AD44" s="60"/>
      <c r="AE44" s="84">
        <f t="shared" si="6"/>
        <v>0</v>
      </c>
      <c r="AF44" s="85">
        <f t="shared" si="2"/>
        <v>0</v>
      </c>
      <c r="AG44" s="76">
        <f t="shared" si="3"/>
        <v>0</v>
      </c>
      <c r="AH44" s="77">
        <f t="shared" si="4"/>
        <v>0</v>
      </c>
      <c r="AI44" s="29">
        <f t="shared" si="5"/>
        <v>0</v>
      </c>
      <c r="AJ44" s="99" t="s">
        <v>88</v>
      </c>
      <c r="AK44" s="100"/>
      <c r="AL44" s="82"/>
      <c r="AM44" s="81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2"/>
      <c r="AY44" s="82"/>
      <c r="AZ44" s="82"/>
      <c r="BA44" s="82"/>
      <c r="BB44" s="82"/>
      <c r="BC44" s="82"/>
      <c r="BD44" s="82"/>
      <c r="BE44" s="82"/>
      <c r="BF44" s="82"/>
      <c r="BG44" s="82"/>
      <c r="BH44" s="82"/>
      <c r="BI44" s="82"/>
      <c r="BJ44" s="82"/>
      <c r="BK44" s="82"/>
      <c r="BL44" s="82"/>
      <c r="BM44" s="82"/>
      <c r="BN44" s="82"/>
      <c r="BO44" s="82"/>
      <c r="BP44" s="82"/>
      <c r="BQ44" s="82"/>
      <c r="BR44" s="82"/>
      <c r="BS44" s="82"/>
      <c r="BT44" s="82"/>
      <c r="BU44" s="82"/>
      <c r="BV44" s="82"/>
      <c r="BW44" s="82"/>
      <c r="BX44" s="82"/>
      <c r="BY44" s="82"/>
      <c r="BZ44" s="82"/>
      <c r="CA44" s="82"/>
      <c r="CB44" s="82"/>
      <c r="CC44" s="82"/>
      <c r="CD44" s="82"/>
      <c r="CE44" s="82"/>
      <c r="CF44" s="82"/>
      <c r="CG44" s="82"/>
      <c r="CH44" s="82"/>
      <c r="CI44" s="82"/>
      <c r="CJ44" s="82"/>
      <c r="CK44" s="82"/>
      <c r="CL44" s="82"/>
      <c r="CM44" s="82"/>
      <c r="CN44" s="82"/>
      <c r="CO44" s="82"/>
      <c r="CP44" s="82"/>
      <c r="CQ44" s="82"/>
      <c r="CR44" s="82"/>
      <c r="CS44" s="82"/>
      <c r="CT44" s="82"/>
      <c r="CU44" s="82"/>
      <c r="CV44" s="82"/>
      <c r="CW44" s="82"/>
      <c r="CX44" s="82"/>
      <c r="CY44" s="82"/>
      <c r="CZ44" s="82"/>
      <c r="DA44" s="82"/>
      <c r="DB44" s="82"/>
      <c r="DC44" s="82"/>
      <c r="DD44" s="82"/>
      <c r="DE44" s="82"/>
      <c r="DF44" s="82"/>
      <c r="DG44" s="82"/>
      <c r="DH44" s="82"/>
      <c r="DI44" s="82"/>
      <c r="DJ44" s="82"/>
      <c r="DK44" s="82"/>
      <c r="DL44" s="82"/>
      <c r="DM44" s="82"/>
      <c r="DN44" s="82"/>
      <c r="DO44" s="82"/>
      <c r="DP44" s="82"/>
      <c r="DQ44" s="82"/>
      <c r="DR44" s="82"/>
      <c r="DS44" s="82"/>
      <c r="DT44" s="82"/>
      <c r="DU44" s="82"/>
      <c r="DV44" s="82"/>
      <c r="DW44" s="82"/>
      <c r="DX44" s="82"/>
      <c r="DY44" s="82"/>
      <c r="DZ44" s="82"/>
      <c r="EA44" s="82"/>
      <c r="EB44" s="82"/>
      <c r="EC44" s="82"/>
      <c r="ED44" s="82"/>
      <c r="EE44" s="82"/>
      <c r="EF44" s="82"/>
      <c r="EG44" s="82"/>
      <c r="EH44" s="82"/>
      <c r="EI44" s="82"/>
      <c r="EJ44" s="82"/>
      <c r="EK44" s="82"/>
      <c r="EL44" s="82"/>
      <c r="EM44" s="82"/>
      <c r="EN44" s="82"/>
      <c r="EO44" s="82"/>
      <c r="EP44" s="82"/>
      <c r="EQ44" s="82"/>
      <c r="ER44" s="82"/>
      <c r="ES44" s="82"/>
      <c r="ET44" s="82"/>
      <c r="EU44" s="82"/>
      <c r="EV44" s="82"/>
      <c r="EW44" s="82"/>
      <c r="EX44" s="82"/>
      <c r="EY44" s="82"/>
      <c r="EZ44" s="82"/>
      <c r="FA44" s="82"/>
      <c r="FB44" s="82"/>
      <c r="FC44" s="82"/>
      <c r="FD44" s="82"/>
      <c r="FE44" s="82"/>
      <c r="FF44" s="82"/>
      <c r="FG44" s="82"/>
      <c r="FH44" s="82"/>
      <c r="FI44" s="82"/>
      <c r="FJ44" s="82"/>
      <c r="FK44" s="82"/>
      <c r="FL44" s="82"/>
      <c r="FM44" s="82"/>
      <c r="FN44" s="82"/>
      <c r="FO44" s="82"/>
      <c r="FP44" s="82"/>
      <c r="FQ44" s="82"/>
      <c r="FR44" s="82"/>
      <c r="FS44" s="82"/>
      <c r="FT44" s="82"/>
      <c r="FU44" s="82"/>
      <c r="FV44" s="82"/>
      <c r="FW44" s="82"/>
      <c r="FX44" s="82"/>
      <c r="FY44" s="82"/>
      <c r="FZ44" s="82"/>
      <c r="GA44" s="82"/>
      <c r="GB44" s="82"/>
      <c r="GC44" s="82"/>
      <c r="GD44" s="82"/>
      <c r="GE44" s="82"/>
      <c r="GF44" s="82"/>
      <c r="GG44" s="82"/>
      <c r="GH44" s="82"/>
      <c r="GI44" s="82"/>
      <c r="GJ44" s="82"/>
      <c r="GK44" s="82"/>
      <c r="GL44" s="82"/>
      <c r="GM44" s="82"/>
      <c r="GN44" s="82"/>
      <c r="GO44" s="82"/>
      <c r="GP44" s="82"/>
      <c r="GQ44" s="82"/>
      <c r="GR44" s="82"/>
      <c r="GS44" s="82"/>
      <c r="GT44" s="82"/>
      <c r="GU44" s="82"/>
      <c r="GV44" s="82"/>
      <c r="GW44" s="82"/>
      <c r="GX44" s="82"/>
      <c r="GY44" s="82"/>
      <c r="GZ44" s="82"/>
      <c r="HA44" s="82"/>
      <c r="HB44" s="82"/>
      <c r="HC44" s="82"/>
      <c r="HD44" s="82"/>
      <c r="HE44" s="82"/>
      <c r="HF44" s="82"/>
      <c r="HG44" s="82"/>
      <c r="HH44" s="82"/>
      <c r="HI44" s="82"/>
    </row>
    <row r="45" spans="1:217" s="83" customFormat="1" ht="17.649999999999999" thickBot="1" x14ac:dyDescent="0.5">
      <c r="A45" s="59">
        <v>28</v>
      </c>
      <c r="B45" s="60">
        <v>20</v>
      </c>
      <c r="C45" s="61">
        <v>0.5</v>
      </c>
      <c r="D45" s="62">
        <v>5</v>
      </c>
      <c r="E45" s="63">
        <v>5</v>
      </c>
      <c r="F45" s="64"/>
      <c r="G45" s="65"/>
      <c r="H45" s="65"/>
      <c r="I45" s="66" t="b">
        <f>IF(Tableau45[[#This Row],[ANFO]]&lt;&gt;0,Tableau45[[#This Row],[Ht]]-INDEX(T_BdD[hauteur en m],MATCH(Tableau45[[#This Row],[ANFO]],T_BdD[Kilos],0)))</f>
        <v>0</v>
      </c>
      <c r="J45" s="67">
        <v>2</v>
      </c>
      <c r="K45" s="68">
        <f t="shared" si="0"/>
        <v>0</v>
      </c>
      <c r="L45" s="69">
        <f t="shared" si="1"/>
        <v>0</v>
      </c>
      <c r="M45" s="70">
        <f>Tableau45[[#This Row],[hauteur]]-Tableau45[[#This Row],[bourrage]]</f>
        <v>-2</v>
      </c>
      <c r="N45" s="60"/>
      <c r="O45" s="60"/>
      <c r="P45" s="71"/>
      <c r="Q45" s="72"/>
      <c r="R45" s="60"/>
      <c r="S45" s="71"/>
      <c r="T45" s="72"/>
      <c r="U45" s="73"/>
      <c r="V45" s="71"/>
      <c r="W45" s="72"/>
      <c r="X45" s="60"/>
      <c r="Y45" s="71"/>
      <c r="Z45" s="72"/>
      <c r="AA45" s="60"/>
      <c r="AB45" s="71"/>
      <c r="AC45" s="72"/>
      <c r="AD45" s="60"/>
      <c r="AE45" s="84">
        <f t="shared" si="6"/>
        <v>0</v>
      </c>
      <c r="AF45" s="85">
        <f t="shared" si="2"/>
        <v>0</v>
      </c>
      <c r="AG45" s="76">
        <f t="shared" si="3"/>
        <v>0</v>
      </c>
      <c r="AH45" s="77">
        <f t="shared" si="4"/>
        <v>0</v>
      </c>
      <c r="AI45" s="29">
        <f t="shared" si="5"/>
        <v>0</v>
      </c>
      <c r="AJ45" s="99"/>
      <c r="AK45" s="100"/>
      <c r="AL45" s="82"/>
      <c r="AM45" s="103"/>
      <c r="AN45" s="82"/>
      <c r="AO45" s="82"/>
      <c r="AP45" s="82"/>
      <c r="AQ45" s="82"/>
      <c r="AR45" s="82"/>
      <c r="AS45" s="82"/>
      <c r="AT45" s="82"/>
      <c r="AU45" s="82"/>
      <c r="AV45" s="82"/>
      <c r="AW45" s="82"/>
      <c r="AX45" s="82"/>
      <c r="AY45" s="82"/>
      <c r="AZ45" s="82"/>
      <c r="BA45" s="82"/>
      <c r="BB45" s="82"/>
      <c r="BC45" s="82"/>
      <c r="BD45" s="82"/>
      <c r="BE45" s="82"/>
      <c r="BF45" s="82"/>
      <c r="BG45" s="82"/>
      <c r="BH45" s="82"/>
      <c r="BI45" s="82"/>
      <c r="BJ45" s="82"/>
      <c r="BK45" s="82"/>
      <c r="BL45" s="82"/>
      <c r="BM45" s="82"/>
      <c r="BN45" s="82"/>
      <c r="BO45" s="82"/>
      <c r="BP45" s="82"/>
      <c r="BQ45" s="82"/>
      <c r="BR45" s="82"/>
      <c r="BS45" s="82"/>
      <c r="BT45" s="82"/>
      <c r="BU45" s="82"/>
      <c r="BV45" s="82"/>
      <c r="BW45" s="82"/>
      <c r="BX45" s="82"/>
      <c r="BY45" s="82"/>
      <c r="BZ45" s="82"/>
      <c r="CA45" s="82"/>
      <c r="CB45" s="82"/>
      <c r="CC45" s="82"/>
      <c r="CD45" s="82"/>
      <c r="CE45" s="82"/>
      <c r="CF45" s="82"/>
      <c r="CG45" s="82"/>
      <c r="CH45" s="82"/>
      <c r="CI45" s="82"/>
      <c r="CJ45" s="82"/>
      <c r="CK45" s="82"/>
      <c r="CL45" s="82"/>
      <c r="CM45" s="82"/>
      <c r="CN45" s="82"/>
      <c r="CO45" s="82"/>
      <c r="CP45" s="82"/>
      <c r="CQ45" s="82"/>
      <c r="CR45" s="82"/>
      <c r="CS45" s="82"/>
      <c r="CT45" s="82"/>
      <c r="CU45" s="82"/>
      <c r="CV45" s="82"/>
      <c r="CW45" s="82"/>
      <c r="CX45" s="82"/>
      <c r="CY45" s="82"/>
      <c r="CZ45" s="82"/>
      <c r="DA45" s="82"/>
      <c r="DB45" s="82"/>
      <c r="DC45" s="82"/>
      <c r="DD45" s="82"/>
      <c r="DE45" s="82"/>
      <c r="DF45" s="82"/>
      <c r="DG45" s="82"/>
      <c r="DH45" s="82"/>
      <c r="DI45" s="82"/>
      <c r="DJ45" s="82"/>
      <c r="DK45" s="82"/>
      <c r="DL45" s="82"/>
      <c r="DM45" s="82"/>
      <c r="DN45" s="82"/>
      <c r="DO45" s="82"/>
      <c r="DP45" s="82"/>
      <c r="DQ45" s="82"/>
      <c r="DR45" s="82"/>
      <c r="DS45" s="82"/>
      <c r="DT45" s="82"/>
      <c r="DU45" s="82"/>
      <c r="DV45" s="82"/>
      <c r="DW45" s="82"/>
      <c r="DX45" s="82"/>
      <c r="DY45" s="82"/>
      <c r="DZ45" s="82"/>
      <c r="EA45" s="82"/>
      <c r="EB45" s="82"/>
      <c r="EC45" s="82"/>
      <c r="ED45" s="82"/>
      <c r="EE45" s="82"/>
      <c r="EF45" s="82"/>
      <c r="EG45" s="82"/>
      <c r="EH45" s="82"/>
      <c r="EI45" s="82"/>
      <c r="EJ45" s="82"/>
      <c r="EK45" s="82"/>
      <c r="EL45" s="82"/>
      <c r="EM45" s="82"/>
      <c r="EN45" s="82"/>
      <c r="EO45" s="82"/>
      <c r="EP45" s="82"/>
      <c r="EQ45" s="82"/>
      <c r="ER45" s="82"/>
      <c r="ES45" s="82"/>
      <c r="ET45" s="82"/>
      <c r="EU45" s="82"/>
      <c r="EV45" s="82"/>
      <c r="EW45" s="82"/>
      <c r="EX45" s="82"/>
      <c r="EY45" s="82"/>
      <c r="EZ45" s="82"/>
      <c r="FA45" s="82"/>
      <c r="FB45" s="82"/>
      <c r="FC45" s="82"/>
      <c r="FD45" s="82"/>
      <c r="FE45" s="82"/>
      <c r="FF45" s="82"/>
      <c r="FG45" s="82"/>
      <c r="FH45" s="82"/>
      <c r="FI45" s="82"/>
      <c r="FJ45" s="82"/>
      <c r="FK45" s="82"/>
      <c r="FL45" s="82"/>
      <c r="FM45" s="82"/>
      <c r="FN45" s="82"/>
      <c r="FO45" s="82"/>
      <c r="FP45" s="82"/>
      <c r="FQ45" s="82"/>
      <c r="FR45" s="82"/>
      <c r="FS45" s="82"/>
      <c r="FT45" s="82"/>
      <c r="FU45" s="82"/>
      <c r="FV45" s="82"/>
      <c r="FW45" s="82"/>
      <c r="FX45" s="82"/>
      <c r="FY45" s="82"/>
      <c r="FZ45" s="82"/>
      <c r="GA45" s="82"/>
      <c r="GB45" s="82"/>
      <c r="GC45" s="82"/>
      <c r="GD45" s="82"/>
      <c r="GE45" s="82"/>
      <c r="GF45" s="82"/>
      <c r="GG45" s="82"/>
      <c r="GH45" s="82"/>
      <c r="GI45" s="82"/>
      <c r="GJ45" s="82"/>
      <c r="GK45" s="82"/>
      <c r="GL45" s="82"/>
      <c r="GM45" s="82"/>
      <c r="GN45" s="82"/>
      <c r="GO45" s="82"/>
      <c r="GP45" s="82"/>
      <c r="GQ45" s="82"/>
      <c r="GR45" s="82"/>
      <c r="GS45" s="82"/>
      <c r="GT45" s="82"/>
      <c r="GU45" s="82"/>
      <c r="GV45" s="82"/>
      <c r="GW45" s="82"/>
      <c r="GX45" s="82"/>
      <c r="GY45" s="82"/>
      <c r="GZ45" s="82"/>
      <c r="HA45" s="82"/>
      <c r="HB45" s="82"/>
      <c r="HC45" s="82"/>
      <c r="HD45" s="82"/>
      <c r="HE45" s="82"/>
      <c r="HF45" s="82"/>
      <c r="HG45" s="82"/>
      <c r="HH45" s="82"/>
      <c r="HI45" s="82"/>
    </row>
    <row r="46" spans="1:217" s="83" customFormat="1" ht="17.649999999999999" thickBot="1" x14ac:dyDescent="0.5">
      <c r="A46" s="59">
        <v>29</v>
      </c>
      <c r="B46" s="60">
        <v>20</v>
      </c>
      <c r="C46" s="61">
        <v>0.5</v>
      </c>
      <c r="D46" s="62">
        <v>5</v>
      </c>
      <c r="E46" s="63">
        <v>5</v>
      </c>
      <c r="F46" s="64"/>
      <c r="G46" s="65"/>
      <c r="H46" s="65"/>
      <c r="I46" s="66" t="b">
        <f>IF(Tableau45[[#This Row],[ANFO]]&lt;&gt;0,Tableau45[[#This Row],[Ht]]-INDEX(T_BdD[hauteur en m],MATCH(Tableau45[[#This Row],[ANFO]],T_BdD[Kilos],0)))</f>
        <v>0</v>
      </c>
      <c r="J46" s="67">
        <v>2</v>
      </c>
      <c r="K46" s="68">
        <f t="shared" si="0"/>
        <v>0</v>
      </c>
      <c r="L46" s="69">
        <f t="shared" si="1"/>
        <v>0</v>
      </c>
      <c r="M46" s="70">
        <f>Tableau45[[#This Row],[hauteur]]-Tableau45[[#This Row],[bourrage]]</f>
        <v>-2</v>
      </c>
      <c r="N46" s="60"/>
      <c r="O46" s="60"/>
      <c r="P46" s="71"/>
      <c r="Q46" s="72"/>
      <c r="R46" s="60"/>
      <c r="S46" s="71"/>
      <c r="T46" s="72"/>
      <c r="U46" s="73"/>
      <c r="V46" s="71"/>
      <c r="W46" s="72"/>
      <c r="X46" s="60"/>
      <c r="Y46" s="71"/>
      <c r="Z46" s="72"/>
      <c r="AA46" s="60"/>
      <c r="AB46" s="71"/>
      <c r="AC46" s="72"/>
      <c r="AD46" s="60"/>
      <c r="AE46" s="84">
        <f t="shared" si="6"/>
        <v>0</v>
      </c>
      <c r="AF46" s="85">
        <f t="shared" si="2"/>
        <v>0</v>
      </c>
      <c r="AG46" s="76">
        <f t="shared" si="3"/>
        <v>0</v>
      </c>
      <c r="AH46" s="77">
        <f t="shared" si="4"/>
        <v>0</v>
      </c>
      <c r="AI46" s="29">
        <f t="shared" si="5"/>
        <v>0</v>
      </c>
      <c r="AJ46" s="99" t="s">
        <v>89</v>
      </c>
      <c r="AK46" s="100"/>
      <c r="AL46" s="82"/>
      <c r="AM46" s="81"/>
      <c r="AN46" s="82"/>
      <c r="AO46" s="82"/>
      <c r="AP46" s="82"/>
      <c r="AQ46" s="82"/>
      <c r="AR46" s="82"/>
      <c r="AS46" s="82"/>
      <c r="AT46" s="82"/>
      <c r="AU46" s="82"/>
      <c r="AV46" s="82"/>
      <c r="AW46" s="82"/>
      <c r="AX46" s="82"/>
      <c r="AY46" s="82"/>
      <c r="AZ46" s="82"/>
      <c r="BA46" s="82"/>
      <c r="BB46" s="82"/>
      <c r="BC46" s="82"/>
      <c r="BD46" s="82"/>
      <c r="BE46" s="82"/>
      <c r="BF46" s="82"/>
      <c r="BG46" s="82"/>
      <c r="BH46" s="82"/>
      <c r="BI46" s="82"/>
      <c r="BJ46" s="82"/>
      <c r="BK46" s="82"/>
      <c r="BL46" s="82"/>
      <c r="BM46" s="82"/>
      <c r="BN46" s="82"/>
      <c r="BO46" s="82"/>
      <c r="BP46" s="82"/>
      <c r="BQ46" s="82"/>
      <c r="BR46" s="82"/>
      <c r="BS46" s="82"/>
      <c r="BT46" s="82"/>
      <c r="BU46" s="82"/>
      <c r="BV46" s="82"/>
      <c r="BW46" s="82"/>
      <c r="BX46" s="82"/>
      <c r="BY46" s="82"/>
      <c r="BZ46" s="82"/>
      <c r="CA46" s="82"/>
      <c r="CB46" s="82"/>
      <c r="CC46" s="82"/>
      <c r="CD46" s="82"/>
      <c r="CE46" s="82"/>
      <c r="CF46" s="82"/>
      <c r="CG46" s="82"/>
      <c r="CH46" s="82"/>
      <c r="CI46" s="82"/>
      <c r="CJ46" s="82"/>
      <c r="CK46" s="82"/>
      <c r="CL46" s="82"/>
      <c r="CM46" s="82"/>
      <c r="CN46" s="82"/>
      <c r="CO46" s="82"/>
      <c r="CP46" s="82"/>
      <c r="CQ46" s="82"/>
      <c r="CR46" s="82"/>
      <c r="CS46" s="82"/>
      <c r="CT46" s="82"/>
      <c r="CU46" s="82"/>
      <c r="CV46" s="82"/>
      <c r="CW46" s="82"/>
      <c r="CX46" s="82"/>
      <c r="CY46" s="82"/>
      <c r="CZ46" s="82"/>
      <c r="DA46" s="82"/>
      <c r="DB46" s="82"/>
      <c r="DC46" s="82"/>
      <c r="DD46" s="82"/>
      <c r="DE46" s="82"/>
      <c r="DF46" s="82"/>
      <c r="DG46" s="82"/>
      <c r="DH46" s="82"/>
      <c r="DI46" s="82"/>
      <c r="DJ46" s="82"/>
      <c r="DK46" s="82"/>
      <c r="DL46" s="82"/>
      <c r="DM46" s="82"/>
      <c r="DN46" s="82"/>
      <c r="DO46" s="82"/>
      <c r="DP46" s="82"/>
      <c r="DQ46" s="82"/>
      <c r="DR46" s="82"/>
      <c r="DS46" s="82"/>
      <c r="DT46" s="82"/>
      <c r="DU46" s="82"/>
      <c r="DV46" s="82"/>
      <c r="DW46" s="82"/>
      <c r="DX46" s="82"/>
      <c r="DY46" s="82"/>
      <c r="DZ46" s="82"/>
      <c r="EA46" s="82"/>
      <c r="EB46" s="82"/>
      <c r="EC46" s="82"/>
      <c r="ED46" s="82"/>
      <c r="EE46" s="82"/>
      <c r="EF46" s="82"/>
      <c r="EG46" s="82"/>
      <c r="EH46" s="82"/>
      <c r="EI46" s="82"/>
      <c r="EJ46" s="82"/>
      <c r="EK46" s="82"/>
      <c r="EL46" s="82"/>
      <c r="EM46" s="82"/>
      <c r="EN46" s="82"/>
      <c r="EO46" s="82"/>
      <c r="EP46" s="82"/>
      <c r="EQ46" s="82"/>
      <c r="ER46" s="82"/>
      <c r="ES46" s="82"/>
      <c r="ET46" s="82"/>
      <c r="EU46" s="82"/>
      <c r="EV46" s="82"/>
      <c r="EW46" s="82"/>
      <c r="EX46" s="82"/>
      <c r="EY46" s="82"/>
      <c r="EZ46" s="82"/>
      <c r="FA46" s="82"/>
      <c r="FB46" s="82"/>
      <c r="FC46" s="82"/>
      <c r="FD46" s="82"/>
      <c r="FE46" s="82"/>
      <c r="FF46" s="82"/>
      <c r="FG46" s="82"/>
      <c r="FH46" s="82"/>
      <c r="FI46" s="82"/>
      <c r="FJ46" s="82"/>
      <c r="FK46" s="82"/>
      <c r="FL46" s="82"/>
      <c r="FM46" s="82"/>
      <c r="FN46" s="82"/>
      <c r="FO46" s="82"/>
      <c r="FP46" s="82"/>
      <c r="FQ46" s="82"/>
      <c r="FR46" s="82"/>
      <c r="FS46" s="82"/>
      <c r="FT46" s="82"/>
      <c r="FU46" s="82"/>
      <c r="FV46" s="82"/>
      <c r="FW46" s="82"/>
      <c r="FX46" s="82"/>
      <c r="FY46" s="82"/>
      <c r="FZ46" s="82"/>
      <c r="GA46" s="82"/>
      <c r="GB46" s="82"/>
      <c r="GC46" s="82"/>
      <c r="GD46" s="82"/>
      <c r="GE46" s="82"/>
      <c r="GF46" s="82"/>
      <c r="GG46" s="82"/>
      <c r="GH46" s="82"/>
      <c r="GI46" s="82"/>
      <c r="GJ46" s="82"/>
      <c r="GK46" s="82"/>
      <c r="GL46" s="82"/>
      <c r="GM46" s="82"/>
      <c r="GN46" s="82"/>
      <c r="GO46" s="82"/>
      <c r="GP46" s="82"/>
      <c r="GQ46" s="82"/>
      <c r="GR46" s="82"/>
      <c r="GS46" s="82"/>
      <c r="GT46" s="82"/>
      <c r="GU46" s="82"/>
      <c r="GV46" s="82"/>
      <c r="GW46" s="82"/>
      <c r="GX46" s="82"/>
      <c r="GY46" s="82"/>
      <c r="GZ46" s="82"/>
      <c r="HA46" s="82"/>
      <c r="HB46" s="82"/>
      <c r="HC46" s="82"/>
      <c r="HD46" s="82"/>
      <c r="HE46" s="82"/>
      <c r="HF46" s="82"/>
      <c r="HG46" s="82"/>
      <c r="HH46" s="82"/>
      <c r="HI46" s="82"/>
    </row>
    <row r="47" spans="1:217" s="83" customFormat="1" ht="17.649999999999999" thickBot="1" x14ac:dyDescent="0.5">
      <c r="A47" s="59">
        <v>30</v>
      </c>
      <c r="B47" s="60">
        <v>20</v>
      </c>
      <c r="C47" s="61">
        <v>0.5</v>
      </c>
      <c r="D47" s="62">
        <v>5</v>
      </c>
      <c r="E47" s="63">
        <v>5</v>
      </c>
      <c r="F47" s="64"/>
      <c r="G47" s="65"/>
      <c r="H47" s="65"/>
      <c r="I47" s="66" t="b">
        <f>IF(Tableau45[[#This Row],[ANFO]]&lt;&gt;0,Tableau45[[#This Row],[Ht]]-INDEX(T_BdD[hauteur en m],MATCH(Tableau45[[#This Row],[ANFO]],T_BdD[Kilos],0)))</f>
        <v>0</v>
      </c>
      <c r="J47" s="67">
        <v>2</v>
      </c>
      <c r="K47" s="68">
        <f t="shared" si="0"/>
        <v>0</v>
      </c>
      <c r="L47" s="69">
        <f t="shared" si="1"/>
        <v>0</v>
      </c>
      <c r="M47" s="70">
        <f>Tableau45[[#This Row],[hauteur]]-Tableau45[[#This Row],[bourrage]]</f>
        <v>-2</v>
      </c>
      <c r="N47" s="60"/>
      <c r="O47" s="60"/>
      <c r="P47" s="71"/>
      <c r="Q47" s="72"/>
      <c r="R47" s="60"/>
      <c r="S47" s="71"/>
      <c r="T47" s="72"/>
      <c r="U47" s="73"/>
      <c r="V47" s="71"/>
      <c r="W47" s="72"/>
      <c r="X47" s="60"/>
      <c r="Y47" s="71"/>
      <c r="Z47" s="72"/>
      <c r="AA47" s="60"/>
      <c r="AB47" s="71"/>
      <c r="AC47" s="72"/>
      <c r="AD47" s="60"/>
      <c r="AE47" s="84">
        <f t="shared" si="6"/>
        <v>0</v>
      </c>
      <c r="AF47" s="85">
        <f t="shared" si="2"/>
        <v>0</v>
      </c>
      <c r="AG47" s="76">
        <f t="shared" si="3"/>
        <v>0</v>
      </c>
      <c r="AH47" s="77">
        <f t="shared" si="4"/>
        <v>0</v>
      </c>
      <c r="AI47" s="29">
        <f t="shared" si="5"/>
        <v>0</v>
      </c>
      <c r="AJ47" s="99" t="s">
        <v>90</v>
      </c>
      <c r="AK47" s="100"/>
      <c r="AL47" s="82"/>
      <c r="AM47" s="81"/>
      <c r="AN47" s="82"/>
      <c r="AO47" s="82"/>
      <c r="AP47" s="82"/>
      <c r="AQ47" s="82"/>
      <c r="AR47" s="82"/>
      <c r="AS47" s="82"/>
      <c r="AT47" s="82"/>
      <c r="AU47" s="82"/>
      <c r="AV47" s="82"/>
      <c r="AW47" s="82"/>
      <c r="AX47" s="82"/>
      <c r="AY47" s="82"/>
      <c r="AZ47" s="82"/>
      <c r="BA47" s="82"/>
      <c r="BB47" s="82"/>
      <c r="BC47" s="82"/>
      <c r="BD47" s="82"/>
      <c r="BE47" s="82"/>
      <c r="BF47" s="82"/>
      <c r="BG47" s="82"/>
      <c r="BH47" s="82"/>
      <c r="BI47" s="82"/>
      <c r="BJ47" s="82"/>
      <c r="BK47" s="82"/>
      <c r="BL47" s="82"/>
      <c r="BM47" s="82"/>
      <c r="BN47" s="82"/>
      <c r="BO47" s="82"/>
      <c r="BP47" s="82"/>
      <c r="BQ47" s="82"/>
      <c r="BR47" s="82"/>
      <c r="BS47" s="82"/>
      <c r="BT47" s="82"/>
      <c r="BU47" s="82"/>
      <c r="BV47" s="82"/>
      <c r="BW47" s="82"/>
      <c r="BX47" s="82"/>
      <c r="BY47" s="82"/>
      <c r="BZ47" s="82"/>
      <c r="CA47" s="82"/>
      <c r="CB47" s="82"/>
      <c r="CC47" s="82"/>
      <c r="CD47" s="82"/>
      <c r="CE47" s="82"/>
      <c r="CF47" s="82"/>
      <c r="CG47" s="82"/>
      <c r="CH47" s="82"/>
      <c r="CI47" s="82"/>
      <c r="CJ47" s="82"/>
      <c r="CK47" s="82"/>
      <c r="CL47" s="82"/>
      <c r="CM47" s="82"/>
      <c r="CN47" s="82"/>
      <c r="CO47" s="82"/>
      <c r="CP47" s="82"/>
      <c r="CQ47" s="82"/>
      <c r="CR47" s="82"/>
      <c r="CS47" s="82"/>
      <c r="CT47" s="82"/>
      <c r="CU47" s="82"/>
      <c r="CV47" s="82"/>
      <c r="CW47" s="82"/>
      <c r="CX47" s="82"/>
      <c r="CY47" s="82"/>
      <c r="CZ47" s="82"/>
      <c r="DA47" s="82"/>
      <c r="DB47" s="82"/>
      <c r="DC47" s="82"/>
      <c r="DD47" s="82"/>
      <c r="DE47" s="82"/>
      <c r="DF47" s="82"/>
      <c r="DG47" s="82"/>
      <c r="DH47" s="82"/>
      <c r="DI47" s="82"/>
      <c r="DJ47" s="82"/>
      <c r="DK47" s="82"/>
      <c r="DL47" s="82"/>
      <c r="DM47" s="82"/>
      <c r="DN47" s="82"/>
      <c r="DO47" s="82"/>
      <c r="DP47" s="82"/>
      <c r="DQ47" s="82"/>
      <c r="DR47" s="82"/>
      <c r="DS47" s="82"/>
      <c r="DT47" s="82"/>
      <c r="DU47" s="82"/>
      <c r="DV47" s="82"/>
      <c r="DW47" s="82"/>
      <c r="DX47" s="82"/>
      <c r="DY47" s="82"/>
      <c r="DZ47" s="82"/>
      <c r="EA47" s="82"/>
      <c r="EB47" s="82"/>
      <c r="EC47" s="82"/>
      <c r="ED47" s="82"/>
      <c r="EE47" s="82"/>
      <c r="EF47" s="82"/>
      <c r="EG47" s="82"/>
      <c r="EH47" s="82"/>
      <c r="EI47" s="82"/>
      <c r="EJ47" s="82"/>
      <c r="EK47" s="82"/>
      <c r="EL47" s="82"/>
      <c r="EM47" s="82"/>
      <c r="EN47" s="82"/>
      <c r="EO47" s="82"/>
      <c r="EP47" s="82"/>
      <c r="EQ47" s="82"/>
      <c r="ER47" s="82"/>
      <c r="ES47" s="82"/>
      <c r="ET47" s="82"/>
      <c r="EU47" s="82"/>
      <c r="EV47" s="82"/>
      <c r="EW47" s="82"/>
      <c r="EX47" s="82"/>
      <c r="EY47" s="82"/>
      <c r="EZ47" s="82"/>
      <c r="FA47" s="82"/>
      <c r="FB47" s="82"/>
      <c r="FC47" s="82"/>
      <c r="FD47" s="82"/>
      <c r="FE47" s="82"/>
      <c r="FF47" s="82"/>
      <c r="FG47" s="82"/>
      <c r="FH47" s="82"/>
      <c r="FI47" s="82"/>
      <c r="FJ47" s="82"/>
      <c r="FK47" s="82"/>
      <c r="FL47" s="82"/>
      <c r="FM47" s="82"/>
      <c r="FN47" s="82"/>
      <c r="FO47" s="82"/>
      <c r="FP47" s="82"/>
      <c r="FQ47" s="82"/>
      <c r="FR47" s="82"/>
      <c r="FS47" s="82"/>
      <c r="FT47" s="82"/>
      <c r="FU47" s="82"/>
      <c r="FV47" s="82"/>
      <c r="FW47" s="82"/>
      <c r="FX47" s="82"/>
      <c r="FY47" s="82"/>
      <c r="FZ47" s="82"/>
      <c r="GA47" s="82"/>
      <c r="GB47" s="82"/>
      <c r="GC47" s="82"/>
      <c r="GD47" s="82"/>
      <c r="GE47" s="82"/>
      <c r="GF47" s="82"/>
      <c r="GG47" s="82"/>
      <c r="GH47" s="82"/>
      <c r="GI47" s="82"/>
      <c r="GJ47" s="82"/>
      <c r="GK47" s="82"/>
      <c r="GL47" s="82"/>
      <c r="GM47" s="82"/>
      <c r="GN47" s="82"/>
      <c r="GO47" s="82"/>
      <c r="GP47" s="82"/>
      <c r="GQ47" s="82"/>
      <c r="GR47" s="82"/>
      <c r="GS47" s="82"/>
      <c r="GT47" s="82"/>
      <c r="GU47" s="82"/>
      <c r="GV47" s="82"/>
      <c r="GW47" s="82"/>
      <c r="GX47" s="82"/>
      <c r="GY47" s="82"/>
      <c r="GZ47" s="82"/>
      <c r="HA47" s="82"/>
      <c r="HB47" s="82"/>
      <c r="HC47" s="82"/>
      <c r="HD47" s="82"/>
      <c r="HE47" s="82"/>
      <c r="HF47" s="82"/>
      <c r="HG47" s="82"/>
      <c r="HH47" s="82"/>
      <c r="HI47" s="82"/>
    </row>
    <row r="48" spans="1:217" s="83" customFormat="1" ht="17.649999999999999" thickBot="1" x14ac:dyDescent="0.5">
      <c r="A48" s="59">
        <v>31</v>
      </c>
      <c r="B48" s="60">
        <v>20</v>
      </c>
      <c r="C48" s="61">
        <v>0.5</v>
      </c>
      <c r="D48" s="62">
        <v>5</v>
      </c>
      <c r="E48" s="63">
        <v>5</v>
      </c>
      <c r="F48" s="64"/>
      <c r="G48" s="65"/>
      <c r="H48" s="65"/>
      <c r="I48" s="66" t="b">
        <f>IF(Tableau45[[#This Row],[ANFO]]&lt;&gt;0,Tableau45[[#This Row],[Ht]]-INDEX(T_BdD[hauteur en m],MATCH(Tableau45[[#This Row],[ANFO]],T_BdD[Kilos],0)))</f>
        <v>0</v>
      </c>
      <c r="J48" s="67">
        <v>2</v>
      </c>
      <c r="K48" s="68">
        <f t="shared" si="0"/>
        <v>0</v>
      </c>
      <c r="L48" s="69">
        <f t="shared" si="1"/>
        <v>0</v>
      </c>
      <c r="M48" s="70">
        <f>Tableau45[[#This Row],[hauteur]]-Tableau45[[#This Row],[bourrage]]</f>
        <v>-2</v>
      </c>
      <c r="N48" s="60"/>
      <c r="O48" s="60"/>
      <c r="P48" s="71"/>
      <c r="Q48" s="72"/>
      <c r="R48" s="60"/>
      <c r="S48" s="71"/>
      <c r="T48" s="72"/>
      <c r="U48" s="73"/>
      <c r="V48" s="71"/>
      <c r="W48" s="72"/>
      <c r="X48" s="60"/>
      <c r="Y48" s="71"/>
      <c r="Z48" s="72"/>
      <c r="AA48" s="60"/>
      <c r="AB48" s="71"/>
      <c r="AC48" s="72"/>
      <c r="AD48" s="60"/>
      <c r="AE48" s="84">
        <f t="shared" si="6"/>
        <v>0</v>
      </c>
      <c r="AF48" s="85">
        <f t="shared" si="2"/>
        <v>0</v>
      </c>
      <c r="AG48" s="76">
        <f t="shared" si="3"/>
        <v>0</v>
      </c>
      <c r="AH48" s="77">
        <f t="shared" si="4"/>
        <v>0</v>
      </c>
      <c r="AI48" s="29">
        <f t="shared" si="5"/>
        <v>0</v>
      </c>
      <c r="AJ48" s="82"/>
      <c r="AK48" s="104"/>
      <c r="AL48" s="82"/>
      <c r="AM48" s="82"/>
      <c r="AN48" s="82"/>
      <c r="AO48" s="82"/>
      <c r="AP48" s="82"/>
      <c r="AQ48" s="82"/>
      <c r="AR48" s="82"/>
      <c r="AS48" s="82"/>
      <c r="AT48" s="82"/>
      <c r="AU48" s="82"/>
      <c r="AV48" s="82"/>
      <c r="AW48" s="82"/>
      <c r="AX48" s="82"/>
      <c r="AY48" s="82"/>
      <c r="AZ48" s="82"/>
      <c r="BA48" s="82"/>
      <c r="BB48" s="82"/>
      <c r="BC48" s="82"/>
      <c r="BD48" s="82"/>
      <c r="BE48" s="82"/>
      <c r="BF48" s="82"/>
      <c r="BG48" s="82"/>
      <c r="BH48" s="82"/>
      <c r="BI48" s="82"/>
      <c r="BJ48" s="82"/>
      <c r="BK48" s="82"/>
      <c r="BL48" s="82"/>
      <c r="BM48" s="82"/>
      <c r="BN48" s="82"/>
      <c r="BO48" s="82"/>
      <c r="BP48" s="82"/>
      <c r="BQ48" s="82"/>
      <c r="BR48" s="82"/>
      <c r="BS48" s="82"/>
      <c r="BT48" s="82"/>
      <c r="BU48" s="82"/>
      <c r="BV48" s="82"/>
      <c r="BW48" s="82"/>
      <c r="BX48" s="82"/>
      <c r="BY48" s="82"/>
      <c r="BZ48" s="82"/>
      <c r="CA48" s="82"/>
      <c r="CB48" s="82"/>
      <c r="CC48" s="82"/>
      <c r="CD48" s="82"/>
      <c r="CE48" s="82"/>
      <c r="CF48" s="82"/>
      <c r="CG48" s="82"/>
      <c r="CH48" s="82"/>
      <c r="CI48" s="82"/>
      <c r="CJ48" s="82"/>
      <c r="CK48" s="82"/>
      <c r="CL48" s="82"/>
      <c r="CM48" s="82"/>
      <c r="CN48" s="82"/>
      <c r="CO48" s="82"/>
      <c r="CP48" s="82"/>
      <c r="CQ48" s="82"/>
      <c r="CR48" s="82"/>
      <c r="CS48" s="82"/>
      <c r="CT48" s="82"/>
      <c r="CU48" s="82"/>
      <c r="CV48" s="82"/>
      <c r="CW48" s="82"/>
      <c r="CX48" s="82"/>
      <c r="CY48" s="82"/>
      <c r="CZ48" s="82"/>
      <c r="DA48" s="82"/>
      <c r="DB48" s="82"/>
      <c r="DC48" s="82"/>
      <c r="DD48" s="82"/>
      <c r="DE48" s="82"/>
      <c r="DF48" s="82"/>
      <c r="DG48" s="82"/>
      <c r="DH48" s="82"/>
      <c r="DI48" s="82"/>
      <c r="DJ48" s="82"/>
      <c r="DK48" s="82"/>
      <c r="DL48" s="82"/>
      <c r="DM48" s="82"/>
      <c r="DN48" s="82"/>
      <c r="DO48" s="82"/>
      <c r="DP48" s="82"/>
      <c r="DQ48" s="82"/>
      <c r="DR48" s="82"/>
      <c r="DS48" s="82"/>
      <c r="DT48" s="82"/>
      <c r="DU48" s="82"/>
      <c r="DV48" s="82"/>
      <c r="DW48" s="82"/>
      <c r="DX48" s="82"/>
      <c r="DY48" s="82"/>
      <c r="DZ48" s="82"/>
      <c r="EA48" s="82"/>
      <c r="EB48" s="82"/>
      <c r="EC48" s="82"/>
      <c r="ED48" s="82"/>
      <c r="EE48" s="82"/>
      <c r="EF48" s="82"/>
      <c r="EG48" s="82"/>
      <c r="EH48" s="82"/>
      <c r="EI48" s="82"/>
      <c r="EJ48" s="82"/>
      <c r="EK48" s="82"/>
      <c r="EL48" s="82"/>
      <c r="EM48" s="82"/>
      <c r="EN48" s="82"/>
      <c r="EO48" s="82"/>
      <c r="EP48" s="82"/>
      <c r="EQ48" s="82"/>
      <c r="ER48" s="82"/>
      <c r="ES48" s="82"/>
      <c r="ET48" s="82"/>
      <c r="EU48" s="82"/>
      <c r="EV48" s="82"/>
      <c r="EW48" s="82"/>
      <c r="EX48" s="82"/>
      <c r="EY48" s="82"/>
      <c r="EZ48" s="82"/>
      <c r="FA48" s="82"/>
      <c r="FB48" s="82"/>
      <c r="FC48" s="82"/>
      <c r="FD48" s="82"/>
      <c r="FE48" s="82"/>
      <c r="FF48" s="82"/>
      <c r="FG48" s="82"/>
      <c r="FH48" s="82"/>
      <c r="FI48" s="82"/>
      <c r="FJ48" s="82"/>
      <c r="FK48" s="82"/>
      <c r="FL48" s="82"/>
      <c r="FM48" s="82"/>
      <c r="FN48" s="82"/>
      <c r="FO48" s="82"/>
      <c r="FP48" s="82"/>
      <c r="FQ48" s="82"/>
      <c r="FR48" s="82"/>
      <c r="FS48" s="82"/>
      <c r="FT48" s="82"/>
      <c r="FU48" s="82"/>
      <c r="FV48" s="82"/>
      <c r="FW48" s="82"/>
      <c r="FX48" s="82"/>
      <c r="FY48" s="82"/>
      <c r="FZ48" s="82"/>
      <c r="GA48" s="82"/>
      <c r="GB48" s="82"/>
      <c r="GC48" s="82"/>
      <c r="GD48" s="82"/>
      <c r="GE48" s="82"/>
      <c r="GF48" s="82"/>
      <c r="GG48" s="82"/>
      <c r="GH48" s="82"/>
      <c r="GI48" s="82"/>
      <c r="GJ48" s="82"/>
      <c r="GK48" s="82"/>
      <c r="GL48" s="82"/>
      <c r="GM48" s="82"/>
      <c r="GN48" s="82"/>
      <c r="GO48" s="82"/>
      <c r="GP48" s="82"/>
      <c r="GQ48" s="82"/>
      <c r="GR48" s="82"/>
      <c r="GS48" s="82"/>
      <c r="GT48" s="82"/>
      <c r="GU48" s="82"/>
      <c r="GV48" s="82"/>
      <c r="GW48" s="82"/>
      <c r="GX48" s="82"/>
      <c r="GY48" s="82"/>
      <c r="GZ48" s="82"/>
      <c r="HA48" s="82"/>
      <c r="HB48" s="82"/>
      <c r="HC48" s="82"/>
      <c r="HD48" s="82"/>
      <c r="HE48" s="82"/>
      <c r="HF48" s="82"/>
      <c r="HG48" s="82"/>
      <c r="HH48" s="82"/>
      <c r="HI48" s="82"/>
    </row>
    <row r="49" spans="1:217" s="83" customFormat="1" ht="17.649999999999999" thickBot="1" x14ac:dyDescent="0.5">
      <c r="A49" s="59">
        <v>32</v>
      </c>
      <c r="B49" s="60">
        <v>20</v>
      </c>
      <c r="C49" s="61">
        <v>0.5</v>
      </c>
      <c r="D49" s="62">
        <v>5</v>
      </c>
      <c r="E49" s="63">
        <v>5</v>
      </c>
      <c r="F49" s="64"/>
      <c r="G49" s="65"/>
      <c r="H49" s="65"/>
      <c r="I49" s="66" t="b">
        <f>IF(Tableau45[[#This Row],[ANFO]]&lt;&gt;0,Tableau45[[#This Row],[Ht]]-INDEX(T_BdD[hauteur en m],MATCH(Tableau45[[#This Row],[ANFO]],T_BdD[Kilos],0)))</f>
        <v>0</v>
      </c>
      <c r="J49" s="67">
        <v>2</v>
      </c>
      <c r="K49" s="68">
        <f t="shared" si="0"/>
        <v>0</v>
      </c>
      <c r="L49" s="69">
        <f t="shared" si="1"/>
        <v>0</v>
      </c>
      <c r="M49" s="70">
        <f>Tableau45[[#This Row],[hauteur]]-Tableau45[[#This Row],[bourrage]]</f>
        <v>-2</v>
      </c>
      <c r="N49" s="60"/>
      <c r="O49" s="60"/>
      <c r="P49" s="71"/>
      <c r="Q49" s="72"/>
      <c r="R49" s="60"/>
      <c r="S49" s="71"/>
      <c r="T49" s="72"/>
      <c r="U49" s="73"/>
      <c r="V49" s="71"/>
      <c r="W49" s="72"/>
      <c r="X49" s="60"/>
      <c r="Y49" s="71"/>
      <c r="Z49" s="72"/>
      <c r="AA49" s="60"/>
      <c r="AB49" s="71"/>
      <c r="AC49" s="72"/>
      <c r="AD49" s="60"/>
      <c r="AE49" s="84">
        <f t="shared" si="6"/>
        <v>0</v>
      </c>
      <c r="AF49" s="85">
        <f t="shared" si="2"/>
        <v>0</v>
      </c>
      <c r="AG49" s="76">
        <f t="shared" si="3"/>
        <v>0</v>
      </c>
      <c r="AH49" s="77">
        <f t="shared" si="4"/>
        <v>0</v>
      </c>
      <c r="AI49" s="29">
        <f t="shared" si="5"/>
        <v>0</v>
      </c>
      <c r="AJ49" s="82"/>
      <c r="AK49" s="104"/>
      <c r="AL49" s="82"/>
      <c r="AM49" s="82"/>
      <c r="AN49" s="82"/>
      <c r="AO49" s="82"/>
      <c r="AP49" s="82"/>
      <c r="AQ49" s="82"/>
      <c r="AR49" s="82"/>
      <c r="AS49" s="82"/>
      <c r="AT49" s="82"/>
      <c r="AU49" s="82"/>
      <c r="AV49" s="82"/>
      <c r="AW49" s="82"/>
      <c r="AX49" s="82"/>
      <c r="AY49" s="82"/>
      <c r="AZ49" s="82"/>
      <c r="BA49" s="82"/>
      <c r="BB49" s="82"/>
      <c r="BC49" s="82"/>
      <c r="BD49" s="82"/>
      <c r="BE49" s="82"/>
      <c r="BF49" s="82"/>
      <c r="BG49" s="82"/>
      <c r="BH49" s="82"/>
      <c r="BI49" s="82"/>
      <c r="BJ49" s="82"/>
      <c r="BK49" s="82"/>
      <c r="BL49" s="82"/>
      <c r="BM49" s="82"/>
      <c r="BN49" s="82"/>
      <c r="BO49" s="82"/>
      <c r="BP49" s="82"/>
      <c r="BQ49" s="82"/>
      <c r="BR49" s="82"/>
      <c r="BS49" s="82"/>
      <c r="BT49" s="82"/>
      <c r="BU49" s="82"/>
      <c r="BV49" s="82"/>
      <c r="BW49" s="82"/>
      <c r="BX49" s="82"/>
      <c r="BY49" s="82"/>
      <c r="BZ49" s="82"/>
      <c r="CA49" s="82"/>
      <c r="CB49" s="82"/>
      <c r="CC49" s="82"/>
      <c r="CD49" s="82"/>
      <c r="CE49" s="82"/>
      <c r="CF49" s="82"/>
      <c r="CG49" s="82"/>
      <c r="CH49" s="82"/>
      <c r="CI49" s="82"/>
      <c r="CJ49" s="82"/>
      <c r="CK49" s="82"/>
      <c r="CL49" s="82"/>
      <c r="CM49" s="82"/>
      <c r="CN49" s="82"/>
      <c r="CO49" s="82"/>
      <c r="CP49" s="82"/>
      <c r="CQ49" s="82"/>
      <c r="CR49" s="82"/>
      <c r="CS49" s="82"/>
      <c r="CT49" s="82"/>
      <c r="CU49" s="82"/>
      <c r="CV49" s="82"/>
      <c r="CW49" s="82"/>
      <c r="CX49" s="82"/>
      <c r="CY49" s="82"/>
      <c r="CZ49" s="82"/>
      <c r="DA49" s="82"/>
      <c r="DB49" s="82"/>
      <c r="DC49" s="82"/>
      <c r="DD49" s="82"/>
      <c r="DE49" s="82"/>
      <c r="DF49" s="82"/>
      <c r="DG49" s="82"/>
      <c r="DH49" s="82"/>
      <c r="DI49" s="82"/>
      <c r="DJ49" s="82"/>
      <c r="DK49" s="82"/>
      <c r="DL49" s="82"/>
      <c r="DM49" s="82"/>
      <c r="DN49" s="82"/>
      <c r="DO49" s="82"/>
      <c r="DP49" s="82"/>
      <c r="DQ49" s="82"/>
      <c r="DR49" s="82"/>
      <c r="DS49" s="82"/>
      <c r="DT49" s="82"/>
      <c r="DU49" s="82"/>
      <c r="DV49" s="82"/>
      <c r="DW49" s="82"/>
      <c r="DX49" s="82"/>
      <c r="DY49" s="82"/>
      <c r="DZ49" s="82"/>
      <c r="EA49" s="82"/>
      <c r="EB49" s="82"/>
      <c r="EC49" s="82"/>
      <c r="ED49" s="82"/>
      <c r="EE49" s="82"/>
      <c r="EF49" s="82"/>
      <c r="EG49" s="82"/>
      <c r="EH49" s="82"/>
      <c r="EI49" s="82"/>
      <c r="EJ49" s="82"/>
      <c r="EK49" s="82"/>
      <c r="EL49" s="82"/>
      <c r="EM49" s="82"/>
      <c r="EN49" s="82"/>
      <c r="EO49" s="82"/>
      <c r="EP49" s="82"/>
      <c r="EQ49" s="82"/>
      <c r="ER49" s="82"/>
      <c r="ES49" s="82"/>
      <c r="ET49" s="82"/>
      <c r="EU49" s="82"/>
      <c r="EV49" s="82"/>
      <c r="EW49" s="82"/>
      <c r="EX49" s="82"/>
      <c r="EY49" s="82"/>
      <c r="EZ49" s="82"/>
      <c r="FA49" s="82"/>
      <c r="FB49" s="82"/>
      <c r="FC49" s="82"/>
      <c r="FD49" s="82"/>
      <c r="FE49" s="82"/>
      <c r="FF49" s="82"/>
      <c r="FG49" s="82"/>
      <c r="FH49" s="82"/>
      <c r="FI49" s="82"/>
      <c r="FJ49" s="82"/>
      <c r="FK49" s="82"/>
      <c r="FL49" s="82"/>
      <c r="FM49" s="82"/>
      <c r="FN49" s="82"/>
      <c r="FO49" s="82"/>
      <c r="FP49" s="82"/>
      <c r="FQ49" s="82"/>
      <c r="FR49" s="82"/>
      <c r="FS49" s="82"/>
      <c r="FT49" s="82"/>
      <c r="FU49" s="82"/>
      <c r="FV49" s="82"/>
      <c r="FW49" s="82"/>
      <c r="FX49" s="82"/>
      <c r="FY49" s="82"/>
      <c r="FZ49" s="82"/>
      <c r="GA49" s="82"/>
      <c r="GB49" s="82"/>
      <c r="GC49" s="82"/>
      <c r="GD49" s="82"/>
      <c r="GE49" s="82"/>
      <c r="GF49" s="82"/>
      <c r="GG49" s="82"/>
      <c r="GH49" s="82"/>
      <c r="GI49" s="82"/>
      <c r="GJ49" s="82"/>
      <c r="GK49" s="82"/>
      <c r="GL49" s="82"/>
      <c r="GM49" s="82"/>
      <c r="GN49" s="82"/>
      <c r="GO49" s="82"/>
      <c r="GP49" s="82"/>
      <c r="GQ49" s="82"/>
      <c r="GR49" s="82"/>
      <c r="GS49" s="82"/>
      <c r="GT49" s="82"/>
      <c r="GU49" s="82"/>
      <c r="GV49" s="82"/>
      <c r="GW49" s="82"/>
      <c r="GX49" s="82"/>
      <c r="GY49" s="82"/>
      <c r="GZ49" s="82"/>
      <c r="HA49" s="82"/>
      <c r="HB49" s="82"/>
      <c r="HC49" s="82"/>
      <c r="HD49" s="82"/>
      <c r="HE49" s="82"/>
      <c r="HF49" s="82"/>
      <c r="HG49" s="82"/>
      <c r="HH49" s="82"/>
      <c r="HI49" s="82"/>
    </row>
    <row r="50" spans="1:217" s="83" customFormat="1" ht="17.649999999999999" thickBot="1" x14ac:dyDescent="0.5">
      <c r="A50" s="59">
        <v>33</v>
      </c>
      <c r="B50" s="60">
        <v>20</v>
      </c>
      <c r="C50" s="61">
        <v>0.5</v>
      </c>
      <c r="D50" s="62">
        <v>5</v>
      </c>
      <c r="E50" s="63">
        <v>5</v>
      </c>
      <c r="F50" s="64"/>
      <c r="G50" s="65"/>
      <c r="H50" s="65"/>
      <c r="I50" s="66" t="b">
        <f>IF(Tableau45[[#This Row],[ANFO]]&lt;&gt;0,Tableau45[[#This Row],[Ht]]-INDEX(T_BdD[hauteur en m],MATCH(Tableau45[[#This Row],[ANFO]],T_BdD[Kilos],0)))</f>
        <v>0</v>
      </c>
      <c r="J50" s="67">
        <v>2</v>
      </c>
      <c r="K50" s="68">
        <f t="shared" si="0"/>
        <v>0</v>
      </c>
      <c r="L50" s="69">
        <f t="shared" si="1"/>
        <v>0</v>
      </c>
      <c r="M50" s="70">
        <f>Tableau45[[#This Row],[hauteur]]-Tableau45[[#This Row],[bourrage]]</f>
        <v>-2</v>
      </c>
      <c r="N50" s="60"/>
      <c r="O50" s="60"/>
      <c r="P50" s="71"/>
      <c r="Q50" s="72"/>
      <c r="R50" s="60"/>
      <c r="S50" s="71"/>
      <c r="T50" s="72"/>
      <c r="U50" s="73"/>
      <c r="V50" s="71"/>
      <c r="W50" s="72"/>
      <c r="X50" s="60"/>
      <c r="Y50" s="71"/>
      <c r="Z50" s="72"/>
      <c r="AA50" s="60"/>
      <c r="AB50" s="71"/>
      <c r="AC50" s="72"/>
      <c r="AD50" s="60"/>
      <c r="AE50" s="84">
        <f t="shared" si="6"/>
        <v>0</v>
      </c>
      <c r="AF50" s="85">
        <f t="shared" si="2"/>
        <v>0</v>
      </c>
      <c r="AG50" s="76">
        <f t="shared" si="3"/>
        <v>0</v>
      </c>
      <c r="AH50" s="77">
        <f t="shared" si="4"/>
        <v>0</v>
      </c>
      <c r="AI50" s="29">
        <f t="shared" si="5"/>
        <v>0</v>
      </c>
      <c r="AJ50" s="82"/>
      <c r="AK50" s="104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  <c r="BK50" s="82"/>
      <c r="BL50" s="82"/>
      <c r="BM50" s="82"/>
      <c r="BN50" s="82"/>
      <c r="BO50" s="82"/>
      <c r="BP50" s="82"/>
      <c r="BQ50" s="82"/>
      <c r="BR50" s="82"/>
      <c r="BS50" s="82"/>
      <c r="BT50" s="82"/>
      <c r="BU50" s="82"/>
      <c r="BV50" s="82"/>
      <c r="BW50" s="82"/>
      <c r="BX50" s="82"/>
      <c r="BY50" s="82"/>
      <c r="BZ50" s="82"/>
      <c r="CA50" s="82"/>
      <c r="CB50" s="82"/>
      <c r="CC50" s="82"/>
      <c r="CD50" s="82"/>
      <c r="CE50" s="82"/>
      <c r="CF50" s="82"/>
      <c r="CG50" s="82"/>
      <c r="CH50" s="82"/>
      <c r="CI50" s="82"/>
      <c r="CJ50" s="82"/>
      <c r="CK50" s="82"/>
      <c r="CL50" s="82"/>
      <c r="CM50" s="82"/>
      <c r="CN50" s="82"/>
      <c r="CO50" s="82"/>
      <c r="CP50" s="82"/>
      <c r="CQ50" s="82"/>
      <c r="CR50" s="82"/>
      <c r="CS50" s="82"/>
      <c r="CT50" s="82"/>
      <c r="CU50" s="82"/>
      <c r="CV50" s="82"/>
      <c r="CW50" s="82"/>
      <c r="CX50" s="82"/>
      <c r="CY50" s="82"/>
      <c r="CZ50" s="82"/>
      <c r="DA50" s="82"/>
      <c r="DB50" s="82"/>
      <c r="DC50" s="82"/>
      <c r="DD50" s="82"/>
      <c r="DE50" s="82"/>
      <c r="DF50" s="82"/>
      <c r="DG50" s="82"/>
      <c r="DH50" s="82"/>
      <c r="DI50" s="82"/>
      <c r="DJ50" s="82"/>
      <c r="DK50" s="82"/>
      <c r="DL50" s="82"/>
      <c r="DM50" s="82"/>
      <c r="DN50" s="82"/>
      <c r="DO50" s="82"/>
      <c r="DP50" s="82"/>
      <c r="DQ50" s="82"/>
      <c r="DR50" s="82"/>
      <c r="DS50" s="82"/>
      <c r="DT50" s="82"/>
      <c r="DU50" s="82"/>
      <c r="DV50" s="82"/>
      <c r="DW50" s="82"/>
      <c r="DX50" s="82"/>
      <c r="DY50" s="82"/>
      <c r="DZ50" s="82"/>
      <c r="EA50" s="82"/>
      <c r="EB50" s="82"/>
      <c r="EC50" s="82"/>
      <c r="ED50" s="82"/>
      <c r="EE50" s="82"/>
      <c r="EF50" s="82"/>
      <c r="EG50" s="82"/>
      <c r="EH50" s="82"/>
      <c r="EI50" s="82"/>
      <c r="EJ50" s="82"/>
      <c r="EK50" s="82"/>
      <c r="EL50" s="82"/>
      <c r="EM50" s="82"/>
      <c r="EN50" s="82"/>
      <c r="EO50" s="82"/>
      <c r="EP50" s="82"/>
      <c r="EQ50" s="82"/>
      <c r="ER50" s="82"/>
      <c r="ES50" s="82"/>
      <c r="ET50" s="82"/>
      <c r="EU50" s="82"/>
      <c r="EV50" s="82"/>
      <c r="EW50" s="82"/>
      <c r="EX50" s="82"/>
      <c r="EY50" s="82"/>
      <c r="EZ50" s="82"/>
      <c r="FA50" s="82"/>
      <c r="FB50" s="82"/>
      <c r="FC50" s="82"/>
      <c r="FD50" s="82"/>
      <c r="FE50" s="82"/>
      <c r="FF50" s="82"/>
      <c r="FG50" s="82"/>
      <c r="FH50" s="82"/>
      <c r="FI50" s="82"/>
      <c r="FJ50" s="82"/>
      <c r="FK50" s="82"/>
      <c r="FL50" s="82"/>
      <c r="FM50" s="82"/>
      <c r="FN50" s="82"/>
      <c r="FO50" s="82"/>
      <c r="FP50" s="82"/>
      <c r="FQ50" s="82"/>
      <c r="FR50" s="82"/>
      <c r="FS50" s="82"/>
      <c r="FT50" s="82"/>
      <c r="FU50" s="82"/>
      <c r="FV50" s="82"/>
      <c r="FW50" s="82"/>
      <c r="FX50" s="82"/>
      <c r="FY50" s="82"/>
      <c r="FZ50" s="82"/>
      <c r="GA50" s="82"/>
      <c r="GB50" s="82"/>
      <c r="GC50" s="82"/>
      <c r="GD50" s="82"/>
      <c r="GE50" s="82"/>
      <c r="GF50" s="82"/>
      <c r="GG50" s="82"/>
      <c r="GH50" s="82"/>
      <c r="GI50" s="82"/>
      <c r="GJ50" s="82"/>
      <c r="GK50" s="82"/>
      <c r="GL50" s="82"/>
      <c r="GM50" s="82"/>
      <c r="GN50" s="82"/>
      <c r="GO50" s="82"/>
      <c r="GP50" s="82"/>
      <c r="GQ50" s="82"/>
      <c r="GR50" s="82"/>
      <c r="GS50" s="82"/>
      <c r="GT50" s="82"/>
      <c r="GU50" s="82"/>
      <c r="GV50" s="82"/>
      <c r="GW50" s="82"/>
      <c r="GX50" s="82"/>
      <c r="GY50" s="82"/>
      <c r="GZ50" s="82"/>
      <c r="HA50" s="82"/>
      <c r="HB50" s="82"/>
      <c r="HC50" s="82"/>
      <c r="HD50" s="82"/>
      <c r="HE50" s="82"/>
      <c r="HF50" s="82"/>
      <c r="HG50" s="82"/>
      <c r="HH50" s="82"/>
      <c r="HI50" s="82"/>
    </row>
    <row r="51" spans="1:217" s="83" customFormat="1" ht="17.649999999999999" thickBot="1" x14ac:dyDescent="0.5">
      <c r="A51" s="59">
        <v>34</v>
      </c>
      <c r="B51" s="60">
        <v>20</v>
      </c>
      <c r="C51" s="61">
        <v>0.5</v>
      </c>
      <c r="D51" s="62">
        <v>5</v>
      </c>
      <c r="E51" s="63">
        <v>5</v>
      </c>
      <c r="F51" s="64"/>
      <c r="G51" s="65"/>
      <c r="H51" s="65"/>
      <c r="I51" s="66" t="b">
        <f>IF(Tableau45[[#This Row],[ANFO]]&lt;&gt;0,Tableau45[[#This Row],[Ht]]-INDEX(T_BdD[hauteur en m],MATCH(Tableau45[[#This Row],[ANFO]],T_BdD[Kilos],0)))</f>
        <v>0</v>
      </c>
      <c r="J51" s="67">
        <v>2</v>
      </c>
      <c r="K51" s="68">
        <f t="shared" si="0"/>
        <v>0</v>
      </c>
      <c r="L51" s="69">
        <f t="shared" si="1"/>
        <v>0</v>
      </c>
      <c r="M51" s="70">
        <f>Tableau45[[#This Row],[hauteur]]-Tableau45[[#This Row],[bourrage]]</f>
        <v>-2</v>
      </c>
      <c r="N51" s="60"/>
      <c r="O51" s="60"/>
      <c r="P51" s="71"/>
      <c r="Q51" s="72"/>
      <c r="R51" s="60"/>
      <c r="S51" s="71"/>
      <c r="T51" s="72"/>
      <c r="U51" s="73"/>
      <c r="V51" s="71"/>
      <c r="W51" s="72"/>
      <c r="X51" s="60"/>
      <c r="Y51" s="71"/>
      <c r="Z51" s="72"/>
      <c r="AA51" s="60"/>
      <c r="AB51" s="71"/>
      <c r="AC51" s="72"/>
      <c r="AD51" s="60"/>
      <c r="AE51" s="84">
        <f t="shared" si="6"/>
        <v>0</v>
      </c>
      <c r="AF51" s="85">
        <f t="shared" si="2"/>
        <v>0</v>
      </c>
      <c r="AG51" s="76">
        <f t="shared" si="3"/>
        <v>0</v>
      </c>
      <c r="AH51" s="77">
        <f t="shared" si="4"/>
        <v>0</v>
      </c>
      <c r="AI51" s="29">
        <f t="shared" si="5"/>
        <v>0</v>
      </c>
      <c r="AJ51" s="82"/>
      <c r="AK51" s="104"/>
      <c r="AL51" s="82"/>
      <c r="AM51" s="82"/>
      <c r="AN51" s="82"/>
      <c r="AO51" s="82"/>
      <c r="AP51" s="82"/>
      <c r="AQ51" s="82"/>
      <c r="AR51" s="82"/>
      <c r="AS51" s="82"/>
      <c r="AT51" s="82"/>
      <c r="AU51" s="82"/>
      <c r="AV51" s="82"/>
      <c r="AW51" s="82"/>
      <c r="AX51" s="82"/>
      <c r="AY51" s="82"/>
      <c r="AZ51" s="82"/>
      <c r="BA51" s="82"/>
      <c r="BB51" s="82"/>
      <c r="BC51" s="82"/>
      <c r="BD51" s="82"/>
      <c r="BE51" s="82"/>
      <c r="BF51" s="82"/>
      <c r="BG51" s="82"/>
      <c r="BH51" s="82"/>
      <c r="BI51" s="82"/>
      <c r="BJ51" s="82"/>
      <c r="BK51" s="82"/>
      <c r="BL51" s="82"/>
      <c r="BM51" s="82"/>
      <c r="BN51" s="82"/>
      <c r="BO51" s="82"/>
      <c r="BP51" s="82"/>
      <c r="BQ51" s="82"/>
      <c r="BR51" s="82"/>
      <c r="BS51" s="82"/>
      <c r="BT51" s="82"/>
      <c r="BU51" s="82"/>
      <c r="BV51" s="82"/>
      <c r="BW51" s="82"/>
      <c r="BX51" s="82"/>
      <c r="BY51" s="82"/>
      <c r="BZ51" s="82"/>
      <c r="CA51" s="82"/>
      <c r="CB51" s="82"/>
      <c r="CC51" s="82"/>
      <c r="CD51" s="82"/>
      <c r="CE51" s="82"/>
      <c r="CF51" s="82"/>
      <c r="CG51" s="82"/>
      <c r="CH51" s="82"/>
      <c r="CI51" s="82"/>
      <c r="CJ51" s="82"/>
      <c r="CK51" s="82"/>
      <c r="CL51" s="82"/>
      <c r="CM51" s="82"/>
      <c r="CN51" s="82"/>
      <c r="CO51" s="82"/>
      <c r="CP51" s="82"/>
      <c r="CQ51" s="82"/>
      <c r="CR51" s="82"/>
      <c r="CS51" s="82"/>
      <c r="CT51" s="82"/>
      <c r="CU51" s="82"/>
      <c r="CV51" s="82"/>
      <c r="CW51" s="82"/>
      <c r="CX51" s="82"/>
      <c r="CY51" s="82"/>
      <c r="CZ51" s="82"/>
      <c r="DA51" s="82"/>
      <c r="DB51" s="82"/>
      <c r="DC51" s="82"/>
      <c r="DD51" s="82"/>
      <c r="DE51" s="82"/>
      <c r="DF51" s="82"/>
      <c r="DG51" s="82"/>
      <c r="DH51" s="82"/>
      <c r="DI51" s="82"/>
      <c r="DJ51" s="82"/>
      <c r="DK51" s="82"/>
      <c r="DL51" s="82"/>
      <c r="DM51" s="82"/>
      <c r="DN51" s="82"/>
      <c r="DO51" s="82"/>
      <c r="DP51" s="82"/>
      <c r="DQ51" s="82"/>
      <c r="DR51" s="82"/>
      <c r="DS51" s="82"/>
      <c r="DT51" s="82"/>
      <c r="DU51" s="82"/>
      <c r="DV51" s="82"/>
      <c r="DW51" s="82"/>
      <c r="DX51" s="82"/>
      <c r="DY51" s="82"/>
      <c r="DZ51" s="82"/>
      <c r="EA51" s="82"/>
      <c r="EB51" s="82"/>
      <c r="EC51" s="82"/>
      <c r="ED51" s="82"/>
      <c r="EE51" s="82"/>
      <c r="EF51" s="82"/>
      <c r="EG51" s="82"/>
      <c r="EH51" s="82"/>
      <c r="EI51" s="82"/>
      <c r="EJ51" s="82"/>
      <c r="EK51" s="82"/>
      <c r="EL51" s="82"/>
      <c r="EM51" s="82"/>
      <c r="EN51" s="82"/>
      <c r="EO51" s="82"/>
      <c r="EP51" s="82"/>
      <c r="EQ51" s="82"/>
      <c r="ER51" s="82"/>
      <c r="ES51" s="82"/>
      <c r="ET51" s="82"/>
      <c r="EU51" s="82"/>
      <c r="EV51" s="82"/>
      <c r="EW51" s="82"/>
      <c r="EX51" s="82"/>
      <c r="EY51" s="82"/>
      <c r="EZ51" s="82"/>
      <c r="FA51" s="82"/>
      <c r="FB51" s="82"/>
      <c r="FC51" s="82"/>
      <c r="FD51" s="82"/>
      <c r="FE51" s="82"/>
      <c r="FF51" s="82"/>
      <c r="FG51" s="82"/>
      <c r="FH51" s="82"/>
      <c r="FI51" s="82"/>
      <c r="FJ51" s="82"/>
      <c r="FK51" s="82"/>
      <c r="FL51" s="82"/>
      <c r="FM51" s="82"/>
      <c r="FN51" s="82"/>
      <c r="FO51" s="82"/>
      <c r="FP51" s="82"/>
      <c r="FQ51" s="82"/>
      <c r="FR51" s="82"/>
      <c r="FS51" s="82"/>
      <c r="FT51" s="82"/>
      <c r="FU51" s="82"/>
      <c r="FV51" s="82"/>
      <c r="FW51" s="82"/>
      <c r="FX51" s="82"/>
      <c r="FY51" s="82"/>
      <c r="FZ51" s="82"/>
      <c r="GA51" s="82"/>
      <c r="GB51" s="82"/>
      <c r="GC51" s="82"/>
      <c r="GD51" s="82"/>
      <c r="GE51" s="82"/>
      <c r="GF51" s="82"/>
      <c r="GG51" s="82"/>
      <c r="GH51" s="82"/>
      <c r="GI51" s="82"/>
      <c r="GJ51" s="82"/>
      <c r="GK51" s="82"/>
      <c r="GL51" s="82"/>
      <c r="GM51" s="82"/>
      <c r="GN51" s="82"/>
      <c r="GO51" s="82"/>
      <c r="GP51" s="82"/>
      <c r="GQ51" s="82"/>
      <c r="GR51" s="82"/>
      <c r="GS51" s="82"/>
      <c r="GT51" s="82"/>
      <c r="GU51" s="82"/>
      <c r="GV51" s="82"/>
      <c r="GW51" s="82"/>
      <c r="GX51" s="82"/>
      <c r="GY51" s="82"/>
      <c r="GZ51" s="82"/>
      <c r="HA51" s="82"/>
      <c r="HB51" s="82"/>
      <c r="HC51" s="82"/>
      <c r="HD51" s="82"/>
      <c r="HE51" s="82"/>
      <c r="HF51" s="82"/>
      <c r="HG51" s="82"/>
      <c r="HH51" s="82"/>
      <c r="HI51" s="82"/>
    </row>
    <row r="52" spans="1:217" s="83" customFormat="1" ht="17.649999999999999" thickBot="1" x14ac:dyDescent="0.5">
      <c r="A52" s="59">
        <v>35</v>
      </c>
      <c r="B52" s="60">
        <v>20</v>
      </c>
      <c r="C52" s="61">
        <v>0.5</v>
      </c>
      <c r="D52" s="62">
        <v>5</v>
      </c>
      <c r="E52" s="63">
        <v>5</v>
      </c>
      <c r="F52" s="64"/>
      <c r="G52" s="65"/>
      <c r="H52" s="65"/>
      <c r="I52" s="66" t="b">
        <f>IF(Tableau45[[#This Row],[ANFO]]&lt;&gt;0,Tableau45[[#This Row],[Ht]]-INDEX(T_BdD[hauteur en m],MATCH(Tableau45[[#This Row],[ANFO]],T_BdD[Kilos],0)))</f>
        <v>0</v>
      </c>
      <c r="J52" s="67">
        <v>2</v>
      </c>
      <c r="K52" s="68">
        <f t="shared" si="0"/>
        <v>0</v>
      </c>
      <c r="L52" s="69">
        <f t="shared" si="1"/>
        <v>0</v>
      </c>
      <c r="M52" s="70">
        <f>Tableau45[[#This Row],[hauteur]]-Tableau45[[#This Row],[bourrage]]</f>
        <v>-2</v>
      </c>
      <c r="N52" s="60"/>
      <c r="O52" s="60"/>
      <c r="P52" s="71"/>
      <c r="Q52" s="72"/>
      <c r="R52" s="60"/>
      <c r="S52" s="71"/>
      <c r="T52" s="72"/>
      <c r="U52" s="73"/>
      <c r="V52" s="71"/>
      <c r="W52" s="72"/>
      <c r="X52" s="60"/>
      <c r="Y52" s="71"/>
      <c r="Z52" s="72"/>
      <c r="AA52" s="60"/>
      <c r="AB52" s="71"/>
      <c r="AC52" s="72"/>
      <c r="AD52" s="60"/>
      <c r="AE52" s="84">
        <f t="shared" si="6"/>
        <v>0</v>
      </c>
      <c r="AF52" s="85">
        <f t="shared" si="2"/>
        <v>0</v>
      </c>
      <c r="AG52" s="76">
        <f t="shared" si="3"/>
        <v>0</v>
      </c>
      <c r="AH52" s="77">
        <f t="shared" si="4"/>
        <v>0</v>
      </c>
      <c r="AI52" s="29">
        <f t="shared" si="5"/>
        <v>0</v>
      </c>
      <c r="AJ52" s="82"/>
      <c r="AK52" s="104"/>
      <c r="AL52" s="82"/>
      <c r="AM52" s="82"/>
      <c r="AN52" s="82"/>
      <c r="AO52" s="82"/>
      <c r="AP52" s="82"/>
      <c r="AQ52" s="82"/>
      <c r="AR52" s="82"/>
      <c r="AS52" s="82"/>
      <c r="AT52" s="82"/>
      <c r="AU52" s="82"/>
      <c r="AV52" s="82"/>
      <c r="AW52" s="82"/>
      <c r="AX52" s="82"/>
      <c r="AY52" s="82"/>
      <c r="AZ52" s="82"/>
      <c r="BA52" s="82"/>
      <c r="BB52" s="82"/>
      <c r="BC52" s="82"/>
      <c r="BD52" s="82"/>
      <c r="BE52" s="82"/>
      <c r="BF52" s="82"/>
      <c r="BG52" s="82"/>
      <c r="BH52" s="82"/>
      <c r="BI52" s="82"/>
      <c r="BJ52" s="82"/>
      <c r="BK52" s="82"/>
      <c r="BL52" s="82"/>
      <c r="BM52" s="82"/>
      <c r="BN52" s="82"/>
      <c r="BO52" s="82"/>
      <c r="BP52" s="82"/>
      <c r="BQ52" s="82"/>
      <c r="BR52" s="82"/>
      <c r="BS52" s="82"/>
      <c r="BT52" s="82"/>
      <c r="BU52" s="82"/>
      <c r="BV52" s="82"/>
      <c r="BW52" s="82"/>
      <c r="BX52" s="82"/>
      <c r="BY52" s="82"/>
      <c r="BZ52" s="82"/>
      <c r="CA52" s="82"/>
      <c r="CB52" s="82"/>
      <c r="CC52" s="82"/>
      <c r="CD52" s="82"/>
      <c r="CE52" s="82"/>
      <c r="CF52" s="82"/>
      <c r="CG52" s="82"/>
      <c r="CH52" s="82"/>
      <c r="CI52" s="82"/>
      <c r="CJ52" s="82"/>
      <c r="CK52" s="82"/>
      <c r="CL52" s="82"/>
      <c r="CM52" s="82"/>
      <c r="CN52" s="82"/>
      <c r="CO52" s="82"/>
      <c r="CP52" s="82"/>
      <c r="CQ52" s="82"/>
      <c r="CR52" s="82"/>
      <c r="CS52" s="82"/>
      <c r="CT52" s="82"/>
      <c r="CU52" s="82"/>
      <c r="CV52" s="82"/>
      <c r="CW52" s="82"/>
      <c r="CX52" s="82"/>
      <c r="CY52" s="82"/>
      <c r="CZ52" s="82"/>
      <c r="DA52" s="82"/>
      <c r="DB52" s="82"/>
      <c r="DC52" s="82"/>
      <c r="DD52" s="82"/>
      <c r="DE52" s="82"/>
      <c r="DF52" s="82"/>
      <c r="DG52" s="82"/>
      <c r="DH52" s="82"/>
      <c r="DI52" s="82"/>
      <c r="DJ52" s="82"/>
      <c r="DK52" s="82"/>
      <c r="DL52" s="82"/>
      <c r="DM52" s="82"/>
      <c r="DN52" s="82"/>
      <c r="DO52" s="82"/>
      <c r="DP52" s="82"/>
      <c r="DQ52" s="82"/>
      <c r="DR52" s="82"/>
      <c r="DS52" s="82"/>
      <c r="DT52" s="82"/>
      <c r="DU52" s="82"/>
      <c r="DV52" s="82"/>
      <c r="DW52" s="82"/>
      <c r="DX52" s="82"/>
      <c r="DY52" s="82"/>
      <c r="DZ52" s="82"/>
      <c r="EA52" s="82"/>
      <c r="EB52" s="82"/>
      <c r="EC52" s="82"/>
      <c r="ED52" s="82"/>
      <c r="EE52" s="82"/>
      <c r="EF52" s="82"/>
      <c r="EG52" s="82"/>
      <c r="EH52" s="82"/>
      <c r="EI52" s="82"/>
      <c r="EJ52" s="82"/>
      <c r="EK52" s="82"/>
      <c r="EL52" s="82"/>
      <c r="EM52" s="82"/>
      <c r="EN52" s="82"/>
      <c r="EO52" s="82"/>
      <c r="EP52" s="82"/>
      <c r="EQ52" s="82"/>
      <c r="ER52" s="82"/>
      <c r="ES52" s="82"/>
      <c r="ET52" s="82"/>
      <c r="EU52" s="82"/>
      <c r="EV52" s="82"/>
      <c r="EW52" s="82"/>
      <c r="EX52" s="82"/>
      <c r="EY52" s="82"/>
      <c r="EZ52" s="82"/>
      <c r="FA52" s="82"/>
      <c r="FB52" s="82"/>
      <c r="FC52" s="82"/>
      <c r="FD52" s="82"/>
      <c r="FE52" s="82"/>
      <c r="FF52" s="82"/>
      <c r="FG52" s="82"/>
      <c r="FH52" s="82"/>
      <c r="FI52" s="82"/>
      <c r="FJ52" s="82"/>
      <c r="FK52" s="82"/>
      <c r="FL52" s="82"/>
      <c r="FM52" s="82"/>
      <c r="FN52" s="82"/>
      <c r="FO52" s="82"/>
      <c r="FP52" s="82"/>
      <c r="FQ52" s="82"/>
      <c r="FR52" s="82"/>
      <c r="FS52" s="82"/>
      <c r="FT52" s="82"/>
      <c r="FU52" s="82"/>
      <c r="FV52" s="82"/>
      <c r="FW52" s="82"/>
      <c r="FX52" s="82"/>
      <c r="FY52" s="82"/>
      <c r="FZ52" s="82"/>
      <c r="GA52" s="82"/>
      <c r="GB52" s="82"/>
      <c r="GC52" s="82"/>
      <c r="GD52" s="82"/>
      <c r="GE52" s="82"/>
      <c r="GF52" s="82"/>
      <c r="GG52" s="82"/>
      <c r="GH52" s="82"/>
      <c r="GI52" s="82"/>
      <c r="GJ52" s="82"/>
      <c r="GK52" s="82"/>
      <c r="GL52" s="82"/>
      <c r="GM52" s="82"/>
      <c r="GN52" s="82"/>
      <c r="GO52" s="82"/>
      <c r="GP52" s="82"/>
      <c r="GQ52" s="82"/>
      <c r="GR52" s="82"/>
      <c r="GS52" s="82"/>
      <c r="GT52" s="82"/>
      <c r="GU52" s="82"/>
      <c r="GV52" s="82"/>
      <c r="GW52" s="82"/>
      <c r="GX52" s="82"/>
      <c r="GY52" s="82"/>
      <c r="GZ52" s="82"/>
      <c r="HA52" s="82"/>
      <c r="HB52" s="82"/>
      <c r="HC52" s="82"/>
      <c r="HD52" s="82"/>
      <c r="HE52" s="82"/>
      <c r="HF52" s="82"/>
      <c r="HG52" s="82"/>
      <c r="HH52" s="82"/>
      <c r="HI52" s="82"/>
    </row>
    <row r="53" spans="1:217" s="83" customFormat="1" ht="17.649999999999999" thickBot="1" x14ac:dyDescent="0.5">
      <c r="A53" s="59">
        <v>36</v>
      </c>
      <c r="B53" s="60">
        <v>20</v>
      </c>
      <c r="C53" s="61">
        <v>0.5</v>
      </c>
      <c r="D53" s="62">
        <v>5</v>
      </c>
      <c r="E53" s="63">
        <v>5</v>
      </c>
      <c r="F53" s="64"/>
      <c r="G53" s="65"/>
      <c r="H53" s="65"/>
      <c r="I53" s="66" t="b">
        <f>IF(Tableau45[[#This Row],[ANFO]]&lt;&gt;0,Tableau45[[#This Row],[Ht]]-INDEX(T_BdD[hauteur en m],MATCH(Tableau45[[#This Row],[ANFO]],T_BdD[Kilos],0)))</f>
        <v>0</v>
      </c>
      <c r="J53" s="67">
        <v>2</v>
      </c>
      <c r="K53" s="68">
        <f t="shared" si="0"/>
        <v>0</v>
      </c>
      <c r="L53" s="69">
        <f t="shared" si="1"/>
        <v>0</v>
      </c>
      <c r="M53" s="70">
        <f>Tableau45[[#This Row],[hauteur]]-Tableau45[[#This Row],[bourrage]]</f>
        <v>-2</v>
      </c>
      <c r="N53" s="60"/>
      <c r="O53" s="60"/>
      <c r="P53" s="71"/>
      <c r="Q53" s="72"/>
      <c r="R53" s="60"/>
      <c r="S53" s="71"/>
      <c r="T53" s="72"/>
      <c r="U53" s="73"/>
      <c r="V53" s="71"/>
      <c r="W53" s="72"/>
      <c r="X53" s="60"/>
      <c r="Y53" s="71"/>
      <c r="Z53" s="72"/>
      <c r="AA53" s="60"/>
      <c r="AB53" s="71"/>
      <c r="AC53" s="72"/>
      <c r="AD53" s="60"/>
      <c r="AE53" s="84">
        <f t="shared" si="6"/>
        <v>0</v>
      </c>
      <c r="AF53" s="85">
        <f t="shared" si="2"/>
        <v>0</v>
      </c>
      <c r="AG53" s="76">
        <f t="shared" si="3"/>
        <v>0</v>
      </c>
      <c r="AH53" s="77">
        <f t="shared" si="4"/>
        <v>0</v>
      </c>
      <c r="AI53" s="29">
        <f t="shared" si="5"/>
        <v>0</v>
      </c>
      <c r="AJ53" s="82"/>
      <c r="AK53" s="104"/>
      <c r="AL53" s="82"/>
      <c r="AM53" s="82"/>
      <c r="AN53" s="82"/>
      <c r="AO53" s="82"/>
      <c r="AP53" s="82"/>
      <c r="AQ53" s="82"/>
      <c r="AR53" s="82"/>
      <c r="AS53" s="82"/>
      <c r="AT53" s="82"/>
      <c r="AU53" s="82"/>
      <c r="AV53" s="82"/>
      <c r="AW53" s="82"/>
      <c r="AX53" s="82"/>
      <c r="AY53" s="82"/>
      <c r="AZ53" s="82"/>
      <c r="BA53" s="82"/>
      <c r="BB53" s="82"/>
      <c r="BC53" s="82"/>
      <c r="BD53" s="82"/>
      <c r="BE53" s="82"/>
      <c r="BF53" s="82"/>
      <c r="BG53" s="82"/>
      <c r="BH53" s="82"/>
      <c r="BI53" s="82"/>
      <c r="BJ53" s="82"/>
      <c r="BK53" s="82"/>
      <c r="BL53" s="82"/>
      <c r="BM53" s="82"/>
      <c r="BN53" s="82"/>
      <c r="BO53" s="82"/>
      <c r="BP53" s="82"/>
      <c r="BQ53" s="82"/>
      <c r="BR53" s="82"/>
      <c r="BS53" s="82"/>
      <c r="BT53" s="82"/>
      <c r="BU53" s="82"/>
      <c r="BV53" s="82"/>
      <c r="BW53" s="82"/>
      <c r="BX53" s="82"/>
      <c r="BY53" s="82"/>
      <c r="BZ53" s="82"/>
      <c r="CA53" s="82"/>
      <c r="CB53" s="82"/>
      <c r="CC53" s="82"/>
      <c r="CD53" s="82"/>
      <c r="CE53" s="82"/>
      <c r="CF53" s="82"/>
      <c r="CG53" s="82"/>
      <c r="CH53" s="82"/>
      <c r="CI53" s="82"/>
      <c r="CJ53" s="82"/>
      <c r="CK53" s="82"/>
      <c r="CL53" s="82"/>
      <c r="CM53" s="82"/>
      <c r="CN53" s="82"/>
      <c r="CO53" s="82"/>
      <c r="CP53" s="82"/>
      <c r="CQ53" s="82"/>
      <c r="CR53" s="82"/>
      <c r="CS53" s="82"/>
      <c r="CT53" s="82"/>
      <c r="CU53" s="82"/>
      <c r="CV53" s="82"/>
      <c r="CW53" s="82"/>
      <c r="CX53" s="82"/>
      <c r="CY53" s="82"/>
      <c r="CZ53" s="82"/>
      <c r="DA53" s="82"/>
      <c r="DB53" s="82"/>
      <c r="DC53" s="82"/>
      <c r="DD53" s="82"/>
      <c r="DE53" s="82"/>
      <c r="DF53" s="82"/>
      <c r="DG53" s="82"/>
      <c r="DH53" s="82"/>
      <c r="DI53" s="82"/>
      <c r="DJ53" s="82"/>
      <c r="DK53" s="82"/>
      <c r="DL53" s="82"/>
      <c r="DM53" s="82"/>
      <c r="DN53" s="82"/>
      <c r="DO53" s="82"/>
      <c r="DP53" s="82"/>
      <c r="DQ53" s="82"/>
      <c r="DR53" s="82"/>
      <c r="DS53" s="82"/>
      <c r="DT53" s="82"/>
      <c r="DU53" s="82"/>
      <c r="DV53" s="82"/>
      <c r="DW53" s="82"/>
      <c r="DX53" s="82"/>
      <c r="DY53" s="82"/>
      <c r="DZ53" s="82"/>
      <c r="EA53" s="82"/>
      <c r="EB53" s="82"/>
      <c r="EC53" s="82"/>
      <c r="ED53" s="82"/>
      <c r="EE53" s="82"/>
      <c r="EF53" s="82"/>
      <c r="EG53" s="82"/>
      <c r="EH53" s="82"/>
      <c r="EI53" s="82"/>
      <c r="EJ53" s="82"/>
      <c r="EK53" s="82"/>
      <c r="EL53" s="82"/>
      <c r="EM53" s="82"/>
      <c r="EN53" s="82"/>
      <c r="EO53" s="82"/>
      <c r="EP53" s="82"/>
      <c r="EQ53" s="82"/>
      <c r="ER53" s="82"/>
      <c r="ES53" s="82"/>
      <c r="ET53" s="82"/>
      <c r="EU53" s="82"/>
      <c r="EV53" s="82"/>
      <c r="EW53" s="82"/>
      <c r="EX53" s="82"/>
      <c r="EY53" s="82"/>
      <c r="EZ53" s="82"/>
      <c r="FA53" s="82"/>
      <c r="FB53" s="82"/>
      <c r="FC53" s="82"/>
      <c r="FD53" s="82"/>
      <c r="FE53" s="82"/>
      <c r="FF53" s="82"/>
      <c r="FG53" s="82"/>
      <c r="FH53" s="82"/>
      <c r="FI53" s="82"/>
      <c r="FJ53" s="82"/>
      <c r="FK53" s="82"/>
      <c r="FL53" s="82"/>
      <c r="FM53" s="82"/>
      <c r="FN53" s="82"/>
      <c r="FO53" s="82"/>
      <c r="FP53" s="82"/>
      <c r="FQ53" s="82"/>
      <c r="FR53" s="82"/>
      <c r="FS53" s="82"/>
      <c r="FT53" s="82"/>
      <c r="FU53" s="82"/>
      <c r="FV53" s="82"/>
      <c r="FW53" s="82"/>
      <c r="FX53" s="82"/>
      <c r="FY53" s="82"/>
      <c r="FZ53" s="82"/>
      <c r="GA53" s="82"/>
      <c r="GB53" s="82"/>
      <c r="GC53" s="82"/>
      <c r="GD53" s="82"/>
      <c r="GE53" s="82"/>
      <c r="GF53" s="82"/>
      <c r="GG53" s="82"/>
      <c r="GH53" s="82"/>
      <c r="GI53" s="82"/>
      <c r="GJ53" s="82"/>
      <c r="GK53" s="82"/>
      <c r="GL53" s="82"/>
      <c r="GM53" s="82"/>
      <c r="GN53" s="82"/>
      <c r="GO53" s="82"/>
      <c r="GP53" s="82"/>
      <c r="GQ53" s="82"/>
      <c r="GR53" s="82"/>
      <c r="GS53" s="82"/>
      <c r="GT53" s="82"/>
      <c r="GU53" s="82"/>
      <c r="GV53" s="82"/>
      <c r="GW53" s="82"/>
      <c r="GX53" s="82"/>
      <c r="GY53" s="82"/>
      <c r="GZ53" s="82"/>
      <c r="HA53" s="82"/>
      <c r="HB53" s="82"/>
      <c r="HC53" s="82"/>
      <c r="HD53" s="82"/>
      <c r="HE53" s="82"/>
      <c r="HF53" s="82"/>
      <c r="HG53" s="82"/>
      <c r="HH53" s="82"/>
      <c r="HI53" s="82"/>
    </row>
    <row r="54" spans="1:217" s="83" customFormat="1" ht="17.649999999999999" thickBot="1" x14ac:dyDescent="0.5">
      <c r="A54" s="59">
        <v>37</v>
      </c>
      <c r="B54" s="60">
        <v>20</v>
      </c>
      <c r="C54" s="61">
        <v>0.5</v>
      </c>
      <c r="D54" s="62">
        <v>5</v>
      </c>
      <c r="E54" s="63">
        <v>5</v>
      </c>
      <c r="F54" s="64"/>
      <c r="G54" s="65"/>
      <c r="H54" s="65"/>
      <c r="I54" s="66" t="b">
        <f>IF(Tableau45[[#This Row],[ANFO]]&lt;&gt;0,Tableau45[[#This Row],[Ht]]-INDEX(T_BdD[hauteur en m],MATCH(Tableau45[[#This Row],[ANFO]],T_BdD[Kilos],0)))</f>
        <v>0</v>
      </c>
      <c r="J54" s="67">
        <v>2</v>
      </c>
      <c r="K54" s="68">
        <f t="shared" si="0"/>
        <v>0</v>
      </c>
      <c r="L54" s="69">
        <f t="shared" si="1"/>
        <v>0</v>
      </c>
      <c r="M54" s="70">
        <f>Tableau45[[#This Row],[hauteur]]-Tableau45[[#This Row],[bourrage]]</f>
        <v>-2</v>
      </c>
      <c r="N54" s="60"/>
      <c r="O54" s="60"/>
      <c r="P54" s="71"/>
      <c r="Q54" s="72"/>
      <c r="R54" s="60"/>
      <c r="S54" s="71"/>
      <c r="T54" s="72"/>
      <c r="U54" s="73"/>
      <c r="V54" s="71"/>
      <c r="W54" s="72"/>
      <c r="X54" s="60"/>
      <c r="Y54" s="71"/>
      <c r="Z54" s="72"/>
      <c r="AA54" s="60"/>
      <c r="AB54" s="71"/>
      <c r="AC54" s="72"/>
      <c r="AD54" s="60"/>
      <c r="AE54" s="84">
        <f t="shared" si="6"/>
        <v>0</v>
      </c>
      <c r="AF54" s="85">
        <f t="shared" si="2"/>
        <v>0</v>
      </c>
      <c r="AG54" s="76">
        <f t="shared" si="3"/>
        <v>0</v>
      </c>
      <c r="AH54" s="77">
        <f t="shared" si="4"/>
        <v>0</v>
      </c>
      <c r="AI54" s="29">
        <f t="shared" si="5"/>
        <v>0</v>
      </c>
      <c r="AJ54" s="82"/>
      <c r="AK54" s="104"/>
      <c r="AL54" s="82"/>
      <c r="AM54" s="82"/>
      <c r="AN54" s="82"/>
      <c r="AO54" s="82"/>
      <c r="AP54" s="82"/>
      <c r="AQ54" s="82"/>
      <c r="AR54" s="82"/>
      <c r="AS54" s="82"/>
      <c r="AT54" s="82"/>
      <c r="AU54" s="82"/>
      <c r="AV54" s="82"/>
      <c r="AW54" s="82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82"/>
      <c r="BM54" s="82"/>
      <c r="BN54" s="82"/>
      <c r="BO54" s="82"/>
      <c r="BP54" s="82"/>
      <c r="BQ54" s="82"/>
      <c r="BR54" s="82"/>
      <c r="BS54" s="82"/>
      <c r="BT54" s="82"/>
      <c r="BU54" s="82"/>
      <c r="BV54" s="82"/>
      <c r="BW54" s="82"/>
      <c r="BX54" s="82"/>
      <c r="BY54" s="82"/>
      <c r="BZ54" s="82"/>
      <c r="CA54" s="82"/>
      <c r="CB54" s="82"/>
      <c r="CC54" s="82"/>
      <c r="CD54" s="82"/>
      <c r="CE54" s="82"/>
      <c r="CF54" s="82"/>
      <c r="CG54" s="82"/>
      <c r="CH54" s="82"/>
      <c r="CI54" s="82"/>
      <c r="CJ54" s="82"/>
      <c r="CK54" s="82"/>
      <c r="CL54" s="82"/>
      <c r="CM54" s="82"/>
      <c r="CN54" s="82"/>
      <c r="CO54" s="82"/>
      <c r="CP54" s="82"/>
      <c r="CQ54" s="82"/>
      <c r="CR54" s="82"/>
      <c r="CS54" s="82"/>
      <c r="CT54" s="82"/>
      <c r="CU54" s="82"/>
      <c r="CV54" s="82"/>
      <c r="CW54" s="82"/>
      <c r="CX54" s="82"/>
      <c r="CY54" s="82"/>
      <c r="CZ54" s="82"/>
      <c r="DA54" s="82"/>
      <c r="DB54" s="82"/>
      <c r="DC54" s="82"/>
      <c r="DD54" s="82"/>
      <c r="DE54" s="82"/>
      <c r="DF54" s="82"/>
      <c r="DG54" s="82"/>
      <c r="DH54" s="82"/>
      <c r="DI54" s="82"/>
      <c r="DJ54" s="82"/>
      <c r="DK54" s="82"/>
      <c r="DL54" s="82"/>
      <c r="DM54" s="82"/>
      <c r="DN54" s="82"/>
      <c r="DO54" s="82"/>
      <c r="DP54" s="82"/>
      <c r="DQ54" s="82"/>
      <c r="DR54" s="82"/>
      <c r="DS54" s="82"/>
      <c r="DT54" s="82"/>
      <c r="DU54" s="82"/>
      <c r="DV54" s="82"/>
      <c r="DW54" s="82"/>
      <c r="DX54" s="82"/>
      <c r="DY54" s="82"/>
      <c r="DZ54" s="82"/>
      <c r="EA54" s="82"/>
      <c r="EB54" s="82"/>
      <c r="EC54" s="82"/>
      <c r="ED54" s="82"/>
      <c r="EE54" s="82"/>
      <c r="EF54" s="82"/>
      <c r="EG54" s="82"/>
      <c r="EH54" s="82"/>
      <c r="EI54" s="82"/>
      <c r="EJ54" s="82"/>
      <c r="EK54" s="82"/>
      <c r="EL54" s="82"/>
      <c r="EM54" s="82"/>
      <c r="EN54" s="82"/>
      <c r="EO54" s="82"/>
      <c r="EP54" s="82"/>
      <c r="EQ54" s="82"/>
      <c r="ER54" s="82"/>
      <c r="ES54" s="82"/>
      <c r="ET54" s="82"/>
      <c r="EU54" s="82"/>
      <c r="EV54" s="82"/>
      <c r="EW54" s="82"/>
      <c r="EX54" s="82"/>
      <c r="EY54" s="82"/>
      <c r="EZ54" s="82"/>
      <c r="FA54" s="82"/>
      <c r="FB54" s="82"/>
      <c r="FC54" s="82"/>
      <c r="FD54" s="82"/>
      <c r="FE54" s="82"/>
      <c r="FF54" s="82"/>
      <c r="FG54" s="82"/>
      <c r="FH54" s="82"/>
      <c r="FI54" s="82"/>
      <c r="FJ54" s="82"/>
      <c r="FK54" s="82"/>
      <c r="FL54" s="82"/>
      <c r="FM54" s="82"/>
      <c r="FN54" s="82"/>
      <c r="FO54" s="82"/>
      <c r="FP54" s="82"/>
      <c r="FQ54" s="82"/>
      <c r="FR54" s="82"/>
      <c r="FS54" s="82"/>
      <c r="FT54" s="82"/>
      <c r="FU54" s="82"/>
      <c r="FV54" s="82"/>
      <c r="FW54" s="82"/>
      <c r="FX54" s="82"/>
      <c r="FY54" s="82"/>
      <c r="FZ54" s="82"/>
      <c r="GA54" s="82"/>
      <c r="GB54" s="82"/>
      <c r="GC54" s="82"/>
      <c r="GD54" s="82"/>
      <c r="GE54" s="82"/>
      <c r="GF54" s="82"/>
      <c r="GG54" s="82"/>
      <c r="GH54" s="82"/>
      <c r="GI54" s="82"/>
      <c r="GJ54" s="82"/>
      <c r="GK54" s="82"/>
      <c r="GL54" s="82"/>
      <c r="GM54" s="82"/>
      <c r="GN54" s="82"/>
      <c r="GO54" s="82"/>
      <c r="GP54" s="82"/>
      <c r="GQ54" s="82"/>
      <c r="GR54" s="82"/>
      <c r="GS54" s="82"/>
      <c r="GT54" s="82"/>
      <c r="GU54" s="82"/>
      <c r="GV54" s="82"/>
      <c r="GW54" s="82"/>
      <c r="GX54" s="82"/>
      <c r="GY54" s="82"/>
      <c r="GZ54" s="82"/>
      <c r="HA54" s="82"/>
      <c r="HB54" s="82"/>
      <c r="HC54" s="82"/>
      <c r="HD54" s="82"/>
      <c r="HE54" s="82"/>
      <c r="HF54" s="82"/>
      <c r="HG54" s="82"/>
      <c r="HH54" s="82"/>
      <c r="HI54" s="82"/>
    </row>
    <row r="55" spans="1:217" s="83" customFormat="1" ht="17.649999999999999" thickBot="1" x14ac:dyDescent="0.5">
      <c r="A55" s="59">
        <v>38</v>
      </c>
      <c r="B55" s="60">
        <v>20</v>
      </c>
      <c r="C55" s="61">
        <v>0.5</v>
      </c>
      <c r="D55" s="62">
        <v>5</v>
      </c>
      <c r="E55" s="63">
        <v>5</v>
      </c>
      <c r="F55" s="64"/>
      <c r="G55" s="65"/>
      <c r="H55" s="65"/>
      <c r="I55" s="66" t="b">
        <f>IF(Tableau45[[#This Row],[ANFO]]&lt;&gt;0,Tableau45[[#This Row],[Ht]]-INDEX(T_BdD[hauteur en m],MATCH(Tableau45[[#This Row],[ANFO]],T_BdD[Kilos],0)))</f>
        <v>0</v>
      </c>
      <c r="J55" s="67">
        <v>2</v>
      </c>
      <c r="K55" s="68">
        <f t="shared" si="0"/>
        <v>0</v>
      </c>
      <c r="L55" s="69">
        <f t="shared" si="1"/>
        <v>0</v>
      </c>
      <c r="M55" s="70">
        <f>Tableau45[[#This Row],[hauteur]]-Tableau45[[#This Row],[bourrage]]</f>
        <v>-2</v>
      </c>
      <c r="N55" s="60"/>
      <c r="O55" s="60"/>
      <c r="P55" s="71"/>
      <c r="Q55" s="72"/>
      <c r="R55" s="60"/>
      <c r="S55" s="71"/>
      <c r="T55" s="72"/>
      <c r="U55" s="73"/>
      <c r="V55" s="71"/>
      <c r="W55" s="72"/>
      <c r="X55" s="60"/>
      <c r="Y55" s="71"/>
      <c r="Z55" s="72"/>
      <c r="AA55" s="60"/>
      <c r="AB55" s="71"/>
      <c r="AC55" s="72"/>
      <c r="AD55" s="60"/>
      <c r="AE55" s="84">
        <f t="shared" si="6"/>
        <v>0</v>
      </c>
      <c r="AF55" s="85">
        <f t="shared" si="2"/>
        <v>0</v>
      </c>
      <c r="AG55" s="76">
        <f t="shared" si="3"/>
        <v>0</v>
      </c>
      <c r="AH55" s="77">
        <f t="shared" si="4"/>
        <v>0</v>
      </c>
      <c r="AI55" s="29">
        <f t="shared" si="5"/>
        <v>0</v>
      </c>
      <c r="AJ55" s="82"/>
      <c r="AK55" s="104"/>
      <c r="AL55" s="82"/>
      <c r="AM55" s="82"/>
      <c r="AN55" s="82"/>
      <c r="AO55" s="82"/>
      <c r="AP55" s="82"/>
      <c r="AQ55" s="82"/>
      <c r="AR55" s="82"/>
      <c r="AS55" s="82"/>
      <c r="AT55" s="82"/>
      <c r="AU55" s="82"/>
      <c r="AV55" s="82"/>
      <c r="AW55" s="82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82"/>
      <c r="BQ55" s="82"/>
      <c r="BR55" s="82"/>
      <c r="BS55" s="82"/>
      <c r="BT55" s="82"/>
      <c r="BU55" s="82"/>
      <c r="BV55" s="82"/>
      <c r="BW55" s="82"/>
      <c r="BX55" s="82"/>
      <c r="BY55" s="82"/>
      <c r="BZ55" s="82"/>
      <c r="CA55" s="82"/>
      <c r="CB55" s="82"/>
      <c r="CC55" s="82"/>
      <c r="CD55" s="82"/>
      <c r="CE55" s="82"/>
      <c r="CF55" s="82"/>
      <c r="CG55" s="82"/>
      <c r="CH55" s="82"/>
      <c r="CI55" s="82"/>
      <c r="CJ55" s="82"/>
      <c r="CK55" s="82"/>
      <c r="CL55" s="82"/>
      <c r="CM55" s="82"/>
      <c r="CN55" s="82"/>
      <c r="CO55" s="82"/>
      <c r="CP55" s="82"/>
      <c r="CQ55" s="82"/>
      <c r="CR55" s="82"/>
      <c r="CS55" s="82"/>
      <c r="CT55" s="82"/>
      <c r="CU55" s="82"/>
      <c r="CV55" s="82"/>
      <c r="CW55" s="82"/>
      <c r="CX55" s="82"/>
      <c r="CY55" s="82"/>
      <c r="CZ55" s="82"/>
      <c r="DA55" s="82"/>
      <c r="DB55" s="82"/>
      <c r="DC55" s="82"/>
      <c r="DD55" s="82"/>
      <c r="DE55" s="82"/>
      <c r="DF55" s="82"/>
      <c r="DG55" s="82"/>
      <c r="DH55" s="82"/>
      <c r="DI55" s="82"/>
      <c r="DJ55" s="82"/>
      <c r="DK55" s="82"/>
      <c r="DL55" s="82"/>
      <c r="DM55" s="82"/>
      <c r="DN55" s="82"/>
      <c r="DO55" s="82"/>
      <c r="DP55" s="82"/>
      <c r="DQ55" s="82"/>
      <c r="DR55" s="82"/>
      <c r="DS55" s="82"/>
      <c r="DT55" s="82"/>
      <c r="DU55" s="82"/>
      <c r="DV55" s="82"/>
      <c r="DW55" s="82"/>
      <c r="DX55" s="82"/>
      <c r="DY55" s="82"/>
      <c r="DZ55" s="82"/>
      <c r="EA55" s="82"/>
      <c r="EB55" s="82"/>
      <c r="EC55" s="82"/>
      <c r="ED55" s="82"/>
      <c r="EE55" s="82"/>
      <c r="EF55" s="82"/>
      <c r="EG55" s="82"/>
      <c r="EH55" s="82"/>
      <c r="EI55" s="82"/>
      <c r="EJ55" s="82"/>
      <c r="EK55" s="82"/>
      <c r="EL55" s="82"/>
      <c r="EM55" s="82"/>
      <c r="EN55" s="82"/>
      <c r="EO55" s="82"/>
      <c r="EP55" s="82"/>
      <c r="EQ55" s="82"/>
      <c r="ER55" s="82"/>
      <c r="ES55" s="82"/>
      <c r="ET55" s="82"/>
      <c r="EU55" s="82"/>
      <c r="EV55" s="82"/>
      <c r="EW55" s="82"/>
      <c r="EX55" s="82"/>
      <c r="EY55" s="82"/>
      <c r="EZ55" s="82"/>
      <c r="FA55" s="82"/>
      <c r="FB55" s="82"/>
      <c r="FC55" s="82"/>
      <c r="FD55" s="82"/>
      <c r="FE55" s="82"/>
      <c r="FF55" s="82"/>
      <c r="FG55" s="82"/>
      <c r="FH55" s="82"/>
      <c r="FI55" s="82"/>
      <c r="FJ55" s="82"/>
      <c r="FK55" s="82"/>
      <c r="FL55" s="82"/>
      <c r="FM55" s="82"/>
      <c r="FN55" s="82"/>
      <c r="FO55" s="82"/>
      <c r="FP55" s="82"/>
      <c r="FQ55" s="82"/>
      <c r="FR55" s="82"/>
      <c r="FS55" s="82"/>
      <c r="FT55" s="82"/>
      <c r="FU55" s="82"/>
      <c r="FV55" s="82"/>
      <c r="FW55" s="82"/>
      <c r="FX55" s="82"/>
      <c r="FY55" s="82"/>
      <c r="FZ55" s="82"/>
      <c r="GA55" s="82"/>
      <c r="GB55" s="82"/>
      <c r="GC55" s="82"/>
      <c r="GD55" s="82"/>
      <c r="GE55" s="82"/>
      <c r="GF55" s="82"/>
      <c r="GG55" s="82"/>
      <c r="GH55" s="82"/>
      <c r="GI55" s="82"/>
      <c r="GJ55" s="82"/>
      <c r="GK55" s="82"/>
      <c r="GL55" s="82"/>
      <c r="GM55" s="82"/>
      <c r="GN55" s="82"/>
      <c r="GO55" s="82"/>
      <c r="GP55" s="82"/>
      <c r="GQ55" s="82"/>
      <c r="GR55" s="82"/>
      <c r="GS55" s="82"/>
      <c r="GT55" s="82"/>
      <c r="GU55" s="82"/>
      <c r="GV55" s="82"/>
      <c r="GW55" s="82"/>
      <c r="GX55" s="82"/>
      <c r="GY55" s="82"/>
      <c r="GZ55" s="82"/>
      <c r="HA55" s="82"/>
      <c r="HB55" s="82"/>
      <c r="HC55" s="82"/>
      <c r="HD55" s="82"/>
      <c r="HE55" s="82"/>
      <c r="HF55" s="82"/>
      <c r="HG55" s="82"/>
      <c r="HH55" s="82"/>
      <c r="HI55" s="82"/>
    </row>
    <row r="56" spans="1:217" s="83" customFormat="1" ht="17.649999999999999" thickBot="1" x14ac:dyDescent="0.5">
      <c r="A56" s="59">
        <v>39</v>
      </c>
      <c r="B56" s="105">
        <v>20</v>
      </c>
      <c r="C56" s="106">
        <v>0.5</v>
      </c>
      <c r="D56" s="107">
        <v>5</v>
      </c>
      <c r="E56" s="108">
        <v>5</v>
      </c>
      <c r="F56" s="64"/>
      <c r="G56" s="65"/>
      <c r="H56" s="65"/>
      <c r="I56" s="66" t="b">
        <f>IF(Tableau45[[#This Row],[ANFO]]&lt;&gt;0,Tableau45[[#This Row],[Ht]]-INDEX(T_BdD[hauteur en m],MATCH(Tableau45[[#This Row],[ANFO]],T_BdD[Kilos],0)))</f>
        <v>0</v>
      </c>
      <c r="J56" s="67">
        <v>2</v>
      </c>
      <c r="K56" s="68">
        <f t="shared" si="0"/>
        <v>0</v>
      </c>
      <c r="L56" s="69">
        <f t="shared" si="1"/>
        <v>0</v>
      </c>
      <c r="M56" s="70">
        <f>Tableau45[[#This Row],[hauteur]]-Tableau45[[#This Row],[bourrage]]</f>
        <v>-2</v>
      </c>
      <c r="N56" s="60"/>
      <c r="O56" s="60"/>
      <c r="P56" s="71"/>
      <c r="Q56" s="72"/>
      <c r="R56" s="60"/>
      <c r="S56" s="71"/>
      <c r="T56" s="72"/>
      <c r="U56" s="73"/>
      <c r="V56" s="71"/>
      <c r="W56" s="72"/>
      <c r="X56" s="60"/>
      <c r="Y56" s="71"/>
      <c r="Z56" s="72"/>
      <c r="AA56" s="60"/>
      <c r="AB56" s="71"/>
      <c r="AC56" s="72"/>
      <c r="AD56" s="60"/>
      <c r="AE56" s="84">
        <f t="shared" si="6"/>
        <v>0</v>
      </c>
      <c r="AF56" s="85">
        <f t="shared" si="2"/>
        <v>0</v>
      </c>
      <c r="AG56" s="76">
        <f t="shared" si="3"/>
        <v>0</v>
      </c>
      <c r="AH56" s="77">
        <f t="shared" si="4"/>
        <v>0</v>
      </c>
      <c r="AI56" s="29">
        <f t="shared" si="5"/>
        <v>0</v>
      </c>
      <c r="AJ56" s="82"/>
      <c r="AK56" s="104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82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82"/>
      <c r="BQ56" s="82"/>
      <c r="BR56" s="82"/>
      <c r="BS56" s="82"/>
      <c r="BT56" s="82"/>
      <c r="BU56" s="82"/>
      <c r="BV56" s="82"/>
      <c r="BW56" s="82"/>
      <c r="BX56" s="82"/>
      <c r="BY56" s="82"/>
      <c r="BZ56" s="82"/>
      <c r="CA56" s="82"/>
      <c r="CB56" s="82"/>
      <c r="CC56" s="82"/>
      <c r="CD56" s="82"/>
      <c r="CE56" s="82"/>
      <c r="CF56" s="82"/>
      <c r="CG56" s="82"/>
      <c r="CH56" s="82"/>
      <c r="CI56" s="82"/>
      <c r="CJ56" s="82"/>
      <c r="CK56" s="82"/>
      <c r="CL56" s="82"/>
      <c r="CM56" s="82"/>
      <c r="CN56" s="82"/>
      <c r="CO56" s="82"/>
      <c r="CP56" s="82"/>
      <c r="CQ56" s="82"/>
      <c r="CR56" s="82"/>
      <c r="CS56" s="82"/>
      <c r="CT56" s="82"/>
      <c r="CU56" s="82"/>
      <c r="CV56" s="82"/>
      <c r="CW56" s="82"/>
      <c r="CX56" s="82"/>
      <c r="CY56" s="82"/>
      <c r="CZ56" s="82"/>
      <c r="DA56" s="82"/>
      <c r="DB56" s="82"/>
      <c r="DC56" s="82"/>
      <c r="DD56" s="82"/>
      <c r="DE56" s="82"/>
      <c r="DF56" s="82"/>
      <c r="DG56" s="82"/>
      <c r="DH56" s="82"/>
      <c r="DI56" s="82"/>
      <c r="DJ56" s="82"/>
      <c r="DK56" s="82"/>
      <c r="DL56" s="82"/>
      <c r="DM56" s="82"/>
      <c r="DN56" s="82"/>
      <c r="DO56" s="82"/>
      <c r="DP56" s="82"/>
      <c r="DQ56" s="82"/>
      <c r="DR56" s="82"/>
      <c r="DS56" s="82"/>
      <c r="DT56" s="82"/>
      <c r="DU56" s="82"/>
      <c r="DV56" s="82"/>
      <c r="DW56" s="82"/>
      <c r="DX56" s="82"/>
      <c r="DY56" s="82"/>
      <c r="DZ56" s="82"/>
      <c r="EA56" s="82"/>
      <c r="EB56" s="82"/>
      <c r="EC56" s="82"/>
      <c r="ED56" s="82"/>
      <c r="EE56" s="82"/>
      <c r="EF56" s="82"/>
      <c r="EG56" s="82"/>
      <c r="EH56" s="82"/>
      <c r="EI56" s="82"/>
      <c r="EJ56" s="82"/>
      <c r="EK56" s="82"/>
      <c r="EL56" s="82"/>
      <c r="EM56" s="82"/>
      <c r="EN56" s="82"/>
      <c r="EO56" s="82"/>
      <c r="EP56" s="82"/>
      <c r="EQ56" s="82"/>
      <c r="ER56" s="82"/>
      <c r="ES56" s="82"/>
      <c r="ET56" s="82"/>
      <c r="EU56" s="82"/>
      <c r="EV56" s="82"/>
      <c r="EW56" s="82"/>
      <c r="EX56" s="82"/>
      <c r="EY56" s="82"/>
      <c r="EZ56" s="82"/>
      <c r="FA56" s="82"/>
      <c r="FB56" s="82"/>
      <c r="FC56" s="82"/>
      <c r="FD56" s="82"/>
      <c r="FE56" s="82"/>
      <c r="FF56" s="82"/>
      <c r="FG56" s="82"/>
      <c r="FH56" s="82"/>
      <c r="FI56" s="82"/>
      <c r="FJ56" s="82"/>
      <c r="FK56" s="82"/>
      <c r="FL56" s="82"/>
      <c r="FM56" s="82"/>
      <c r="FN56" s="82"/>
      <c r="FO56" s="82"/>
      <c r="FP56" s="82"/>
      <c r="FQ56" s="82"/>
      <c r="FR56" s="82"/>
      <c r="FS56" s="82"/>
      <c r="FT56" s="82"/>
      <c r="FU56" s="82"/>
      <c r="FV56" s="82"/>
      <c r="FW56" s="82"/>
      <c r="FX56" s="82"/>
      <c r="FY56" s="82"/>
      <c r="FZ56" s="82"/>
      <c r="GA56" s="82"/>
      <c r="GB56" s="82"/>
      <c r="GC56" s="82"/>
      <c r="GD56" s="82"/>
      <c r="GE56" s="82"/>
      <c r="GF56" s="82"/>
      <c r="GG56" s="82"/>
      <c r="GH56" s="82"/>
      <c r="GI56" s="82"/>
      <c r="GJ56" s="82"/>
      <c r="GK56" s="82"/>
      <c r="GL56" s="82"/>
      <c r="GM56" s="82"/>
      <c r="GN56" s="82"/>
      <c r="GO56" s="82"/>
      <c r="GP56" s="82"/>
      <c r="GQ56" s="82"/>
      <c r="GR56" s="82"/>
      <c r="GS56" s="82"/>
      <c r="GT56" s="82"/>
      <c r="GU56" s="82"/>
      <c r="GV56" s="82"/>
      <c r="GW56" s="82"/>
      <c r="GX56" s="82"/>
      <c r="GY56" s="82"/>
      <c r="GZ56" s="82"/>
      <c r="HA56" s="82"/>
      <c r="HB56" s="82"/>
      <c r="HC56" s="82"/>
      <c r="HD56" s="82"/>
      <c r="HE56" s="82"/>
      <c r="HF56" s="82"/>
      <c r="HG56" s="82"/>
      <c r="HH56" s="82"/>
      <c r="HI56" s="82"/>
    </row>
    <row r="57" spans="1:217" s="83" customFormat="1" ht="17.649999999999999" thickBot="1" x14ac:dyDescent="0.5">
      <c r="A57" s="59">
        <v>40</v>
      </c>
      <c r="B57" s="105">
        <v>20</v>
      </c>
      <c r="C57" s="61">
        <v>0.5</v>
      </c>
      <c r="D57" s="62">
        <v>5</v>
      </c>
      <c r="E57" s="63">
        <v>5</v>
      </c>
      <c r="F57" s="64"/>
      <c r="G57" s="65"/>
      <c r="H57" s="65"/>
      <c r="I57" s="66" t="b">
        <f>IF(Tableau45[[#This Row],[ANFO]]&lt;&gt;0,Tableau45[[#This Row],[Ht]]-INDEX(T_BdD[hauteur en m],MATCH(Tableau45[[#This Row],[ANFO]],T_BdD[Kilos],0)))</f>
        <v>0</v>
      </c>
      <c r="J57" s="67">
        <v>2</v>
      </c>
      <c r="K57" s="68">
        <f t="shared" si="0"/>
        <v>0</v>
      </c>
      <c r="L57" s="69">
        <f t="shared" si="1"/>
        <v>0</v>
      </c>
      <c r="M57" s="70">
        <f>Tableau45[[#This Row],[hauteur]]-Tableau45[[#This Row],[bourrage]]</f>
        <v>-2</v>
      </c>
      <c r="N57" s="60"/>
      <c r="O57" s="60"/>
      <c r="P57" s="71"/>
      <c r="Q57" s="72"/>
      <c r="R57" s="60"/>
      <c r="S57" s="71"/>
      <c r="T57" s="72"/>
      <c r="U57" s="73"/>
      <c r="V57" s="71"/>
      <c r="W57" s="72"/>
      <c r="X57" s="60"/>
      <c r="Y57" s="71"/>
      <c r="Z57" s="72"/>
      <c r="AA57" s="60"/>
      <c r="AB57" s="71"/>
      <c r="AC57" s="72"/>
      <c r="AD57" s="60"/>
      <c r="AE57" s="84">
        <f t="shared" si="6"/>
        <v>0</v>
      </c>
      <c r="AF57" s="85">
        <f t="shared" si="2"/>
        <v>0</v>
      </c>
      <c r="AG57" s="76">
        <f t="shared" si="3"/>
        <v>0</v>
      </c>
      <c r="AH57" s="77">
        <f t="shared" si="4"/>
        <v>0</v>
      </c>
      <c r="AI57" s="29">
        <f t="shared" si="5"/>
        <v>0</v>
      </c>
      <c r="AJ57" s="82"/>
      <c r="AK57" s="104"/>
      <c r="AL57" s="82"/>
      <c r="AM57" s="82"/>
      <c r="AN57" s="82"/>
      <c r="AO57" s="82"/>
      <c r="AP57" s="82"/>
      <c r="AQ57" s="82"/>
      <c r="AR57" s="82"/>
      <c r="AS57" s="82"/>
      <c r="AT57" s="82"/>
      <c r="AU57" s="82"/>
      <c r="AV57" s="82"/>
      <c r="AW57" s="82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82"/>
      <c r="BN57" s="82"/>
      <c r="BO57" s="82"/>
      <c r="BP57" s="82"/>
      <c r="BQ57" s="82"/>
      <c r="BR57" s="82"/>
      <c r="BS57" s="82"/>
      <c r="BT57" s="82"/>
      <c r="BU57" s="82"/>
      <c r="BV57" s="82"/>
      <c r="BW57" s="82"/>
      <c r="BX57" s="82"/>
      <c r="BY57" s="82"/>
      <c r="BZ57" s="82"/>
      <c r="CA57" s="82"/>
      <c r="CB57" s="82"/>
      <c r="CC57" s="82"/>
      <c r="CD57" s="82"/>
      <c r="CE57" s="82"/>
      <c r="CF57" s="82"/>
      <c r="CG57" s="82"/>
      <c r="CH57" s="82"/>
      <c r="CI57" s="82"/>
      <c r="CJ57" s="82"/>
      <c r="CK57" s="82"/>
      <c r="CL57" s="82"/>
      <c r="CM57" s="82"/>
      <c r="CN57" s="82"/>
      <c r="CO57" s="82"/>
      <c r="CP57" s="82"/>
      <c r="CQ57" s="82"/>
      <c r="CR57" s="82"/>
      <c r="CS57" s="82"/>
      <c r="CT57" s="82"/>
      <c r="CU57" s="82"/>
      <c r="CV57" s="82"/>
      <c r="CW57" s="82"/>
      <c r="CX57" s="82"/>
      <c r="CY57" s="82"/>
      <c r="CZ57" s="82"/>
      <c r="DA57" s="82"/>
      <c r="DB57" s="82"/>
      <c r="DC57" s="82"/>
      <c r="DD57" s="82"/>
      <c r="DE57" s="82"/>
      <c r="DF57" s="82"/>
      <c r="DG57" s="82"/>
      <c r="DH57" s="82"/>
      <c r="DI57" s="82"/>
      <c r="DJ57" s="82"/>
      <c r="DK57" s="82"/>
      <c r="DL57" s="82"/>
      <c r="DM57" s="82"/>
      <c r="DN57" s="82"/>
      <c r="DO57" s="82"/>
      <c r="DP57" s="82"/>
      <c r="DQ57" s="82"/>
      <c r="DR57" s="82"/>
      <c r="DS57" s="82"/>
      <c r="DT57" s="82"/>
      <c r="DU57" s="82"/>
      <c r="DV57" s="82"/>
      <c r="DW57" s="82"/>
      <c r="DX57" s="82"/>
      <c r="DY57" s="82"/>
      <c r="DZ57" s="82"/>
      <c r="EA57" s="82"/>
      <c r="EB57" s="82"/>
      <c r="EC57" s="82"/>
      <c r="ED57" s="82"/>
      <c r="EE57" s="82"/>
      <c r="EF57" s="82"/>
      <c r="EG57" s="82"/>
      <c r="EH57" s="82"/>
      <c r="EI57" s="82"/>
      <c r="EJ57" s="82"/>
      <c r="EK57" s="82"/>
      <c r="EL57" s="82"/>
      <c r="EM57" s="82"/>
      <c r="EN57" s="82"/>
      <c r="EO57" s="82"/>
      <c r="EP57" s="82"/>
      <c r="EQ57" s="82"/>
      <c r="ER57" s="82"/>
      <c r="ES57" s="82"/>
      <c r="ET57" s="82"/>
      <c r="EU57" s="82"/>
      <c r="EV57" s="82"/>
      <c r="EW57" s="82"/>
      <c r="EX57" s="82"/>
      <c r="EY57" s="82"/>
      <c r="EZ57" s="82"/>
      <c r="FA57" s="82"/>
      <c r="FB57" s="82"/>
      <c r="FC57" s="82"/>
      <c r="FD57" s="82"/>
      <c r="FE57" s="82"/>
      <c r="FF57" s="82"/>
      <c r="FG57" s="82"/>
      <c r="FH57" s="82"/>
      <c r="FI57" s="82"/>
      <c r="FJ57" s="82"/>
      <c r="FK57" s="82"/>
      <c r="FL57" s="82"/>
      <c r="FM57" s="82"/>
      <c r="FN57" s="82"/>
      <c r="FO57" s="82"/>
      <c r="FP57" s="82"/>
      <c r="FQ57" s="82"/>
      <c r="FR57" s="82"/>
      <c r="FS57" s="82"/>
      <c r="FT57" s="82"/>
      <c r="FU57" s="82"/>
      <c r="FV57" s="82"/>
      <c r="FW57" s="82"/>
      <c r="FX57" s="82"/>
      <c r="FY57" s="82"/>
      <c r="FZ57" s="82"/>
      <c r="GA57" s="82"/>
      <c r="GB57" s="82"/>
      <c r="GC57" s="82"/>
      <c r="GD57" s="82"/>
      <c r="GE57" s="82"/>
      <c r="GF57" s="82"/>
      <c r="GG57" s="82"/>
      <c r="GH57" s="82"/>
      <c r="GI57" s="82"/>
      <c r="GJ57" s="82"/>
      <c r="GK57" s="82"/>
      <c r="GL57" s="82"/>
      <c r="GM57" s="82"/>
      <c r="GN57" s="82"/>
      <c r="GO57" s="82"/>
      <c r="GP57" s="82"/>
      <c r="GQ57" s="82"/>
      <c r="GR57" s="82"/>
      <c r="GS57" s="82"/>
      <c r="GT57" s="82"/>
      <c r="GU57" s="82"/>
      <c r="GV57" s="82"/>
      <c r="GW57" s="82"/>
      <c r="GX57" s="82"/>
      <c r="GY57" s="82"/>
      <c r="GZ57" s="82"/>
      <c r="HA57" s="82"/>
      <c r="HB57" s="82"/>
      <c r="HC57" s="82"/>
      <c r="HD57" s="82"/>
      <c r="HE57" s="82"/>
      <c r="HF57" s="82"/>
      <c r="HG57" s="82"/>
      <c r="HH57" s="82"/>
      <c r="HI57" s="82"/>
    </row>
    <row r="58" spans="1:217" s="121" customFormat="1" ht="18" thickBot="1" x14ac:dyDescent="0.55000000000000004">
      <c r="A58" s="109" t="s">
        <v>75</v>
      </c>
      <c r="B58" s="73">
        <f>SUBTOTAL(109,Tableau45[Ht])</f>
        <v>800</v>
      </c>
      <c r="C58" s="110">
        <f>SUBTOTAL(101,Tableau45[Surfo.])</f>
        <v>0.5</v>
      </c>
      <c r="D58" s="111">
        <f>SUBTOTAL(109,Tableau45[Ep tête])</f>
        <v>198.5</v>
      </c>
      <c r="E58" s="111">
        <f>SUBTOTAL(109,Tableau45[Ep pied])</f>
        <v>198.5</v>
      </c>
      <c r="F58" s="111">
        <f>SUBTOTAL(109,Tableau45[DIN])</f>
        <v>0</v>
      </c>
      <c r="G58" s="111">
        <f>SUBTOTAL(109,Tableau45[GEL])</f>
        <v>100</v>
      </c>
      <c r="H58" s="111">
        <f>SUBTOTAL(109,Tableau45[ANFO])</f>
        <v>100</v>
      </c>
      <c r="I58" s="111"/>
      <c r="J58" s="111">
        <f>SUBTOTAL(109,Tableau45[bourrage])</f>
        <v>80</v>
      </c>
      <c r="K58" s="111">
        <f>SUBTOTAL(109,Tableau45[Energie pied (MJ)])</f>
        <v>753.7</v>
      </c>
      <c r="L58" s="112"/>
      <c r="M58" s="112"/>
      <c r="N58" s="113">
        <f t="shared" ref="N58:AE58" si="7">SUM(N18:N57)</f>
        <v>0</v>
      </c>
      <c r="O58" s="114">
        <f t="shared" si="7"/>
        <v>0</v>
      </c>
      <c r="P58" s="114">
        <f t="shared" si="7"/>
        <v>0</v>
      </c>
      <c r="Q58" s="114">
        <f t="shared" si="7"/>
        <v>0</v>
      </c>
      <c r="R58" s="114">
        <f t="shared" si="7"/>
        <v>0</v>
      </c>
      <c r="S58" s="114">
        <f t="shared" si="7"/>
        <v>0</v>
      </c>
      <c r="T58" s="114">
        <f t="shared" si="7"/>
        <v>0</v>
      </c>
      <c r="U58" s="114">
        <f t="shared" si="7"/>
        <v>0</v>
      </c>
      <c r="V58" s="114">
        <f t="shared" si="7"/>
        <v>0</v>
      </c>
      <c r="W58" s="114">
        <f t="shared" si="7"/>
        <v>0</v>
      </c>
      <c r="X58" s="114">
        <f t="shared" si="7"/>
        <v>0</v>
      </c>
      <c r="Y58" s="114">
        <f t="shared" si="7"/>
        <v>0</v>
      </c>
      <c r="Z58" s="114">
        <f t="shared" si="7"/>
        <v>0</v>
      </c>
      <c r="AA58" s="114">
        <f t="shared" si="7"/>
        <v>0</v>
      </c>
      <c r="AB58" s="114">
        <f t="shared" si="7"/>
        <v>0</v>
      </c>
      <c r="AC58" s="114">
        <f t="shared" si="7"/>
        <v>0</v>
      </c>
      <c r="AD58" s="114">
        <f t="shared" si="7"/>
        <v>0</v>
      </c>
      <c r="AE58" s="115">
        <f t="shared" si="7"/>
        <v>0</v>
      </c>
      <c r="AF58" s="112"/>
      <c r="AG58" s="116">
        <f>SUM(AG18:AG57)</f>
        <v>200</v>
      </c>
      <c r="AH58" s="117">
        <f>SUM(AH18:AH57)</f>
        <v>753.7</v>
      </c>
      <c r="AI58" s="118"/>
      <c r="AJ58" s="119"/>
      <c r="AK58" s="120"/>
      <c r="AM58" s="122">
        <f>SUM(AM18:AM48)</f>
        <v>264</v>
      </c>
    </row>
    <row r="61" spans="1:217" ht="13.15" x14ac:dyDescent="0.35">
      <c r="A61" s="234" t="s">
        <v>91</v>
      </c>
      <c r="B61" s="235"/>
      <c r="C61" s="235"/>
      <c r="D61" s="235"/>
      <c r="E61" s="235"/>
      <c r="F61" s="235"/>
      <c r="G61" s="235"/>
      <c r="H61" s="235"/>
      <c r="I61" s="236"/>
      <c r="J61" s="123"/>
      <c r="K61" s="243" t="s">
        <v>92</v>
      </c>
      <c r="L61" s="243"/>
      <c r="M61" s="243"/>
      <c r="N61" s="243"/>
      <c r="O61" s="243"/>
      <c r="P61" s="243"/>
      <c r="Q61" s="243"/>
      <c r="R61" s="243"/>
      <c r="S61" s="124"/>
      <c r="T61" s="124"/>
      <c r="U61" s="244" t="s">
        <v>93</v>
      </c>
      <c r="V61" s="245"/>
      <c r="W61" s="245"/>
      <c r="X61" s="245"/>
      <c r="Y61" s="245"/>
      <c r="Z61" s="245"/>
      <c r="AA61" s="246"/>
      <c r="AB61" s="125"/>
      <c r="AC61" s="125"/>
      <c r="AD61" s="125"/>
      <c r="AE61" s="243" t="s">
        <v>94</v>
      </c>
      <c r="AF61" s="243"/>
      <c r="AG61" s="243"/>
      <c r="AH61" s="243"/>
      <c r="AI61" s="243"/>
      <c r="AJ61" s="243"/>
      <c r="AK61" s="243"/>
    </row>
    <row r="62" spans="1:217" ht="13.15" x14ac:dyDescent="0.4">
      <c r="A62" s="237"/>
      <c r="B62" s="238"/>
      <c r="C62" s="238"/>
      <c r="D62" s="238"/>
      <c r="E62" s="238"/>
      <c r="F62" s="238"/>
      <c r="G62" s="238"/>
      <c r="H62" s="238"/>
      <c r="I62" s="239"/>
      <c r="J62" s="123"/>
      <c r="K62" s="247"/>
      <c r="L62" s="248"/>
      <c r="M62" s="248"/>
      <c r="N62" s="248"/>
      <c r="O62" s="248"/>
      <c r="P62" s="248"/>
      <c r="Q62" s="248"/>
      <c r="R62" s="249"/>
      <c r="S62" s="126"/>
      <c r="T62" s="126"/>
      <c r="U62" s="256"/>
      <c r="V62" s="256"/>
      <c r="W62" s="256"/>
      <c r="X62" s="257"/>
      <c r="Y62" s="257"/>
      <c r="Z62" s="257"/>
      <c r="AA62" s="257"/>
      <c r="AB62" s="127"/>
      <c r="AC62" s="127"/>
      <c r="AD62" s="127"/>
      <c r="AE62" s="257"/>
      <c r="AF62" s="257"/>
      <c r="AG62" s="257"/>
      <c r="AH62" s="257"/>
      <c r="AI62" s="257"/>
      <c r="AJ62" s="257"/>
      <c r="AK62" s="257"/>
      <c r="AL62" s="121"/>
      <c r="AM62" s="121"/>
    </row>
    <row r="63" spans="1:217" x14ac:dyDescent="0.35">
      <c r="A63" s="237"/>
      <c r="B63" s="238"/>
      <c r="C63" s="238"/>
      <c r="D63" s="238"/>
      <c r="E63" s="238"/>
      <c r="F63" s="238"/>
      <c r="G63" s="238"/>
      <c r="H63" s="238"/>
      <c r="I63" s="239"/>
      <c r="J63" s="123"/>
      <c r="K63" s="250"/>
      <c r="L63" s="251"/>
      <c r="M63" s="251"/>
      <c r="N63" s="251"/>
      <c r="O63" s="251"/>
      <c r="P63" s="251"/>
      <c r="Q63" s="251"/>
      <c r="R63" s="252"/>
      <c r="S63" s="128"/>
      <c r="T63" s="128"/>
      <c r="U63" s="256"/>
      <c r="V63" s="256"/>
      <c r="W63" s="256"/>
      <c r="X63" s="257"/>
      <c r="Y63" s="257"/>
      <c r="Z63" s="257"/>
      <c r="AA63" s="257"/>
      <c r="AB63" s="127"/>
      <c r="AC63" s="127"/>
      <c r="AD63" s="127"/>
      <c r="AE63" s="256"/>
      <c r="AF63" s="257"/>
      <c r="AG63" s="257"/>
      <c r="AH63" s="257"/>
      <c r="AI63" s="257"/>
      <c r="AJ63" s="257"/>
      <c r="AK63" s="257"/>
    </row>
    <row r="64" spans="1:217" x14ac:dyDescent="0.35">
      <c r="A64" s="237"/>
      <c r="B64" s="238"/>
      <c r="C64" s="238"/>
      <c r="D64" s="238"/>
      <c r="E64" s="238"/>
      <c r="F64" s="238"/>
      <c r="G64" s="238"/>
      <c r="H64" s="238"/>
      <c r="I64" s="239"/>
      <c r="J64" s="123"/>
      <c r="K64" s="250"/>
      <c r="L64" s="251"/>
      <c r="M64" s="251"/>
      <c r="N64" s="251"/>
      <c r="O64" s="251"/>
      <c r="P64" s="251"/>
      <c r="Q64" s="251"/>
      <c r="R64" s="252"/>
      <c r="S64" s="128"/>
      <c r="T64" s="128"/>
      <c r="U64" s="256"/>
      <c r="V64" s="256"/>
      <c r="W64" s="256"/>
      <c r="X64" s="257"/>
      <c r="Y64" s="257"/>
      <c r="Z64" s="257"/>
      <c r="AA64" s="257"/>
      <c r="AB64" s="127"/>
      <c r="AC64" s="127"/>
      <c r="AD64" s="127"/>
      <c r="AE64" s="257"/>
      <c r="AF64" s="257"/>
      <c r="AG64" s="257"/>
      <c r="AH64" s="257"/>
      <c r="AI64" s="257"/>
      <c r="AJ64" s="257"/>
      <c r="AK64" s="257"/>
    </row>
    <row r="65" spans="1:37" x14ac:dyDescent="0.35">
      <c r="A65" s="240"/>
      <c r="B65" s="241"/>
      <c r="C65" s="241"/>
      <c r="D65" s="241"/>
      <c r="E65" s="241"/>
      <c r="F65" s="241"/>
      <c r="G65" s="241"/>
      <c r="H65" s="241"/>
      <c r="I65" s="242"/>
      <c r="J65" s="123"/>
      <c r="K65" s="253"/>
      <c r="L65" s="254"/>
      <c r="M65" s="254"/>
      <c r="N65" s="254"/>
      <c r="O65" s="254"/>
      <c r="P65" s="254"/>
      <c r="Q65" s="254"/>
      <c r="R65" s="255"/>
      <c r="S65" s="129"/>
      <c r="T65" s="129"/>
      <c r="U65" s="256"/>
      <c r="V65" s="256"/>
      <c r="W65" s="256"/>
      <c r="X65" s="257"/>
      <c r="Y65" s="257"/>
      <c r="Z65" s="257"/>
      <c r="AA65" s="257"/>
      <c r="AB65" s="127"/>
      <c r="AC65" s="127"/>
      <c r="AD65" s="127"/>
      <c r="AE65" s="257"/>
      <c r="AF65" s="257"/>
      <c r="AG65" s="257"/>
      <c r="AH65" s="257"/>
      <c r="AI65" s="257"/>
      <c r="AJ65" s="257"/>
      <c r="AK65" s="257"/>
    </row>
    <row r="67" spans="1:37" ht="13.15" x14ac:dyDescent="0.4">
      <c r="A67" s="130" t="s">
        <v>95</v>
      </c>
      <c r="B67" s="131"/>
      <c r="C67" s="131"/>
      <c r="D67" s="131"/>
      <c r="E67" s="132"/>
    </row>
  </sheetData>
  <sheetProtection selectLockedCells="1"/>
  <mergeCells count="30">
    <mergeCell ref="AJ29:AK29"/>
    <mergeCell ref="AJ42:AK42"/>
    <mergeCell ref="A61:I65"/>
    <mergeCell ref="K61:R61"/>
    <mergeCell ref="U61:AA61"/>
    <mergeCell ref="AE61:AK61"/>
    <mergeCell ref="K62:R65"/>
    <mergeCell ref="U62:AA62"/>
    <mergeCell ref="AE62:AK62"/>
    <mergeCell ref="U63:AA63"/>
    <mergeCell ref="AE63:AK63"/>
    <mergeCell ref="U64:AA64"/>
    <mergeCell ref="AE64:AK64"/>
    <mergeCell ref="U65:AA65"/>
    <mergeCell ref="AE65:AK65"/>
    <mergeCell ref="F15:J15"/>
    <mergeCell ref="M15:M16"/>
    <mergeCell ref="N15:AD15"/>
    <mergeCell ref="AG15:AJ15"/>
    <mergeCell ref="AE16:AE17"/>
    <mergeCell ref="AF16:AF17"/>
    <mergeCell ref="AH16:AH17"/>
    <mergeCell ref="AI16:AI17"/>
    <mergeCell ref="AJ16:AK16"/>
    <mergeCell ref="A6:B6"/>
    <mergeCell ref="E2:G3"/>
    <mergeCell ref="L2:T3"/>
    <mergeCell ref="AJ3:AK3"/>
    <mergeCell ref="AJ4:AK4"/>
    <mergeCell ref="C5:AK6"/>
  </mergeCells>
  <conditionalFormatting sqref="AI18:AI57">
    <cfRule type="cellIs" dxfId="36" priority="7" operator="between">
      <formula>1.4</formula>
      <formula>1.6</formula>
    </cfRule>
    <cfRule type="cellIs" dxfId="35" priority="8" operator="greaterThan">
      <formula>1.6</formula>
    </cfRule>
    <cfRule type="cellIs" dxfId="34" priority="9" operator="between">
      <formula>1.2</formula>
      <formula>1.4</formula>
    </cfRule>
  </conditionalFormatting>
  <conditionalFormatting sqref="AK12">
    <cfRule type="cellIs" dxfId="33" priority="4" operator="between">
      <formula>1.4</formula>
      <formula>1.6</formula>
    </cfRule>
    <cfRule type="cellIs" dxfId="32" priority="5" operator="greaterThan">
      <formula>1.6</formula>
    </cfRule>
    <cfRule type="cellIs" dxfId="31" priority="6" operator="between">
      <formula>1.2</formula>
      <formula>1.4</formula>
    </cfRule>
  </conditionalFormatting>
  <conditionalFormatting sqref="AK12 AI18:AI57">
    <cfRule type="cellIs" dxfId="30" priority="3" operator="lessThan">
      <formula>1.2</formula>
    </cfRule>
  </conditionalFormatting>
  <conditionalFormatting sqref="L17:M17 L18:L57">
    <cfRule type="cellIs" dxfId="29" priority="1" operator="between">
      <formula>2.5</formula>
      <formula>2.9</formula>
    </cfRule>
    <cfRule type="cellIs" dxfId="28" priority="2" operator="greaterThanOrEqual">
      <formula>2.9</formula>
    </cfRule>
  </conditionalFormatting>
  <dataValidations count="5">
    <dataValidation type="list" allowBlank="1" showInputMessage="1" showErrorMessage="1" sqref="H17:H57" xr:uid="{3C9F3860-55CB-4EEE-912E-5AEB13511AA2}">
      <formula1>L_Kilos</formula1>
    </dataValidation>
    <dataValidation type="list" allowBlank="1" showInputMessage="1" showErrorMessage="1" sqref="B10" xr:uid="{079F0C72-0D5F-4F5F-A869-F0AA62E1B9E2}">
      <formula1>NFronts</formula1>
    </dataValidation>
    <dataValidation type="list" allowBlank="1" showInputMessage="1" showErrorMessage="1" sqref="B9" xr:uid="{0A4ABCA6-7EC8-4B48-B24C-555A60EE843C}">
      <formula1>Rives</formula1>
    </dataValidation>
    <dataValidation type="list" allowBlank="1" showInputMessage="1" showErrorMessage="1" sqref="B11" xr:uid="{DBF9136D-00F0-44C9-B47F-EE3E37761534}">
      <formula1>Nature</formula1>
    </dataValidation>
    <dataValidation type="list" allowBlank="1" showInputMessage="1" showErrorMessage="1" sqref="F10" xr:uid="{88E75581-531F-43F3-9A48-4C38A395BC39}">
      <formula1>Types</formula1>
    </dataValidation>
  </dataValidations>
  <printOptions horizontalCentered="1" verticalCentered="1"/>
  <pageMargins left="0" right="0" top="0" bottom="0" header="0" footer="0"/>
  <pageSetup paperSize="9" scale="50" fitToHeight="0" orientation="landscape" verticalDpi="30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5AB2C22-F8D0-48B0-93DC-9C108AF1BA5B}">
          <x14:formula1>
            <xm:f>Paramètres!$I$2:$I$42</xm:f>
          </x14:formula1>
          <xm:sqref>G18:G57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DAC24-8DAA-40EB-B49A-C8363E3EF120}">
  <sheetPr>
    <pageSetUpPr fitToPage="1"/>
  </sheetPr>
  <dimension ref="A1:AJ84"/>
  <sheetViews>
    <sheetView topLeftCell="A7" zoomScale="80" zoomScaleNormal="80" workbookViewId="0">
      <selection activeCell="B12" sqref="B12"/>
    </sheetView>
  </sheetViews>
  <sheetFormatPr defaultColWidth="11.3984375" defaultRowHeight="12.75" x14ac:dyDescent="0.35"/>
  <cols>
    <col min="1" max="2" width="11.3984375" style="1"/>
    <col min="3" max="27" width="4.59765625" style="1" customWidth="1"/>
    <col min="28" max="28" width="11.3984375" style="1"/>
    <col min="29" max="29" width="12.73046875" style="1" customWidth="1"/>
    <col min="30" max="30" width="12.86328125" style="138" customWidth="1"/>
    <col min="31" max="31" width="12.265625" style="138" customWidth="1"/>
    <col min="32" max="32" width="11.3984375" style="1"/>
    <col min="33" max="33" width="12.3984375" style="1" customWidth="1"/>
    <col min="34" max="16384" width="11.3984375" style="1"/>
  </cols>
  <sheetData>
    <row r="1" spans="1:36" ht="13.15" x14ac:dyDescent="0.4"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133" t="s">
        <v>96</v>
      </c>
      <c r="AC1" s="5"/>
      <c r="AD1" s="134"/>
      <c r="AE1" s="135" t="s">
        <v>97</v>
      </c>
    </row>
    <row r="2" spans="1:36" ht="13.9" x14ac:dyDescent="0.4">
      <c r="C2" s="136" t="s">
        <v>135</v>
      </c>
      <c r="N2" s="9"/>
      <c r="O2" s="137" t="s">
        <v>136</v>
      </c>
      <c r="AA2" s="9"/>
      <c r="AB2" s="7"/>
      <c r="AE2" s="139"/>
    </row>
    <row r="3" spans="1:36" ht="13.15" x14ac:dyDescent="0.4">
      <c r="C3" s="7"/>
      <c r="N3" s="9"/>
      <c r="O3" s="7"/>
      <c r="AA3" s="9"/>
      <c r="AB3" s="137" t="s">
        <v>4</v>
      </c>
      <c r="AC3" s="8" t="s">
        <v>98</v>
      </c>
      <c r="AE3" s="139" t="s">
        <v>6</v>
      </c>
    </row>
    <row r="4" spans="1:36" ht="13.15" x14ac:dyDescent="0.4">
      <c r="C4" s="140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2"/>
      <c r="O4" s="140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2"/>
      <c r="AB4" s="143" t="s">
        <v>7</v>
      </c>
      <c r="AC4" s="144"/>
      <c r="AD4" s="145"/>
      <c r="AE4" s="146" t="s">
        <v>99</v>
      </c>
    </row>
    <row r="5" spans="1:36" x14ac:dyDescent="0.35">
      <c r="C5" s="261" t="s">
        <v>137</v>
      </c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2"/>
      <c r="T5" s="262"/>
      <c r="U5" s="262"/>
      <c r="V5" s="262"/>
      <c r="W5" s="262"/>
      <c r="X5" s="262"/>
      <c r="Y5" s="262"/>
      <c r="Z5" s="262"/>
      <c r="AA5" s="262"/>
      <c r="AB5" s="262"/>
      <c r="AC5" s="262"/>
      <c r="AD5" s="262"/>
      <c r="AE5" s="263"/>
    </row>
    <row r="6" spans="1:36" x14ac:dyDescent="0.35">
      <c r="A6" s="147" t="s">
        <v>100</v>
      </c>
      <c r="C6" s="264"/>
      <c r="D6" s="265"/>
      <c r="E6" s="265"/>
      <c r="F6" s="265"/>
      <c r="G6" s="265"/>
      <c r="H6" s="265"/>
      <c r="I6" s="265"/>
      <c r="J6" s="265"/>
      <c r="K6" s="265"/>
      <c r="L6" s="265"/>
      <c r="M6" s="265"/>
      <c r="N6" s="265"/>
      <c r="O6" s="265"/>
      <c r="P6" s="265"/>
      <c r="Q6" s="265"/>
      <c r="R6" s="265"/>
      <c r="S6" s="265"/>
      <c r="T6" s="265"/>
      <c r="U6" s="265"/>
      <c r="V6" s="265"/>
      <c r="W6" s="265"/>
      <c r="X6" s="265"/>
      <c r="Y6" s="265"/>
      <c r="Z6" s="265"/>
      <c r="AA6" s="265"/>
      <c r="AB6" s="265"/>
      <c r="AC6" s="265"/>
      <c r="AD6" s="265"/>
      <c r="AE6" s="266"/>
    </row>
    <row r="8" spans="1:36" x14ac:dyDescent="0.35">
      <c r="A8" s="148" t="s">
        <v>39</v>
      </c>
      <c r="B8" s="148"/>
      <c r="D8" s="258" t="s">
        <v>101</v>
      </c>
      <c r="E8" s="259"/>
      <c r="F8" s="259"/>
      <c r="G8" s="259"/>
      <c r="H8" s="259"/>
      <c r="I8" s="259"/>
      <c r="J8" s="260" t="s">
        <v>11</v>
      </c>
      <c r="K8" s="260"/>
      <c r="L8" s="260"/>
      <c r="M8" s="260"/>
      <c r="N8" s="260"/>
      <c r="O8" s="260"/>
      <c r="Q8" s="258" t="s">
        <v>102</v>
      </c>
      <c r="R8" s="259"/>
      <c r="S8" s="259"/>
      <c r="T8" s="259"/>
      <c r="U8" s="259"/>
      <c r="V8" s="259"/>
      <c r="W8" s="260">
        <f>'1'!F8</f>
        <v>208400</v>
      </c>
      <c r="X8" s="260"/>
      <c r="Y8" s="260"/>
      <c r="Z8" s="260"/>
      <c r="AA8" s="260"/>
      <c r="AB8" s="260"/>
      <c r="AE8" s="10"/>
    </row>
    <row r="9" spans="1:36" x14ac:dyDescent="0.35">
      <c r="A9" s="149" t="s">
        <v>19</v>
      </c>
      <c r="B9" s="148"/>
      <c r="D9" s="150"/>
      <c r="J9" s="138"/>
      <c r="K9" s="138"/>
      <c r="L9" s="138"/>
      <c r="M9" s="138"/>
      <c r="N9" s="138"/>
      <c r="O9" s="138"/>
      <c r="Q9" s="258" t="s">
        <v>103</v>
      </c>
      <c r="R9" s="259"/>
      <c r="S9" s="259"/>
      <c r="T9" s="259"/>
      <c r="U9" s="259"/>
      <c r="V9" s="259"/>
      <c r="W9" s="260">
        <f>'1'!F9</f>
        <v>139600</v>
      </c>
      <c r="X9" s="260"/>
      <c r="Y9" s="260"/>
      <c r="Z9" s="260"/>
      <c r="AA9" s="260"/>
      <c r="AB9" s="260"/>
      <c r="AD9" s="1"/>
      <c r="AE9" s="1"/>
    </row>
    <row r="10" spans="1:36" s="150" customFormat="1" x14ac:dyDescent="0.35">
      <c r="A10" s="149" t="s">
        <v>28</v>
      </c>
      <c r="B10" s="149"/>
      <c r="I10" s="151"/>
      <c r="M10" s="151"/>
      <c r="N10" s="151"/>
      <c r="AD10" s="152"/>
      <c r="AE10" s="152"/>
    </row>
    <row r="11" spans="1:36" s="150" customFormat="1" ht="13.15" x14ac:dyDescent="0.4">
      <c r="A11" s="149" t="s">
        <v>35</v>
      </c>
      <c r="B11" s="149"/>
      <c r="I11" s="151"/>
      <c r="K11" s="8"/>
      <c r="M11" s="151"/>
      <c r="N11" s="151"/>
      <c r="AD11" s="152"/>
      <c r="AE11" s="152"/>
    </row>
    <row r="12" spans="1:36" s="150" customFormat="1" ht="13.15" x14ac:dyDescent="0.4">
      <c r="A12" s="149" t="s">
        <v>36</v>
      </c>
      <c r="B12" s="153"/>
      <c r="I12" s="151"/>
      <c r="K12" s="8"/>
      <c r="M12" s="151"/>
      <c r="N12" s="151"/>
      <c r="AC12" s="269" t="s">
        <v>104</v>
      </c>
      <c r="AD12" s="270"/>
      <c r="AE12" s="270"/>
      <c r="AF12" s="270"/>
      <c r="AG12" s="270"/>
      <c r="AH12" s="270"/>
      <c r="AI12" s="270"/>
      <c r="AJ12" s="271"/>
    </row>
    <row r="13" spans="1:36" s="150" customFormat="1" ht="13.5" thickBot="1" x14ac:dyDescent="0.45">
      <c r="A13" s="149" t="s">
        <v>40</v>
      </c>
      <c r="B13" s="154"/>
      <c r="I13" s="155"/>
      <c r="K13" s="156"/>
      <c r="M13" s="155"/>
      <c r="N13" s="151"/>
      <c r="R13" s="151"/>
      <c r="S13" s="151"/>
      <c r="AC13" s="157" t="s">
        <v>105</v>
      </c>
      <c r="AD13" s="158"/>
      <c r="AE13" s="159" t="s">
        <v>105</v>
      </c>
      <c r="AF13" s="160"/>
      <c r="AG13" s="161" t="s">
        <v>105</v>
      </c>
      <c r="AH13" s="162"/>
      <c r="AI13" s="163" t="s">
        <v>105</v>
      </c>
      <c r="AJ13" s="164"/>
    </row>
    <row r="14" spans="1:36" s="150" customFormat="1" ht="13.15" x14ac:dyDescent="0.4">
      <c r="C14" s="165"/>
      <c r="D14" s="166"/>
      <c r="E14" s="166"/>
      <c r="F14" s="166"/>
      <c r="G14" s="166"/>
      <c r="H14" s="166"/>
      <c r="I14" s="167"/>
      <c r="J14" s="166"/>
      <c r="K14" s="168"/>
      <c r="L14" s="166"/>
      <c r="M14" s="167"/>
      <c r="N14" s="166"/>
      <c r="O14" s="166"/>
      <c r="P14" s="166"/>
      <c r="Q14" s="166"/>
      <c r="R14" s="166"/>
      <c r="S14" s="166"/>
      <c r="T14" s="166"/>
      <c r="U14" s="166"/>
      <c r="V14" s="166"/>
      <c r="W14" s="166"/>
      <c r="X14" s="166"/>
      <c r="Y14" s="166"/>
      <c r="Z14" s="166"/>
      <c r="AA14" s="169"/>
      <c r="AC14" s="157" t="s">
        <v>106</v>
      </c>
      <c r="AD14" s="158"/>
      <c r="AE14" s="159" t="s">
        <v>106</v>
      </c>
      <c r="AF14" s="160"/>
      <c r="AG14" s="161" t="s">
        <v>106</v>
      </c>
      <c r="AH14" s="162"/>
      <c r="AI14" s="163" t="s">
        <v>106</v>
      </c>
      <c r="AJ14" s="164"/>
    </row>
    <row r="15" spans="1:36" s="150" customFormat="1" ht="13.15" x14ac:dyDescent="0.4">
      <c r="C15" s="170"/>
      <c r="I15" s="171"/>
      <c r="K15" s="156"/>
      <c r="M15" s="8"/>
      <c r="P15" s="8"/>
      <c r="AA15" s="172"/>
      <c r="AC15" s="157" t="s">
        <v>107</v>
      </c>
      <c r="AD15" s="157"/>
      <c r="AE15" s="159" t="s">
        <v>107</v>
      </c>
      <c r="AF15" s="159"/>
      <c r="AG15" s="161" t="s">
        <v>107</v>
      </c>
      <c r="AH15" s="161"/>
      <c r="AI15" s="163" t="s">
        <v>107</v>
      </c>
      <c r="AJ15" s="163"/>
    </row>
    <row r="16" spans="1:36" s="150" customFormat="1" ht="13.15" x14ac:dyDescent="0.4">
      <c r="C16" s="170"/>
      <c r="I16" s="8"/>
      <c r="K16" s="156"/>
      <c r="M16" s="173"/>
      <c r="P16" s="8"/>
      <c r="AA16" s="172"/>
      <c r="AC16" s="157" t="s">
        <v>108</v>
      </c>
      <c r="AD16" s="157" t="s">
        <v>109</v>
      </c>
      <c r="AE16" s="159" t="s">
        <v>108</v>
      </c>
      <c r="AF16" s="159" t="s">
        <v>109</v>
      </c>
      <c r="AG16" s="161" t="s">
        <v>108</v>
      </c>
      <c r="AH16" s="161" t="s">
        <v>109</v>
      </c>
      <c r="AI16" s="163" t="s">
        <v>108</v>
      </c>
      <c r="AJ16" s="163" t="s">
        <v>109</v>
      </c>
    </row>
    <row r="17" spans="2:36" s="150" customFormat="1" ht="13.15" x14ac:dyDescent="0.4">
      <c r="C17" s="170"/>
      <c r="I17" s="8"/>
      <c r="K17" s="156"/>
      <c r="M17" s="8"/>
      <c r="N17" s="8"/>
      <c r="O17" s="174"/>
      <c r="P17" s="8"/>
      <c r="AA17" s="172"/>
      <c r="AB17" s="175" t="s">
        <v>110</v>
      </c>
      <c r="AC17" s="158"/>
      <c r="AD17" s="158"/>
      <c r="AE17" s="160"/>
      <c r="AF17" s="160"/>
      <c r="AG17" s="162"/>
      <c r="AH17" s="162"/>
      <c r="AI17" s="164"/>
      <c r="AJ17" s="164"/>
    </row>
    <row r="18" spans="2:36" s="150" customFormat="1" ht="13.15" x14ac:dyDescent="0.4">
      <c r="C18" s="170"/>
      <c r="K18" s="156"/>
      <c r="O18" s="174"/>
      <c r="P18" s="8"/>
      <c r="T18" s="150">
        <v>1</v>
      </c>
      <c r="AA18" s="172"/>
      <c r="AB18" s="175" t="s">
        <v>111</v>
      </c>
      <c r="AC18" s="158"/>
      <c r="AD18" s="158"/>
      <c r="AE18" s="160"/>
      <c r="AF18" s="160"/>
      <c r="AG18" s="162"/>
      <c r="AH18" s="162"/>
      <c r="AI18" s="164"/>
      <c r="AJ18" s="164"/>
    </row>
    <row r="19" spans="2:36" s="150" customFormat="1" ht="13.15" x14ac:dyDescent="0.4">
      <c r="B19" s="8"/>
      <c r="C19" s="170"/>
      <c r="J19" s="8"/>
      <c r="K19" s="156"/>
      <c r="N19" s="8"/>
      <c r="O19" s="174"/>
      <c r="P19" s="8"/>
      <c r="AA19" s="172"/>
      <c r="AB19" s="175" t="s">
        <v>112</v>
      </c>
      <c r="AC19" s="158"/>
      <c r="AD19" s="158"/>
      <c r="AE19" s="160"/>
      <c r="AF19" s="160"/>
      <c r="AG19" s="162"/>
      <c r="AH19" s="162"/>
      <c r="AI19" s="164"/>
      <c r="AJ19" s="164"/>
    </row>
    <row r="20" spans="2:36" s="150" customFormat="1" ht="13.15" x14ac:dyDescent="0.4">
      <c r="C20" s="170"/>
      <c r="J20" s="8"/>
      <c r="K20" s="156"/>
      <c r="N20" s="8"/>
      <c r="O20" s="174"/>
      <c r="P20" s="8"/>
      <c r="AA20" s="172"/>
      <c r="AB20" s="175" t="s">
        <v>113</v>
      </c>
      <c r="AC20" s="158"/>
      <c r="AD20" s="158"/>
      <c r="AE20" s="160"/>
      <c r="AF20" s="160"/>
      <c r="AG20" s="162"/>
      <c r="AH20" s="162"/>
      <c r="AI20" s="164"/>
      <c r="AJ20" s="164"/>
    </row>
    <row r="21" spans="2:36" s="150" customFormat="1" ht="13.15" x14ac:dyDescent="0.4">
      <c r="C21" s="170"/>
      <c r="I21" s="8"/>
      <c r="K21" s="156"/>
      <c r="M21" s="8"/>
      <c r="O21" s="174"/>
      <c r="P21" s="8"/>
      <c r="T21" s="150">
        <v>2</v>
      </c>
      <c r="AA21" s="172"/>
      <c r="AD21" s="152"/>
      <c r="AE21" s="152"/>
    </row>
    <row r="22" spans="2:36" s="150" customFormat="1" ht="13.15" x14ac:dyDescent="0.4">
      <c r="C22" s="170"/>
      <c r="I22" s="8"/>
      <c r="K22" s="156"/>
      <c r="M22" s="8"/>
      <c r="O22" s="174"/>
      <c r="P22" s="8"/>
      <c r="AA22" s="172"/>
      <c r="AD22" s="209"/>
      <c r="AE22" s="209"/>
    </row>
    <row r="23" spans="2:36" s="150" customFormat="1" ht="13.15" x14ac:dyDescent="0.4">
      <c r="C23" s="170"/>
      <c r="I23" s="176"/>
      <c r="K23" s="156"/>
      <c r="M23" s="8"/>
      <c r="O23" s="174"/>
      <c r="P23" s="8"/>
      <c r="AA23" s="172"/>
      <c r="AC23" s="272" t="s">
        <v>104</v>
      </c>
      <c r="AD23" s="273"/>
      <c r="AE23" s="273"/>
      <c r="AF23" s="273"/>
      <c r="AG23" s="273"/>
      <c r="AH23" s="273"/>
      <c r="AI23" s="273"/>
      <c r="AJ23" s="273"/>
    </row>
    <row r="24" spans="2:36" s="150" customFormat="1" ht="13.15" x14ac:dyDescent="0.4">
      <c r="C24" s="170"/>
      <c r="I24" s="8"/>
      <c r="K24" s="156"/>
      <c r="M24" s="173"/>
      <c r="O24" s="174"/>
      <c r="P24" s="8"/>
      <c r="T24" s="150">
        <v>3</v>
      </c>
      <c r="AA24" s="172"/>
      <c r="AC24" s="177" t="s">
        <v>105</v>
      </c>
      <c r="AD24" s="178"/>
      <c r="AE24" s="179" t="s">
        <v>105</v>
      </c>
      <c r="AF24" s="180"/>
      <c r="AG24" s="179" t="s">
        <v>105</v>
      </c>
      <c r="AH24" s="180"/>
      <c r="AI24" s="179" t="s">
        <v>105</v>
      </c>
      <c r="AJ24" s="180"/>
    </row>
    <row r="25" spans="2:36" s="150" customFormat="1" ht="13.15" x14ac:dyDescent="0.4">
      <c r="C25" s="170"/>
      <c r="I25" s="8"/>
      <c r="K25" s="156"/>
      <c r="M25" s="8"/>
      <c r="N25" s="8"/>
      <c r="O25" s="174"/>
      <c r="P25" s="8"/>
      <c r="AA25" s="172"/>
      <c r="AC25" s="177" t="s">
        <v>106</v>
      </c>
      <c r="AD25" s="178"/>
      <c r="AE25" s="179" t="s">
        <v>106</v>
      </c>
      <c r="AF25" s="180"/>
      <c r="AG25" s="179" t="s">
        <v>106</v>
      </c>
      <c r="AH25" s="180"/>
      <c r="AI25" s="179" t="s">
        <v>106</v>
      </c>
      <c r="AJ25" s="181"/>
    </row>
    <row r="26" spans="2:36" s="150" customFormat="1" ht="13.15" x14ac:dyDescent="0.4">
      <c r="C26" s="170"/>
      <c r="K26" s="156"/>
      <c r="O26" s="174"/>
      <c r="P26" s="8"/>
      <c r="AA26" s="172"/>
      <c r="AC26" s="177" t="s">
        <v>107</v>
      </c>
      <c r="AD26" s="177"/>
      <c r="AE26" s="179" t="s">
        <v>107</v>
      </c>
      <c r="AF26" s="179"/>
      <c r="AG26" s="179" t="s">
        <v>107</v>
      </c>
      <c r="AH26" s="179"/>
      <c r="AI26" s="179" t="s">
        <v>107</v>
      </c>
      <c r="AJ26" s="179"/>
    </row>
    <row r="27" spans="2:36" s="150" customFormat="1" ht="13.15" x14ac:dyDescent="0.4">
      <c r="C27" s="170"/>
      <c r="I27" s="182"/>
      <c r="J27" s="8"/>
      <c r="K27" s="156"/>
      <c r="N27" s="8"/>
      <c r="O27" s="174"/>
      <c r="P27" s="8"/>
      <c r="T27" s="150">
        <v>4</v>
      </c>
      <c r="AA27" s="172"/>
      <c r="AC27" s="177" t="s">
        <v>108</v>
      </c>
      <c r="AD27" s="177" t="s">
        <v>109</v>
      </c>
      <c r="AE27" s="179" t="s">
        <v>108</v>
      </c>
      <c r="AF27" s="179" t="s">
        <v>109</v>
      </c>
      <c r="AG27" s="179" t="s">
        <v>108</v>
      </c>
      <c r="AH27" s="179" t="s">
        <v>109</v>
      </c>
      <c r="AI27" s="179" t="s">
        <v>108</v>
      </c>
      <c r="AJ27" s="179" t="s">
        <v>109</v>
      </c>
    </row>
    <row r="28" spans="2:36" s="150" customFormat="1" ht="13.15" x14ac:dyDescent="0.4">
      <c r="C28" s="170"/>
      <c r="J28" s="8"/>
      <c r="K28" s="156"/>
      <c r="N28" s="8"/>
      <c r="O28" s="174"/>
      <c r="P28" s="8"/>
      <c r="AA28" s="172"/>
      <c r="AB28" s="175" t="s">
        <v>110</v>
      </c>
      <c r="AC28" s="177"/>
      <c r="AD28" s="177"/>
      <c r="AE28" s="179"/>
      <c r="AF28" s="179"/>
      <c r="AG28" s="180"/>
      <c r="AH28" s="180"/>
      <c r="AI28" s="179"/>
      <c r="AJ28" s="179"/>
    </row>
    <row r="29" spans="2:36" s="150" customFormat="1" ht="13.15" x14ac:dyDescent="0.4">
      <c r="C29" s="170"/>
      <c r="I29" s="8"/>
      <c r="K29" s="156"/>
      <c r="M29" s="8"/>
      <c r="O29" s="174"/>
      <c r="P29" s="8"/>
      <c r="AA29" s="172"/>
      <c r="AB29" s="175" t="s">
        <v>111</v>
      </c>
      <c r="AC29" s="177"/>
      <c r="AD29" s="177"/>
      <c r="AE29" s="179"/>
      <c r="AF29" s="179"/>
      <c r="AG29" s="180"/>
      <c r="AH29" s="180"/>
      <c r="AI29" s="179"/>
      <c r="AJ29" s="179"/>
    </row>
    <row r="30" spans="2:36" s="150" customFormat="1" ht="13.15" x14ac:dyDescent="0.4">
      <c r="C30" s="170"/>
      <c r="I30" s="8"/>
      <c r="K30" s="156"/>
      <c r="M30" s="8"/>
      <c r="O30" s="174"/>
      <c r="P30" s="8"/>
      <c r="T30" s="150">
        <v>5</v>
      </c>
      <c r="AA30" s="172"/>
      <c r="AB30" s="175" t="s">
        <v>112</v>
      </c>
      <c r="AC30" s="177"/>
      <c r="AD30" s="177"/>
      <c r="AE30" s="179"/>
      <c r="AF30" s="179"/>
      <c r="AG30" s="180"/>
      <c r="AH30" s="180"/>
      <c r="AI30" s="179"/>
      <c r="AJ30" s="179"/>
    </row>
    <row r="31" spans="2:36" s="150" customFormat="1" ht="13.15" x14ac:dyDescent="0.4">
      <c r="C31" s="170"/>
      <c r="I31" s="171"/>
      <c r="K31" s="156"/>
      <c r="M31" s="8"/>
      <c r="O31" s="174"/>
      <c r="P31" s="8"/>
      <c r="AA31" s="172"/>
      <c r="AB31" s="175" t="s">
        <v>113</v>
      </c>
      <c r="AC31" s="178"/>
      <c r="AD31" s="178"/>
      <c r="AE31" s="180"/>
      <c r="AF31" s="180"/>
      <c r="AG31" s="180"/>
      <c r="AH31" s="180"/>
      <c r="AI31" s="180"/>
      <c r="AJ31" s="180"/>
    </row>
    <row r="32" spans="2:36" s="150" customFormat="1" ht="13.15" x14ac:dyDescent="0.4">
      <c r="C32" s="170"/>
      <c r="I32" s="8"/>
      <c r="K32" s="156"/>
      <c r="M32" s="173"/>
      <c r="O32" s="174"/>
      <c r="P32" s="8"/>
      <c r="AA32" s="172"/>
      <c r="AD32" s="209"/>
      <c r="AE32" s="209"/>
    </row>
    <row r="33" spans="1:36" s="150" customFormat="1" ht="13.15" x14ac:dyDescent="0.4">
      <c r="C33" s="170"/>
      <c r="I33" s="8"/>
      <c r="K33" s="156"/>
      <c r="M33" s="8"/>
      <c r="N33" s="8"/>
      <c r="O33" s="174"/>
      <c r="P33" s="8"/>
      <c r="T33" s="150">
        <v>6</v>
      </c>
      <c r="AA33" s="172"/>
      <c r="AD33" s="152"/>
      <c r="AE33" s="152"/>
    </row>
    <row r="34" spans="1:36" s="150" customFormat="1" ht="13.15" x14ac:dyDescent="0.4">
      <c r="C34" s="170"/>
      <c r="K34" s="156"/>
      <c r="O34" s="174"/>
      <c r="P34" s="8"/>
      <c r="AA34" s="172"/>
      <c r="AC34" s="269" t="s">
        <v>114</v>
      </c>
      <c r="AD34" s="274"/>
      <c r="AE34" s="274"/>
      <c r="AF34" s="275"/>
      <c r="AG34" s="269" t="s">
        <v>115</v>
      </c>
      <c r="AH34" s="274"/>
      <c r="AI34" s="274"/>
      <c r="AJ34" s="275"/>
    </row>
    <row r="35" spans="1:36" s="150" customFormat="1" ht="13.15" x14ac:dyDescent="0.4">
      <c r="C35" s="170"/>
      <c r="J35" s="8"/>
      <c r="K35" s="156"/>
      <c r="N35" s="8"/>
      <c r="O35" s="174"/>
      <c r="P35" s="8"/>
      <c r="AA35" s="172"/>
      <c r="AC35" s="179" t="s">
        <v>105</v>
      </c>
      <c r="AD35" s="180"/>
      <c r="AE35" s="179" t="s">
        <v>105</v>
      </c>
      <c r="AF35" s="180"/>
      <c r="AG35" s="179" t="s">
        <v>105</v>
      </c>
      <c r="AH35" s="180"/>
      <c r="AI35" s="179" t="s">
        <v>105</v>
      </c>
      <c r="AJ35" s="180"/>
    </row>
    <row r="36" spans="1:36" s="150" customFormat="1" ht="13.15" x14ac:dyDescent="0.4">
      <c r="C36" s="170"/>
      <c r="J36" s="8"/>
      <c r="K36" s="156"/>
      <c r="N36" s="8"/>
      <c r="O36" s="174"/>
      <c r="P36" s="8"/>
      <c r="T36" s="150">
        <v>7</v>
      </c>
      <c r="AA36" s="172"/>
      <c r="AC36" s="179" t="s">
        <v>106</v>
      </c>
      <c r="AD36" s="181"/>
      <c r="AE36" s="179" t="s">
        <v>106</v>
      </c>
      <c r="AF36" s="181"/>
      <c r="AG36" s="179" t="s">
        <v>106</v>
      </c>
      <c r="AH36" s="181"/>
      <c r="AI36" s="179" t="s">
        <v>106</v>
      </c>
      <c r="AJ36" s="181"/>
    </row>
    <row r="37" spans="1:36" s="150" customFormat="1" ht="13.15" x14ac:dyDescent="0.4">
      <c r="C37" s="170"/>
      <c r="I37" s="8"/>
      <c r="K37" s="156"/>
      <c r="M37" s="8"/>
      <c r="O37" s="174"/>
      <c r="P37" s="8"/>
      <c r="AA37" s="172"/>
      <c r="AC37" s="179" t="s">
        <v>107</v>
      </c>
      <c r="AD37" s="179"/>
      <c r="AE37" s="179" t="s">
        <v>107</v>
      </c>
      <c r="AF37" s="179"/>
      <c r="AG37" s="179" t="s">
        <v>107</v>
      </c>
      <c r="AH37" s="179"/>
      <c r="AI37" s="179" t="s">
        <v>107</v>
      </c>
      <c r="AJ37" s="179"/>
    </row>
    <row r="38" spans="1:36" s="150" customFormat="1" ht="13.15" x14ac:dyDescent="0.4">
      <c r="C38" s="170"/>
      <c r="I38" s="8"/>
      <c r="K38" s="156"/>
      <c r="M38" s="8"/>
      <c r="O38" s="174"/>
      <c r="P38" s="8"/>
      <c r="AA38" s="172"/>
      <c r="AC38" s="179" t="s">
        <v>108</v>
      </c>
      <c r="AD38" s="179" t="s">
        <v>109</v>
      </c>
      <c r="AE38" s="179" t="s">
        <v>108</v>
      </c>
      <c r="AF38" s="179" t="s">
        <v>109</v>
      </c>
      <c r="AG38" s="179" t="s">
        <v>108</v>
      </c>
      <c r="AH38" s="179" t="s">
        <v>109</v>
      </c>
      <c r="AI38" s="179" t="s">
        <v>108</v>
      </c>
      <c r="AJ38" s="179" t="s">
        <v>109</v>
      </c>
    </row>
    <row r="39" spans="1:36" s="150" customFormat="1" ht="13.15" x14ac:dyDescent="0.4">
      <c r="C39" s="170"/>
      <c r="I39" s="171"/>
      <c r="K39" s="156"/>
      <c r="M39" s="171"/>
      <c r="O39" s="174"/>
      <c r="P39" s="8"/>
      <c r="T39" s="150">
        <v>8</v>
      </c>
      <c r="AA39" s="172"/>
      <c r="AB39" s="175" t="s">
        <v>110</v>
      </c>
      <c r="AC39" s="179"/>
      <c r="AD39" s="179"/>
      <c r="AE39" s="179"/>
      <c r="AF39" s="179"/>
      <c r="AG39" s="180"/>
      <c r="AH39" s="180"/>
      <c r="AI39" s="179"/>
      <c r="AJ39" s="179"/>
    </row>
    <row r="40" spans="1:36" s="150" customFormat="1" ht="13.15" x14ac:dyDescent="0.4">
      <c r="A40" s="1"/>
      <c r="B40" s="1"/>
      <c r="C40" s="170"/>
      <c r="I40" s="8"/>
      <c r="K40" s="156"/>
      <c r="M40" s="173"/>
      <c r="O40" s="174"/>
      <c r="P40" s="8"/>
      <c r="AA40" s="172"/>
      <c r="AB40" s="175" t="s">
        <v>111</v>
      </c>
      <c r="AC40" s="179"/>
      <c r="AD40" s="179"/>
      <c r="AE40" s="179"/>
      <c r="AF40" s="179"/>
      <c r="AG40" s="180"/>
      <c r="AH40" s="180"/>
      <c r="AI40" s="179"/>
      <c r="AJ40" s="179"/>
    </row>
    <row r="41" spans="1:36" s="150" customFormat="1" ht="13.15" x14ac:dyDescent="0.4">
      <c r="A41" s="1"/>
      <c r="B41" s="1"/>
      <c r="C41" s="170"/>
      <c r="I41" s="8"/>
      <c r="K41" s="156"/>
      <c r="M41" s="8"/>
      <c r="N41" s="8"/>
      <c r="O41" s="174"/>
      <c r="P41" s="8"/>
      <c r="AA41" s="172"/>
      <c r="AB41" s="175" t="s">
        <v>112</v>
      </c>
      <c r="AC41" s="179"/>
      <c r="AD41" s="179"/>
      <c r="AE41" s="179"/>
      <c r="AF41" s="179"/>
      <c r="AG41" s="180"/>
      <c r="AH41" s="180"/>
      <c r="AI41" s="179"/>
      <c r="AJ41" s="179"/>
    </row>
    <row r="42" spans="1:36" s="150" customFormat="1" ht="13.15" x14ac:dyDescent="0.4">
      <c r="A42" s="1"/>
      <c r="B42" s="1"/>
      <c r="C42" s="170"/>
      <c r="K42" s="156"/>
      <c r="O42" s="174"/>
      <c r="P42" s="8"/>
      <c r="T42" s="150">
        <v>9</v>
      </c>
      <c r="AA42" s="172"/>
      <c r="AB42" s="175" t="s">
        <v>113</v>
      </c>
      <c r="AC42" s="180"/>
      <c r="AD42" s="180"/>
      <c r="AE42" s="180"/>
      <c r="AF42" s="180"/>
      <c r="AG42" s="180"/>
      <c r="AH42" s="180"/>
      <c r="AI42" s="180"/>
      <c r="AJ42" s="180"/>
    </row>
    <row r="43" spans="1:36" ht="13.15" x14ac:dyDescent="0.4">
      <c r="C43" s="170"/>
      <c r="D43" s="150"/>
      <c r="E43" s="150"/>
      <c r="F43" s="150"/>
      <c r="G43" s="150"/>
      <c r="H43" s="150"/>
      <c r="I43" s="182"/>
      <c r="J43" s="8"/>
      <c r="K43" s="156"/>
      <c r="L43" s="150"/>
      <c r="M43" s="150"/>
      <c r="N43" s="8"/>
      <c r="O43" s="174"/>
      <c r="P43" s="8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72"/>
      <c r="AB43" s="276"/>
      <c r="AC43" s="222"/>
    </row>
    <row r="44" spans="1:36" ht="13.15" x14ac:dyDescent="0.4">
      <c r="C44" s="170"/>
      <c r="D44" s="150"/>
      <c r="E44" s="150"/>
      <c r="F44" s="150"/>
      <c r="G44" s="150"/>
      <c r="H44" s="150"/>
      <c r="I44" s="150"/>
      <c r="J44" s="8"/>
      <c r="K44" s="156"/>
      <c r="L44" s="150"/>
      <c r="M44" s="150"/>
      <c r="N44" s="8"/>
      <c r="O44" s="174"/>
      <c r="P44" s="8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72"/>
      <c r="AB44" s="267" t="s">
        <v>116</v>
      </c>
      <c r="AC44" s="268"/>
      <c r="AD44" s="180"/>
    </row>
    <row r="45" spans="1:36" ht="13.15" x14ac:dyDescent="0.4">
      <c r="B45" s="10"/>
      <c r="C45" s="170"/>
      <c r="D45" s="150"/>
      <c r="E45" s="150"/>
      <c r="F45" s="150"/>
      <c r="G45" s="150"/>
      <c r="H45" s="150"/>
      <c r="I45" s="8"/>
      <c r="J45" s="150"/>
      <c r="K45" s="156"/>
      <c r="L45" s="150"/>
      <c r="M45" s="8"/>
      <c r="N45" s="150"/>
      <c r="O45" s="174"/>
      <c r="P45" s="8"/>
      <c r="Q45" s="150"/>
      <c r="R45" s="150"/>
      <c r="S45" s="150"/>
      <c r="T45" s="150">
        <v>10</v>
      </c>
      <c r="U45" s="150"/>
      <c r="V45" s="150"/>
      <c r="W45" s="150"/>
      <c r="X45" s="150"/>
      <c r="Y45" s="150"/>
      <c r="Z45" s="150"/>
      <c r="AA45" s="172"/>
      <c r="AB45" s="267" t="s">
        <v>117</v>
      </c>
      <c r="AC45" s="277"/>
      <c r="AD45" s="183"/>
    </row>
    <row r="46" spans="1:36" ht="13.15" x14ac:dyDescent="0.4">
      <c r="C46" s="170"/>
      <c r="D46" s="150"/>
      <c r="E46" s="150"/>
      <c r="F46" s="150"/>
      <c r="G46" s="150"/>
      <c r="H46" s="150"/>
      <c r="I46" s="8"/>
      <c r="J46" s="150"/>
      <c r="K46" s="156"/>
      <c r="L46" s="150"/>
      <c r="M46" s="8"/>
      <c r="N46" s="150"/>
      <c r="O46" s="174"/>
      <c r="P46" s="8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72"/>
      <c r="AB46" s="267" t="s">
        <v>118</v>
      </c>
      <c r="AC46" s="277"/>
      <c r="AD46" s="180"/>
    </row>
    <row r="47" spans="1:36" ht="13.15" x14ac:dyDescent="0.4">
      <c r="C47" s="170"/>
      <c r="D47" s="150"/>
      <c r="E47" s="150"/>
      <c r="F47" s="150"/>
      <c r="G47" s="150"/>
      <c r="H47" s="150"/>
      <c r="I47" s="171"/>
      <c r="J47" s="150"/>
      <c r="K47" s="156"/>
      <c r="L47" s="150"/>
      <c r="M47" s="171"/>
      <c r="N47" s="150"/>
      <c r="O47" s="174"/>
      <c r="P47" s="8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72"/>
      <c r="AB47" s="267" t="s">
        <v>119</v>
      </c>
      <c r="AC47" s="277"/>
      <c r="AD47" s="183"/>
    </row>
    <row r="48" spans="1:36" ht="13.15" x14ac:dyDescent="0.4">
      <c r="C48" s="170"/>
      <c r="D48" s="150"/>
      <c r="E48" s="150"/>
      <c r="F48" s="150"/>
      <c r="G48" s="150"/>
      <c r="H48" s="150"/>
      <c r="I48" s="8"/>
      <c r="J48" s="150"/>
      <c r="K48" s="156"/>
      <c r="L48" s="150"/>
      <c r="M48" s="173"/>
      <c r="N48" s="150"/>
      <c r="O48" s="174"/>
      <c r="P48" s="8"/>
      <c r="Q48" s="150"/>
      <c r="R48" s="150"/>
      <c r="S48" s="150"/>
      <c r="T48" s="150">
        <v>11</v>
      </c>
      <c r="U48" s="150"/>
      <c r="V48" s="150"/>
      <c r="W48" s="150"/>
      <c r="X48" s="150"/>
      <c r="Y48" s="150"/>
      <c r="Z48" s="150"/>
      <c r="AA48" s="172"/>
      <c r="AB48" s="175" t="s">
        <v>120</v>
      </c>
      <c r="AC48" s="184"/>
      <c r="AD48" s="183"/>
    </row>
    <row r="49" spans="3:30" ht="13.15" x14ac:dyDescent="0.4">
      <c r="C49" s="170"/>
      <c r="D49" s="150"/>
      <c r="E49" s="150"/>
      <c r="F49" s="150"/>
      <c r="G49" s="150"/>
      <c r="H49" s="150"/>
      <c r="I49" s="8"/>
      <c r="J49" s="150"/>
      <c r="K49" s="156"/>
      <c r="L49" s="150"/>
      <c r="M49" s="8"/>
      <c r="N49" s="8"/>
      <c r="O49" s="174"/>
      <c r="P49" s="8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72"/>
      <c r="AB49" s="175" t="s">
        <v>121</v>
      </c>
      <c r="AC49" s="184"/>
      <c r="AD49" s="183"/>
    </row>
    <row r="50" spans="3:30" ht="13.15" x14ac:dyDescent="0.4">
      <c r="C50" s="170"/>
      <c r="D50" s="150"/>
      <c r="E50" s="150"/>
      <c r="F50" s="150"/>
      <c r="G50" s="150"/>
      <c r="H50" s="150"/>
      <c r="I50" s="8"/>
      <c r="J50" s="150"/>
      <c r="K50" s="156"/>
      <c r="L50" s="150"/>
      <c r="M50" s="8"/>
      <c r="N50" s="150"/>
      <c r="O50" s="174"/>
      <c r="P50" s="8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72"/>
      <c r="AB50" s="267" t="s">
        <v>122</v>
      </c>
      <c r="AC50" s="268"/>
      <c r="AD50" s="185"/>
    </row>
    <row r="51" spans="3:30" ht="13.15" x14ac:dyDescent="0.4">
      <c r="C51" s="170"/>
      <c r="D51" s="150"/>
      <c r="E51" s="150"/>
      <c r="F51" s="150"/>
      <c r="G51" s="150"/>
      <c r="H51" s="150"/>
      <c r="I51" s="8"/>
      <c r="J51" s="8"/>
      <c r="K51" s="156"/>
      <c r="L51" s="150"/>
      <c r="M51" s="8"/>
      <c r="N51" s="8"/>
      <c r="O51" s="174"/>
      <c r="P51" s="8"/>
      <c r="Q51" s="150"/>
      <c r="R51" s="150"/>
      <c r="S51" s="150"/>
      <c r="T51" s="150">
        <v>12</v>
      </c>
      <c r="U51" s="150"/>
      <c r="V51" s="150"/>
      <c r="W51" s="150"/>
      <c r="X51" s="150"/>
      <c r="Y51" s="150"/>
      <c r="Z51" s="150"/>
      <c r="AA51" s="172"/>
    </row>
    <row r="52" spans="3:30" ht="13.15" x14ac:dyDescent="0.4">
      <c r="C52" s="170"/>
      <c r="D52" s="150"/>
      <c r="E52" s="150"/>
      <c r="F52" s="150"/>
      <c r="G52" s="150"/>
      <c r="H52" s="150"/>
      <c r="I52" s="8"/>
      <c r="J52" s="8"/>
      <c r="K52" s="156"/>
      <c r="L52" s="150"/>
      <c r="M52" s="8"/>
      <c r="N52" s="8"/>
      <c r="O52" s="174"/>
      <c r="P52" s="8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72"/>
    </row>
    <row r="53" spans="3:30" ht="13.15" x14ac:dyDescent="0.4">
      <c r="C53" s="170"/>
      <c r="D53" s="150"/>
      <c r="E53" s="150"/>
      <c r="F53" s="150"/>
      <c r="G53" s="150"/>
      <c r="H53" s="150"/>
      <c r="I53" s="8"/>
      <c r="J53" s="150"/>
      <c r="K53" s="156"/>
      <c r="L53" s="150"/>
      <c r="M53" s="8"/>
      <c r="N53" s="150"/>
      <c r="O53" s="174"/>
      <c r="P53" s="8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72"/>
    </row>
    <row r="54" spans="3:30" ht="13.15" x14ac:dyDescent="0.4">
      <c r="C54" s="170"/>
      <c r="D54" s="150"/>
      <c r="E54" s="150"/>
      <c r="F54" s="150"/>
      <c r="G54" s="150"/>
      <c r="H54" s="150"/>
      <c r="I54" s="8"/>
      <c r="J54" s="150"/>
      <c r="K54" s="156"/>
      <c r="L54" s="150"/>
      <c r="M54" s="8"/>
      <c r="N54" s="150"/>
      <c r="O54" s="174"/>
      <c r="P54" s="8"/>
      <c r="Q54" s="150"/>
      <c r="R54" s="150"/>
      <c r="S54" s="150"/>
      <c r="T54" s="150">
        <v>13</v>
      </c>
      <c r="U54" s="150"/>
      <c r="V54" s="150"/>
      <c r="W54" s="150"/>
      <c r="X54" s="150"/>
      <c r="Y54" s="150"/>
      <c r="Z54" s="150"/>
      <c r="AA54" s="172"/>
    </row>
    <row r="55" spans="3:30" ht="13.15" x14ac:dyDescent="0.4">
      <c r="C55" s="170"/>
      <c r="D55" s="150"/>
      <c r="E55" s="150"/>
      <c r="F55" s="150"/>
      <c r="G55" s="150"/>
      <c r="H55" s="150"/>
      <c r="I55" s="8"/>
      <c r="J55" s="150"/>
      <c r="K55" s="156"/>
      <c r="L55" s="150"/>
      <c r="M55" s="8"/>
      <c r="N55" s="150"/>
      <c r="O55" s="174"/>
      <c r="P55" s="8"/>
      <c r="Q55" s="150"/>
      <c r="R55" s="150"/>
      <c r="S55" s="150"/>
      <c r="T55" s="150"/>
      <c r="U55" s="150"/>
      <c r="V55" s="150"/>
      <c r="W55" s="150"/>
      <c r="X55" s="150"/>
      <c r="Y55" s="150"/>
      <c r="Z55" s="150"/>
      <c r="AA55" s="172"/>
    </row>
    <row r="56" spans="3:30" ht="13.15" x14ac:dyDescent="0.4">
      <c r="C56" s="170"/>
      <c r="D56" s="150"/>
      <c r="E56" s="150"/>
      <c r="F56" s="150"/>
      <c r="G56" s="150"/>
      <c r="H56" s="150"/>
      <c r="I56" s="8"/>
      <c r="J56" s="150"/>
      <c r="K56" s="156"/>
      <c r="L56" s="150"/>
      <c r="M56" s="173"/>
      <c r="N56" s="150"/>
      <c r="O56" s="174"/>
      <c r="P56" s="8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72"/>
    </row>
    <row r="57" spans="3:30" ht="13.15" x14ac:dyDescent="0.4">
      <c r="C57" s="170"/>
      <c r="D57" s="150"/>
      <c r="E57" s="150"/>
      <c r="F57" s="150"/>
      <c r="G57" s="150"/>
      <c r="H57" s="150"/>
      <c r="I57" s="8"/>
      <c r="J57" s="150"/>
      <c r="K57" s="156"/>
      <c r="L57" s="150"/>
      <c r="M57" s="8"/>
      <c r="N57" s="8"/>
      <c r="O57" s="174"/>
      <c r="P57" s="8"/>
      <c r="Q57" s="150"/>
      <c r="R57" s="150"/>
      <c r="S57" s="150"/>
      <c r="T57" s="150">
        <v>14</v>
      </c>
      <c r="U57" s="150"/>
      <c r="V57" s="150"/>
      <c r="W57" s="150"/>
      <c r="X57" s="150"/>
      <c r="Y57" s="150"/>
      <c r="Z57" s="150"/>
      <c r="AA57" s="172"/>
    </row>
    <row r="58" spans="3:30" ht="13.15" x14ac:dyDescent="0.4">
      <c r="C58" s="170"/>
      <c r="D58" s="150"/>
      <c r="E58" s="150"/>
      <c r="F58" s="150"/>
      <c r="G58" s="150"/>
      <c r="H58" s="150"/>
      <c r="I58" s="8"/>
      <c r="J58" s="150"/>
      <c r="K58" s="156"/>
      <c r="L58" s="150"/>
      <c r="M58" s="8"/>
      <c r="N58" s="150"/>
      <c r="O58" s="174"/>
      <c r="P58" s="8"/>
      <c r="Q58" s="150"/>
      <c r="R58" s="150"/>
      <c r="S58" s="150"/>
      <c r="T58" s="150"/>
      <c r="U58" s="150"/>
      <c r="V58" s="150"/>
      <c r="W58" s="150"/>
      <c r="X58" s="150"/>
      <c r="Y58" s="150"/>
      <c r="Z58" s="150"/>
      <c r="AA58" s="172"/>
    </row>
    <row r="59" spans="3:30" ht="13.15" x14ac:dyDescent="0.4">
      <c r="C59" s="170"/>
      <c r="D59" s="150"/>
      <c r="E59" s="150"/>
      <c r="F59" s="150"/>
      <c r="G59" s="150"/>
      <c r="H59" s="150"/>
      <c r="I59" s="8"/>
      <c r="J59" s="8"/>
      <c r="K59" s="156"/>
      <c r="L59" s="150"/>
      <c r="M59" s="8"/>
      <c r="N59" s="8"/>
      <c r="O59" s="174"/>
      <c r="P59" s="8"/>
      <c r="Q59" s="150"/>
      <c r="R59" s="150"/>
      <c r="S59" s="150"/>
      <c r="T59" s="150"/>
      <c r="U59" s="150"/>
      <c r="V59" s="150"/>
      <c r="W59" s="150"/>
      <c r="X59" s="150"/>
      <c r="Y59" s="150"/>
      <c r="Z59" s="150"/>
      <c r="AA59" s="172"/>
    </row>
    <row r="60" spans="3:30" ht="13.15" x14ac:dyDescent="0.4">
      <c r="C60" s="170"/>
      <c r="D60" s="150"/>
      <c r="E60" s="150"/>
      <c r="F60" s="150"/>
      <c r="G60" s="150"/>
      <c r="H60" s="150"/>
      <c r="I60" s="8"/>
      <c r="J60" s="8"/>
      <c r="K60" s="156"/>
      <c r="L60" s="150"/>
      <c r="M60" s="8"/>
      <c r="N60" s="8"/>
      <c r="O60" s="174"/>
      <c r="P60" s="8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72"/>
      <c r="AB60" s="151"/>
    </row>
    <row r="61" spans="3:30" ht="13.15" x14ac:dyDescent="0.4">
      <c r="C61" s="170"/>
      <c r="D61" s="150"/>
      <c r="E61" s="150"/>
      <c r="F61" s="150"/>
      <c r="G61" s="150"/>
      <c r="H61" s="150"/>
      <c r="I61" s="8"/>
      <c r="J61" s="150"/>
      <c r="K61" s="156"/>
      <c r="L61" s="150"/>
      <c r="M61" s="8"/>
      <c r="N61" s="150"/>
      <c r="O61" s="174"/>
      <c r="P61" s="8"/>
      <c r="Q61" s="150"/>
      <c r="R61" s="150"/>
      <c r="S61" s="150"/>
      <c r="T61" s="150"/>
      <c r="U61" s="150"/>
      <c r="V61" s="150"/>
      <c r="W61" s="150"/>
      <c r="X61" s="150"/>
      <c r="Y61" s="150"/>
      <c r="Z61" s="150"/>
      <c r="AA61" s="172"/>
    </row>
    <row r="62" spans="3:30" ht="13.15" x14ac:dyDescent="0.4">
      <c r="C62" s="170"/>
      <c r="D62" s="150"/>
      <c r="E62" s="150"/>
      <c r="F62" s="150"/>
      <c r="G62" s="150"/>
      <c r="H62" s="150"/>
      <c r="I62" s="8"/>
      <c r="J62" s="150"/>
      <c r="K62" s="8"/>
      <c r="L62" s="150"/>
      <c r="M62" s="150"/>
      <c r="N62" s="8"/>
      <c r="O62" s="150"/>
      <c r="P62" s="8"/>
      <c r="Q62" s="150"/>
      <c r="R62" s="150"/>
      <c r="S62" s="150"/>
      <c r="T62" s="150"/>
      <c r="U62" s="150"/>
      <c r="V62" s="150"/>
      <c r="W62" s="150"/>
      <c r="X62" s="150"/>
      <c r="Y62" s="150"/>
      <c r="Z62" s="150"/>
      <c r="AA62" s="172"/>
      <c r="AB62" s="150"/>
    </row>
    <row r="63" spans="3:30" ht="13.15" x14ac:dyDescent="0.4">
      <c r="C63" s="170"/>
      <c r="D63" s="150"/>
      <c r="E63" s="150"/>
      <c r="F63" s="150"/>
      <c r="G63" s="150"/>
      <c r="H63" s="150"/>
      <c r="I63" s="150"/>
      <c r="J63" s="150"/>
      <c r="K63" s="8"/>
      <c r="L63" s="150"/>
      <c r="M63" s="186"/>
      <c r="N63" s="150"/>
      <c r="O63" s="150"/>
      <c r="P63" s="8"/>
      <c r="Q63" s="150"/>
      <c r="R63" s="150"/>
      <c r="S63" s="150"/>
      <c r="T63" s="150"/>
      <c r="U63" s="150"/>
      <c r="V63" s="150"/>
      <c r="W63" s="150"/>
      <c r="X63" s="150"/>
      <c r="Y63" s="150"/>
      <c r="Z63" s="150"/>
      <c r="AA63" s="172"/>
    </row>
    <row r="64" spans="3:30" ht="13.15" x14ac:dyDescent="0.4">
      <c r="C64" s="170"/>
      <c r="D64" s="150"/>
      <c r="E64" s="150"/>
      <c r="F64" s="150"/>
      <c r="G64" s="150"/>
      <c r="H64" s="150"/>
      <c r="I64" s="150"/>
      <c r="J64" s="150"/>
      <c r="K64" s="8"/>
      <c r="L64" s="150"/>
      <c r="M64" s="150"/>
      <c r="N64" s="150"/>
      <c r="O64" s="150"/>
      <c r="P64" s="8"/>
      <c r="Q64" s="150"/>
      <c r="R64" s="150"/>
      <c r="S64" s="150"/>
      <c r="T64" s="150"/>
      <c r="U64" s="150"/>
      <c r="V64" s="150"/>
      <c r="W64" s="150"/>
      <c r="X64" s="150"/>
      <c r="Y64" s="150"/>
      <c r="Z64" s="150"/>
      <c r="AA64" s="172"/>
    </row>
    <row r="65" spans="3:27" ht="13.15" x14ac:dyDescent="0.4">
      <c r="C65" s="170"/>
      <c r="D65" s="150"/>
      <c r="E65" s="150"/>
      <c r="F65" s="150"/>
      <c r="G65" s="150"/>
      <c r="H65" s="150"/>
      <c r="I65" s="150"/>
      <c r="J65" s="150"/>
      <c r="K65" s="8"/>
      <c r="L65" s="150"/>
      <c r="M65" s="150"/>
      <c r="N65" s="8"/>
      <c r="O65" s="150"/>
      <c r="P65" s="8"/>
      <c r="Q65" s="150"/>
      <c r="R65" s="150"/>
      <c r="S65" s="150"/>
      <c r="T65" s="150"/>
      <c r="U65" s="150"/>
      <c r="V65" s="150"/>
      <c r="W65" s="150"/>
      <c r="X65" s="150"/>
      <c r="Y65" s="150"/>
      <c r="Z65" s="150"/>
      <c r="AA65" s="172"/>
    </row>
    <row r="66" spans="3:27" ht="13.15" x14ac:dyDescent="0.4">
      <c r="C66" s="170"/>
      <c r="D66" s="150"/>
      <c r="E66" s="150"/>
      <c r="F66" s="150"/>
      <c r="G66" s="150"/>
      <c r="H66" s="150"/>
      <c r="I66" s="150"/>
      <c r="J66" s="8"/>
      <c r="K66" s="8"/>
      <c r="L66" s="150"/>
      <c r="M66" s="150"/>
      <c r="N66" s="8"/>
      <c r="O66" s="150"/>
      <c r="P66" s="8"/>
      <c r="Q66" s="150"/>
      <c r="R66" s="150"/>
      <c r="S66" s="150"/>
      <c r="T66" s="150"/>
      <c r="U66" s="150"/>
      <c r="V66" s="150"/>
      <c r="W66" s="150"/>
      <c r="X66" s="150"/>
      <c r="Y66" s="150"/>
      <c r="Z66" s="150"/>
      <c r="AA66" s="172"/>
    </row>
    <row r="67" spans="3:27" ht="13.15" x14ac:dyDescent="0.4">
      <c r="C67" s="170"/>
      <c r="D67" s="150"/>
      <c r="E67" s="150"/>
      <c r="F67" s="150"/>
      <c r="G67" s="150"/>
      <c r="H67" s="150"/>
      <c r="I67" s="150"/>
      <c r="J67" s="8"/>
      <c r="K67" s="8"/>
      <c r="L67" s="150"/>
      <c r="M67" s="150"/>
      <c r="N67" s="8"/>
      <c r="O67" s="150"/>
      <c r="P67" s="8"/>
      <c r="Q67" s="150"/>
      <c r="R67" s="150"/>
      <c r="S67" s="150"/>
      <c r="T67" s="150"/>
      <c r="U67" s="150"/>
      <c r="V67" s="150"/>
      <c r="W67" s="150"/>
      <c r="X67" s="150"/>
      <c r="Y67" s="150"/>
      <c r="Z67" s="150"/>
      <c r="AA67" s="172"/>
    </row>
    <row r="68" spans="3:27" ht="13.15" x14ac:dyDescent="0.4">
      <c r="C68" s="170"/>
      <c r="D68" s="150"/>
      <c r="E68" s="150"/>
      <c r="F68" s="150"/>
      <c r="G68" s="150"/>
      <c r="H68" s="150"/>
      <c r="I68" s="150"/>
      <c r="J68" s="8"/>
      <c r="K68" s="150"/>
      <c r="L68" s="150"/>
      <c r="M68" s="150"/>
      <c r="N68" s="8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0"/>
      <c r="Z68" s="150"/>
      <c r="AA68" s="172"/>
    </row>
    <row r="69" spans="3:27" ht="13.15" x14ac:dyDescent="0.4">
      <c r="C69" s="170"/>
      <c r="D69" s="150"/>
      <c r="E69" s="150"/>
      <c r="F69" s="150"/>
      <c r="G69" s="150"/>
      <c r="H69" s="150"/>
      <c r="I69" s="150"/>
      <c r="J69" s="8"/>
      <c r="K69" s="150"/>
      <c r="L69" s="150"/>
      <c r="M69" s="150"/>
      <c r="N69" s="8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0"/>
      <c r="Z69" s="150"/>
      <c r="AA69" s="172"/>
    </row>
    <row r="70" spans="3:27" ht="13.15" thickBot="1" x14ac:dyDescent="0.4">
      <c r="C70" s="187"/>
      <c r="D70" s="188"/>
      <c r="E70" s="188"/>
      <c r="F70" s="188"/>
      <c r="G70" s="188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8"/>
      <c r="S70" s="188"/>
      <c r="T70" s="188"/>
      <c r="U70" s="188"/>
      <c r="V70" s="188"/>
      <c r="W70" s="188"/>
      <c r="X70" s="188"/>
      <c r="Y70" s="188"/>
      <c r="Z70" s="188"/>
      <c r="AA70" s="189"/>
    </row>
    <row r="71" spans="3:27" x14ac:dyDescent="0.35">
      <c r="J71" s="150"/>
      <c r="K71" s="150"/>
      <c r="L71" s="150"/>
      <c r="M71" s="150"/>
      <c r="N71" s="150"/>
      <c r="Q71" s="150"/>
    </row>
    <row r="72" spans="3:27" x14ac:dyDescent="0.35">
      <c r="J72" s="150"/>
      <c r="K72" s="150"/>
      <c r="L72" s="150"/>
      <c r="M72" s="150"/>
      <c r="N72" s="150"/>
    </row>
    <row r="73" spans="3:27" x14ac:dyDescent="0.35">
      <c r="J73" s="150"/>
      <c r="K73" s="150"/>
      <c r="L73" s="150"/>
      <c r="M73" s="190"/>
      <c r="N73" s="150"/>
    </row>
    <row r="74" spans="3:27" x14ac:dyDescent="0.35">
      <c r="J74" s="150"/>
      <c r="K74" s="150"/>
      <c r="L74" s="150"/>
      <c r="M74" s="150"/>
      <c r="N74" s="150"/>
    </row>
    <row r="75" spans="3:27" ht="13.15" x14ac:dyDescent="0.4">
      <c r="J75" s="150"/>
      <c r="K75" s="150"/>
      <c r="L75" s="150"/>
      <c r="M75" s="150"/>
      <c r="N75" s="8"/>
    </row>
    <row r="76" spans="3:27" ht="13.15" x14ac:dyDescent="0.4">
      <c r="J76" s="8"/>
      <c r="K76" s="191"/>
      <c r="L76" s="150"/>
      <c r="M76" s="150"/>
      <c r="N76" s="8"/>
    </row>
    <row r="77" spans="3:27" ht="13.15" x14ac:dyDescent="0.4">
      <c r="J77" s="8"/>
      <c r="K77" s="150"/>
      <c r="L77" s="151"/>
      <c r="M77" s="150"/>
      <c r="N77" s="8"/>
    </row>
    <row r="78" spans="3:27" ht="13.15" x14ac:dyDescent="0.4">
      <c r="J78" s="8"/>
      <c r="K78" s="150"/>
      <c r="L78" s="151"/>
      <c r="M78" s="150"/>
      <c r="N78" s="8"/>
    </row>
    <row r="79" spans="3:27" ht="13.15" x14ac:dyDescent="0.4">
      <c r="J79" s="8"/>
      <c r="K79" s="191"/>
      <c r="L79" s="151"/>
      <c r="M79" s="150"/>
      <c r="N79" s="8"/>
    </row>
    <row r="80" spans="3:27" x14ac:dyDescent="0.35">
      <c r="J80" s="150"/>
      <c r="K80" s="150"/>
      <c r="L80" s="150"/>
      <c r="M80" s="150"/>
      <c r="N80" s="150"/>
    </row>
    <row r="81" spans="10:14" x14ac:dyDescent="0.35">
      <c r="J81" s="150"/>
      <c r="K81" s="150"/>
      <c r="L81" s="150"/>
      <c r="M81" s="150"/>
      <c r="N81" s="150"/>
    </row>
    <row r="82" spans="10:14" x14ac:dyDescent="0.35">
      <c r="J82" s="150"/>
      <c r="K82" s="150"/>
      <c r="L82" s="150"/>
      <c r="M82" s="150"/>
      <c r="N82" s="150"/>
    </row>
    <row r="83" spans="10:14" x14ac:dyDescent="0.35">
      <c r="J83" s="150"/>
      <c r="K83" s="150"/>
      <c r="L83" s="150"/>
      <c r="M83" s="190"/>
      <c r="N83" s="150"/>
    </row>
    <row r="84" spans="10:14" x14ac:dyDescent="0.35">
      <c r="J84" s="150"/>
      <c r="K84" s="150"/>
      <c r="L84" s="150"/>
      <c r="M84" s="150"/>
      <c r="N84" s="150"/>
    </row>
  </sheetData>
  <sheetProtection selectLockedCells="1"/>
  <mergeCells count="19">
    <mergeCell ref="AB50:AC50"/>
    <mergeCell ref="AC12:AJ12"/>
    <mergeCell ref="AD22:AE22"/>
    <mergeCell ref="AC23:AJ23"/>
    <mergeCell ref="AD32:AE32"/>
    <mergeCell ref="AC34:AF34"/>
    <mergeCell ref="AG34:AJ34"/>
    <mergeCell ref="AB43:AC43"/>
    <mergeCell ref="AB44:AC44"/>
    <mergeCell ref="AB45:AC45"/>
    <mergeCell ref="AB46:AC46"/>
    <mergeCell ref="AB47:AC47"/>
    <mergeCell ref="Q9:V9"/>
    <mergeCell ref="W9:AB9"/>
    <mergeCell ref="C5:AE6"/>
    <mergeCell ref="D8:I8"/>
    <mergeCell ref="J8:O8"/>
    <mergeCell ref="Q8:V8"/>
    <mergeCell ref="W8:AB8"/>
  </mergeCells>
  <conditionalFormatting sqref="C14:AA70">
    <cfRule type="duplicateValues" dxfId="0" priority="1"/>
  </conditionalFormatting>
  <dataValidations count="1">
    <dataValidation type="list" allowBlank="1" showInputMessage="1" showErrorMessage="1" sqref="AD44:AD48" xr:uid="{846695CB-492E-42E4-B4D1-DA547B4CB962}">
      <formula1>ouinon</formula1>
    </dataValidation>
  </dataValidations>
  <pageMargins left="0.11811023622047244" right="0" top="0.19685039370078741" bottom="0" header="0" footer="0"/>
  <pageSetup paperSize="9" scale="6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1144C-5EAC-4C8B-BFE5-F1F9373B2525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Paramètres</vt:lpstr>
      <vt:lpstr>1</vt:lpstr>
      <vt:lpstr>1b</vt:lpstr>
      <vt:lpstr>Sheet1</vt:lpstr>
      <vt:lpstr>G_Kilos</vt:lpstr>
      <vt:lpstr>G_metres</vt:lpstr>
      <vt:lpstr>L_Hauteur_m</vt:lpstr>
      <vt:lpstr>L_Kilos</vt:lpstr>
      <vt:lpstr>'1'!Print_Area</vt:lpstr>
      <vt:lpstr>'1b'!Print_Area</vt:lpstr>
      <vt:lpstr>Tableau4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</dc:creator>
  <cp:lastModifiedBy>OLI</cp:lastModifiedBy>
  <dcterms:created xsi:type="dcterms:W3CDTF">2019-08-23T06:50:19Z</dcterms:created>
  <dcterms:modified xsi:type="dcterms:W3CDTF">2019-08-23T07:16:36Z</dcterms:modified>
</cp:coreProperties>
</file>