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ureau\version 3\"/>
    </mc:Choice>
  </mc:AlternateContent>
  <xr:revisionPtr revIDLastSave="0" documentId="13_ncr:1_{116251E0-1519-433F-9935-31D04CC373DF}" xr6:coauthVersionLast="45" xr6:coauthVersionMax="45" xr10:uidLastSave="{00000000-0000-0000-0000-000000000000}"/>
  <bookViews>
    <workbookView xWindow="-120" yWindow="-120" windowWidth="29040" windowHeight="15840" xr2:uid="{11AE905B-1DE3-4650-AF7C-837E10511197}"/>
  </bookViews>
  <sheets>
    <sheet name="Attribution postes" sheetId="1" r:id="rId1"/>
    <sheet name="Feuil2" sheetId="3" r:id="rId2"/>
    <sheet name="Feuil1" sheetId="2" r:id="rId3"/>
  </sheets>
  <externalReferences>
    <externalReference r:id="rId4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16" i="1" l="1"/>
  <c r="P92" i="1" l="1"/>
  <c r="P97" i="1" l="1"/>
  <c r="P98" i="1"/>
  <c r="P99" i="1"/>
  <c r="P100" i="1"/>
  <c r="P101" i="1"/>
  <c r="P102" i="1"/>
  <c r="P103" i="1"/>
  <c r="P96" i="1"/>
  <c r="C97" i="1" l="1"/>
  <c r="D97" i="1" s="1"/>
  <c r="C98" i="1"/>
  <c r="D98" i="1" s="1"/>
  <c r="C99" i="1"/>
  <c r="D99" i="1" s="1"/>
  <c r="C100" i="1"/>
  <c r="D100" i="1" s="1"/>
  <c r="C96" i="1"/>
  <c r="D96" i="1" s="1"/>
  <c r="H116" i="1" l="1" a="1"/>
  <c r="H116" i="1" s="1"/>
  <c r="H117" i="1" a="1"/>
  <c r="H117" i="1" s="1"/>
  <c r="H118" i="1" a="1"/>
  <c r="H118" i="1" s="1"/>
  <c r="H119" i="1" a="1"/>
  <c r="H119" i="1" s="1"/>
  <c r="H115" i="1" a="1"/>
  <c r="H115" i="1" s="1"/>
  <c r="E117" i="1"/>
  <c r="E118" i="1"/>
  <c r="E119" i="1"/>
  <c r="E115" i="1"/>
  <c r="H44" i="1" a="1"/>
  <c r="H44" i="1" s="1"/>
  <c r="G117" i="1" l="1" a="1"/>
  <c r="G117" i="1" s="1"/>
  <c r="G118" i="1" a="1"/>
  <c r="G118" i="1" s="1"/>
  <c r="G115" i="1" a="1"/>
  <c r="G115" i="1" s="1"/>
  <c r="G116" i="1" a="1"/>
  <c r="G116" i="1" s="1"/>
  <c r="G119" i="1" a="1"/>
  <c r="G119" i="1" s="1"/>
  <c r="M20" i="1"/>
  <c r="M19" i="1"/>
  <c r="M18" i="1"/>
  <c r="M17" i="1"/>
  <c r="M16" i="1"/>
  <c r="M15" i="1"/>
  <c r="M14" i="1"/>
  <c r="M13" i="1"/>
  <c r="M12" i="1"/>
  <c r="M11" i="1"/>
  <c r="J118" i="1" a="1"/>
  <c r="J117" i="1" a="1"/>
  <c r="J119" i="1"/>
  <c r="J116" i="1" a="1"/>
  <c r="J115" i="1" a="1"/>
  <c r="J115" i="1" l="1"/>
  <c r="J112" i="1" s="1"/>
  <c r="J116" i="1"/>
  <c r="J118" i="1"/>
  <c r="J117" i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27" i="1" a="1"/>
  <c r="H27" i="1" s="1"/>
  <c r="X107" i="1" l="1"/>
  <c r="J113" i="1"/>
  <c r="X108" i="1" s="1"/>
  <c r="Q56" i="2" a="1"/>
  <c r="Q56" i="2" s="1"/>
  <c r="P56" i="2" s="1" a="1"/>
  <c r="P56" i="2" s="1"/>
  <c r="H34" i="1" a="1"/>
  <c r="H34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 s="1"/>
  <c r="D45" i="1"/>
  <c r="D46" i="1"/>
  <c r="D47" i="1"/>
  <c r="D48" i="1"/>
  <c r="D49" i="1"/>
  <c r="D50" i="1"/>
  <c r="D51" i="1"/>
  <c r="D44" i="1"/>
  <c r="D28" i="1"/>
  <c r="D29" i="1"/>
  <c r="D30" i="1"/>
  <c r="D31" i="1"/>
  <c r="D32" i="1"/>
  <c r="D33" i="1"/>
  <c r="D34" i="1"/>
  <c r="D27" i="1"/>
  <c r="R108" i="1" l="1"/>
  <c r="T108" i="1"/>
  <c r="V108" i="1"/>
  <c r="P108" i="1"/>
  <c r="P107" i="1"/>
  <c r="V107" i="1"/>
  <c r="T107" i="1"/>
  <c r="R107" i="1"/>
  <c r="O15" i="2"/>
  <c r="Q34" i="3" l="1" a="1"/>
  <c r="Q34" i="3" s="1"/>
  <c r="P34" i="3" s="1" a="1"/>
  <c r="P34" i="3" s="1"/>
  <c r="Q35" i="3" a="1"/>
  <c r="Q35" i="3" s="1"/>
  <c r="P35" i="3" s="1" a="1"/>
  <c r="P35" i="3" s="1"/>
  <c r="Q36" i="3" a="1"/>
  <c r="Q36" i="3" s="1"/>
  <c r="P36" i="3" s="1" a="1"/>
  <c r="P36" i="3" s="1"/>
  <c r="Q37" i="3" a="1"/>
  <c r="Q37" i="3" s="1"/>
  <c r="P37" i="3" s="1" a="1"/>
  <c r="P37" i="3" s="1"/>
  <c r="Q38" i="3" a="1"/>
  <c r="Q38" i="3" s="1"/>
  <c r="P38" i="3" s="1" a="1"/>
  <c r="P38" i="3" s="1"/>
  <c r="Q39" i="3" a="1"/>
  <c r="Q39" i="3" s="1"/>
  <c r="P39" i="3" s="1" a="1"/>
  <c r="P39" i="3" s="1"/>
  <c r="Q40" i="3" a="1"/>
  <c r="Q40" i="3" s="1"/>
  <c r="P40" i="3" s="1" a="1"/>
  <c r="P40" i="3" s="1"/>
  <c r="Q33" i="3" a="1"/>
  <c r="Q33" i="3" s="1"/>
  <c r="P33" i="3" s="1" a="1"/>
  <c r="P33" i="3" s="1"/>
  <c r="O12" i="2"/>
  <c r="O13" i="2"/>
  <c r="O14" i="2"/>
  <c r="O16" i="2"/>
  <c r="O17" i="2"/>
  <c r="O18" i="2"/>
  <c r="O19" i="2"/>
  <c r="O11" i="2"/>
  <c r="Q62" i="2" l="1" a="1"/>
  <c r="Q62" i="2" s="1"/>
  <c r="N62" i="2"/>
  <c r="Q61" i="2" a="1"/>
  <c r="Q61" i="2" s="1"/>
  <c r="N61" i="2"/>
  <c r="Q60" i="2" a="1"/>
  <c r="Q60" i="2" s="1"/>
  <c r="N60" i="2"/>
  <c r="Q59" i="2" a="1"/>
  <c r="Q59" i="2" s="1"/>
  <c r="N59" i="2"/>
  <c r="Q58" i="2" a="1"/>
  <c r="Q58" i="2" s="1"/>
  <c r="N58" i="2"/>
  <c r="Q57" i="2" a="1"/>
  <c r="Q57" i="2" s="1"/>
  <c r="N57" i="2"/>
  <c r="N56" i="2"/>
  <c r="M54" i="2"/>
  <c r="U54" i="2" s="1"/>
  <c r="P59" i="2" l="1" a="1"/>
  <c r="P59" i="2" s="1"/>
  <c r="P57" i="2" a="1"/>
  <c r="P57" i="2" s="1"/>
  <c r="P62" i="2" a="1"/>
  <c r="P62" i="2" s="1"/>
  <c r="P61" i="2" a="1"/>
  <c r="P61" i="2" s="1"/>
  <c r="P58" i="2" a="1"/>
  <c r="P58" i="2" s="1"/>
  <c r="P60" i="2" a="1"/>
  <c r="P60" i="2" s="1"/>
  <c r="P64" i="2" l="1"/>
  <c r="P66" i="2" s="1"/>
  <c r="AC26" i="1" l="1"/>
  <c r="C26" i="1"/>
  <c r="J4" i="1"/>
  <c r="E6" i="1"/>
  <c r="E4" i="1"/>
  <c r="E49" i="1" l="1"/>
  <c r="E44" i="1"/>
  <c r="E48" i="1"/>
  <c r="E47" i="1"/>
  <c r="E45" i="1"/>
  <c r="E46" i="1"/>
  <c r="E51" i="1"/>
  <c r="G49" i="1" s="1" a="1"/>
  <c r="G49" i="1" s="1"/>
  <c r="E50" i="1"/>
  <c r="E27" i="1"/>
  <c r="E32" i="1"/>
  <c r="E33" i="1"/>
  <c r="E31" i="1"/>
  <c r="E34" i="1"/>
  <c r="G27" i="1" s="1" a="1"/>
  <c r="G27" i="1" s="1"/>
  <c r="E30" i="1"/>
  <c r="E29" i="1"/>
  <c r="E28" i="1"/>
  <c r="G33" i="1" s="1" a="1"/>
  <c r="G33" i="1" s="1"/>
  <c r="G28" i="1" a="1"/>
  <c r="G28" i="1" s="1"/>
  <c r="I54" i="1"/>
  <c r="G45" i="1" a="1"/>
  <c r="G45" i="1" s="1"/>
  <c r="G46" i="1" a="1"/>
  <c r="G46" i="1" s="1"/>
  <c r="G48" i="1" a="1"/>
  <c r="G48" i="1" s="1"/>
  <c r="G50" i="1" a="1"/>
  <c r="G50" i="1" s="1"/>
  <c r="G47" i="1" a="1"/>
  <c r="G47" i="1" s="1"/>
  <c r="G51" i="1" a="1"/>
  <c r="G51" i="1" s="1"/>
  <c r="G30" i="1" a="1"/>
  <c r="G30" i="1" s="1"/>
  <c r="G32" i="1" a="1"/>
  <c r="G32" i="1" s="1"/>
  <c r="G31" i="1" a="1"/>
  <c r="G31" i="1" s="1"/>
  <c r="G34" i="1" a="1"/>
  <c r="G34" i="1" s="1"/>
  <c r="G29" i="1" a="1"/>
  <c r="G29" i="1" s="1"/>
  <c r="Q119" i="1"/>
  <c r="R119" i="1" s="1"/>
  <c r="Q116" i="1"/>
  <c r="R116" i="1" s="1"/>
  <c r="Q117" i="1"/>
  <c r="R117" i="1" s="1"/>
  <c r="Q118" i="1"/>
  <c r="R118" i="1" s="1"/>
  <c r="Q115" i="1"/>
  <c r="R115" i="1" s="1"/>
  <c r="J34" i="1" a="1"/>
  <c r="J30" i="1" a="1"/>
  <c r="J28" i="1" a="1"/>
  <c r="J29" i="1" a="1"/>
  <c r="J32" i="1" a="1"/>
  <c r="J31" i="1" a="1"/>
  <c r="J33" i="1" a="1"/>
  <c r="J30" i="1" l="1"/>
  <c r="G44" i="1" a="1"/>
  <c r="G44" i="1" s="1"/>
  <c r="J29" i="1"/>
  <c r="J32" i="1"/>
  <c r="J34" i="1"/>
  <c r="J28" i="1"/>
  <c r="J33" i="1"/>
  <c r="J31" i="1"/>
  <c r="D45" i="2"/>
  <c r="C45" i="2"/>
  <c r="E42" i="2"/>
  <c r="G45" i="2"/>
  <c r="E45" i="2"/>
  <c r="F45" i="2"/>
  <c r="G42" i="2"/>
  <c r="C42" i="2"/>
  <c r="D42" i="2"/>
  <c r="F42" i="2"/>
  <c r="J44" i="1" a="1"/>
  <c r="J44" i="1" l="1"/>
  <c r="P48" i="1" s="1"/>
  <c r="V59" i="2"/>
  <c r="T59" i="2" s="1"/>
  <c r="V56" i="2"/>
  <c r="T56" i="2" s="1"/>
  <c r="V57" i="2"/>
  <c r="T57" i="2" s="1"/>
  <c r="V61" i="2"/>
  <c r="T61" i="2" s="1"/>
  <c r="V58" i="2"/>
  <c r="T58" i="2" s="1"/>
  <c r="V60" i="2"/>
  <c r="T60" i="2" s="1"/>
  <c r="V62" i="2"/>
  <c r="T62" i="2" s="1"/>
  <c r="J27" i="1" a="1"/>
  <c r="J27" i="1" l="1"/>
  <c r="P31" i="1" s="1"/>
  <c r="J48" i="1" a="1"/>
  <c r="J50" i="1" a="1"/>
  <c r="J45" i="1" a="1"/>
  <c r="J47" i="1" a="1"/>
  <c r="J46" i="1" a="1"/>
  <c r="J49" i="1" a="1"/>
  <c r="J51" i="1" a="1"/>
  <c r="X31" i="1" l="1"/>
  <c r="V31" i="1"/>
  <c r="T31" i="1"/>
  <c r="R31" i="1"/>
  <c r="J47" i="1"/>
  <c r="J50" i="1"/>
  <c r="J48" i="1"/>
  <c r="J46" i="1"/>
  <c r="J45" i="1"/>
  <c r="J49" i="1"/>
  <c r="J51" i="1"/>
  <c r="AC35" i="1" l="1"/>
  <c r="AD35" i="1" s="1"/>
  <c r="AC36" i="1"/>
  <c r="AD36" i="1" s="1"/>
  <c r="AC27" i="1"/>
  <c r="AD27" i="1" s="1"/>
  <c r="AC30" i="1"/>
  <c r="AD30" i="1" s="1"/>
  <c r="AC31" i="1"/>
  <c r="AD31" i="1" s="1"/>
  <c r="AC29" i="1"/>
  <c r="AD29" i="1" s="1"/>
  <c r="AC28" i="1"/>
  <c r="AD28" i="1" s="1"/>
  <c r="AC33" i="1"/>
  <c r="AD33" i="1" s="1"/>
  <c r="AC34" i="1"/>
  <c r="AD34" i="1" s="1"/>
  <c r="AC32" i="1"/>
  <c r="AD32" i="1" s="1"/>
  <c r="X48" i="1"/>
  <c r="T48" i="1"/>
  <c r="V48" i="1"/>
  <c r="R48" i="1"/>
  <c r="AC52" i="1" l="1"/>
  <c r="AD52" i="1" s="1"/>
  <c r="AC47" i="1"/>
  <c r="AD47" i="1" s="1"/>
  <c r="AC50" i="1"/>
  <c r="AD50" i="1" s="1"/>
  <c r="AC53" i="1"/>
  <c r="AD53" i="1" s="1"/>
  <c r="AC44" i="1"/>
  <c r="AD44" i="1" s="1"/>
  <c r="AC48" i="1"/>
  <c r="AD48" i="1" s="1"/>
  <c r="AC51" i="1"/>
  <c r="AD51" i="1" s="1"/>
  <c r="AC45" i="1"/>
  <c r="AD45" i="1" s="1"/>
  <c r="AC46" i="1"/>
  <c r="AD46" i="1" s="1"/>
  <c r="AC49" i="1"/>
  <c r="AD49" i="1" s="1"/>
</calcChain>
</file>

<file path=xl/sharedStrings.xml><?xml version="1.0" encoding="utf-8"?>
<sst xmlns="http://schemas.openxmlformats.org/spreadsheetml/2006/main" count="361" uniqueCount="150">
  <si>
    <t>Les postes 3 et 4</t>
  </si>
  <si>
    <t>Groupe travaillant de 8h00 à 17h45 cette semaine</t>
  </si>
  <si>
    <t>Groupes travaillant de 8h00 à 16h33 cette semaine</t>
  </si>
  <si>
    <t>LAVAGE</t>
  </si>
  <si>
    <t>pour</t>
  </si>
  <si>
    <t>semaine</t>
  </si>
  <si>
    <t>et</t>
  </si>
  <si>
    <t>Appartenance</t>
  </si>
  <si>
    <t>Groupe</t>
  </si>
  <si>
    <t>Lundi</t>
  </si>
  <si>
    <t>Mardi</t>
  </si>
  <si>
    <t>Mercredi</t>
  </si>
  <si>
    <t>Jeudi</t>
  </si>
  <si>
    <t>Vendredi</t>
  </si>
  <si>
    <t>Nombre de jours dans l'année que l'agent a occupé ce poste</t>
  </si>
  <si>
    <t>Poste Lavage</t>
  </si>
  <si>
    <t>Compteur annuel</t>
  </si>
  <si>
    <t>Semaine  0 à</t>
  </si>
  <si>
    <t>Temps partiel</t>
  </si>
  <si>
    <t>Correction pour équité</t>
  </si>
  <si>
    <t>total annuel</t>
  </si>
  <si>
    <t>Non</t>
  </si>
  <si>
    <t>Poste à pouvoir</t>
  </si>
  <si>
    <t>N° poste</t>
  </si>
  <si>
    <t>Poste Tri + LAVEUR soir</t>
  </si>
  <si>
    <t>Pour la semaine, désigner un agent ou 2 agents maximum (certains sont  à 80%) selon les critères suivants :</t>
  </si>
  <si>
    <t>L'agent (ou les 2 agents) fait (ou font) parti d'un des 2 groupes finissant à 16h33 ( si impossible sélectionner l'agent (ou les 2 agents) dans le goupe qui finit à 17h45)</t>
  </si>
  <si>
    <t>Tenir compte du compteur en sélectionnant celui qui a occupé ce poste le moins souvent dans l'année</t>
  </si>
  <si>
    <t>Pour la semaine, désigner un agent ou 2 agents maximum selon les critères suivants :</t>
  </si>
  <si>
    <t>L'agent (ou les 2 agents) fait (ou font)parti du groupe finissant à 17h45 ( si impossible sélectionner l'agent (ou les 2 agents) dans le goupe qui finit à 16h33)</t>
  </si>
  <si>
    <t>Les postes 45 et 46</t>
  </si>
  <si>
    <t>LINGERIE</t>
  </si>
  <si>
    <t>Présence cette semaine :</t>
  </si>
  <si>
    <t>1 = oui</t>
  </si>
  <si>
    <t>0 = non</t>
  </si>
  <si>
    <t>Liste des agents formés  pour</t>
  </si>
  <si>
    <t>ces 2 postes de travail</t>
  </si>
  <si>
    <t>mardi</t>
  </si>
  <si>
    <t>mercredi</t>
  </si>
  <si>
    <t>jeudi</t>
  </si>
  <si>
    <t>vendredi</t>
  </si>
  <si>
    <t>Présence semaine précédente</t>
  </si>
  <si>
    <t/>
  </si>
  <si>
    <t xml:space="preserve">Nombre de jours dans l'année </t>
  </si>
  <si>
    <t>que l'agent a occupé ce poste</t>
  </si>
  <si>
    <t>Pour la semaine, désigner  2 agents  selon les critères suivants :</t>
  </si>
  <si>
    <t>un des 2 agents désignés aura occupé 1 de ces 2 postes la semaine précédente pour permettre le passage des consignes</t>
  </si>
  <si>
    <t xml:space="preserve"> désigner le deuxième agent</t>
  </si>
  <si>
    <t>Tenir compte du compteur pour désigner les agents</t>
  </si>
  <si>
    <t>JEROME</t>
  </si>
  <si>
    <t>CLARISSE</t>
  </si>
  <si>
    <t>SOPHIE</t>
  </si>
  <si>
    <t>AURELIE</t>
  </si>
  <si>
    <t>KEVIN</t>
  </si>
  <si>
    <t>NOEMIE</t>
  </si>
  <si>
    <t>VINCENT</t>
  </si>
  <si>
    <t>PAULINE</t>
  </si>
  <si>
    <t>DAVID</t>
  </si>
  <si>
    <t>JACQUES</t>
  </si>
  <si>
    <t>NICOLAS</t>
  </si>
  <si>
    <t>FLORENCE</t>
  </si>
  <si>
    <t>Résultat souhaité</t>
  </si>
  <si>
    <t>Absente le lundi, car travaillant à 80%, elle est remplaçéé par PAULINE (compteur le + faible parmi les groupes 0 et 1 et présente le(s) jour(s) où NOEMIE est absente</t>
  </si>
  <si>
    <t>Parmi les agents des 2 groupes  travaillant de 8h00 à 16h33 cette semaine (groupe 0 et 1), NOEMIE a le score le plus faible, elle occupe donc ce poste tous les jours de la semaine lorsqu'elle est présente,</t>
  </si>
  <si>
    <t>PIERRE</t>
  </si>
  <si>
    <t>Parmi les agents du groupe  travaillant de 8h00 à 17h45 cette semaine (groupe 2), NICOLAS a le score le plus faible (FLORENCE étant absente), il occupe donc ce poste tous les jours de la semaine lorsqu'il est présent,</t>
  </si>
  <si>
    <t xml:space="preserve">absent jeudi et vendredi, il ne peut pas être remplacé par PIERRE (groupe 2 mais absent vendredi, (2 agents maximum sur le poste dans la semaine)), </t>
  </si>
  <si>
    <t xml:space="preserve">il faut donc aller chercher un agent d'un des autres groupes (0 et 1) : </t>
  </si>
  <si>
    <t xml:space="preserve"> NOEMIE a le score le + faible mais est déjà nommée sur le poste précédent donc impossible</t>
  </si>
  <si>
    <t>Ensuite, le score le plus faible est VINCENT et il est bien présent jeudi et vendredi, ce sera donc lui</t>
  </si>
  <si>
    <t>La semaine précédente CLARISSE et AURELIE occupaient ces 2 postes, AURELIE ayant le score le plus faible occupera le poste 45 cette semaine</t>
  </si>
  <si>
    <t>Parmi les autres agents, SOPHIE a le score le + faible mais elle es absente pour la semaine donc impossible</t>
  </si>
  <si>
    <t>Ensuite, c'est KEVIN qui a le score le + faible, ce sera donc lui pour le poste 46</t>
  </si>
  <si>
    <t xml:space="preserve">Remarque :  </t>
  </si>
  <si>
    <t>le taux d'occupation des 2 postes est de 80% donc c'est acceptable</t>
  </si>
  <si>
    <t>Ensuite, le score le plus faible est PAULINE, mais elle est absente vendredi donc impossible (2 agents maximum sur le poste dans la semaine)</t>
  </si>
  <si>
    <t>Si certains jours, un poste est inoccupé (quelques agents travaillent à temps partiel à 80% + absences diverses) , cela n'a pas d'importance. Le taux d'occupation des 2 postes doit être au minimum de 70%</t>
  </si>
  <si>
    <t>merci</t>
  </si>
  <si>
    <t>Dick</t>
  </si>
  <si>
    <t>Cordialement</t>
  </si>
  <si>
    <t>ETAPE  2</t>
  </si>
  <si>
    <t>lavage et agent de maîtrise</t>
  </si>
  <si>
    <t>Compteur</t>
  </si>
  <si>
    <t>formules matricielles</t>
  </si>
  <si>
    <t>Quel agent occupera le poste LAVAGE pendant les 5 jours.</t>
  </si>
  <si>
    <t>Agents pouvant occupés le poste pendant les 5 jours:</t>
  </si>
  <si>
    <t>s ’il y a des ex-eaquo</t>
  </si>
  <si>
    <t>LAVEUR</t>
  </si>
  <si>
    <t xml:space="preserve">Condition: agent présent toute la semaine. </t>
  </si>
  <si>
    <t>LE DEVIC S</t>
  </si>
  <si>
    <t>compteur</t>
  </si>
  <si>
    <t>GUILLERME F</t>
  </si>
  <si>
    <t xml:space="preserve"> Rotation équitabe si possible</t>
  </si>
  <si>
    <t>à trouver</t>
  </si>
  <si>
    <t xml:space="preserve">LATINIER </t>
  </si>
  <si>
    <t>LE BELLER S</t>
  </si>
  <si>
    <t>Liste modifiable au niveau des agents et en nombre</t>
  </si>
  <si>
    <t xml:space="preserve">MAILLARD V </t>
  </si>
  <si>
    <t>GENOT N</t>
  </si>
  <si>
    <t>Formule en fonction du tableau des présences</t>
  </si>
  <si>
    <t>STRAZEL D</t>
  </si>
  <si>
    <t>x 1,25 pour les 80%</t>
  </si>
  <si>
    <t xml:space="preserve"> 1er agent de la plage LAVEUR (cellule non vide)</t>
  </si>
  <si>
    <t>Lavage</t>
  </si>
  <si>
    <t>MARTIN R</t>
  </si>
  <si>
    <t xml:space="preserve"> 2ieme agent de la plage LAVEUR (cellule non vide)</t>
  </si>
  <si>
    <t>16h33-17h45</t>
  </si>
  <si>
    <t>Poste Agent de Maîtrise</t>
  </si>
  <si>
    <t>Remplir manuellement les jours pour le lavage</t>
  </si>
  <si>
    <t>Remplacement Robert en congé</t>
  </si>
  <si>
    <t>sinon ne rien mettre</t>
  </si>
  <si>
    <t>Liste des agents réellement disponibles pour ces 2 postes de travail</t>
  </si>
  <si>
    <t>GENOT Nico</t>
  </si>
  <si>
    <t xml:space="preserve"> 1er LAVEUR (cellule non vide)</t>
  </si>
  <si>
    <t xml:space="preserve"> 2e LAVEUR (cellule non vide)</t>
  </si>
  <si>
    <t xml:space="preserve"> 3e LAVEUR (cellule non vide)</t>
  </si>
  <si>
    <t xml:space="preserve"> 4e LAVEUR (cellule non vide)</t>
  </si>
  <si>
    <t xml:space="preserve"> 5e LAVEUR (cellule non vide)</t>
  </si>
  <si>
    <t xml:space="preserve"> 6e LAVEUR (cellule non vide)</t>
  </si>
  <si>
    <t xml:space="preserve"> 7e LAVEUR (cellule non vide)</t>
  </si>
  <si>
    <t xml:space="preserve"> 8e LAVEUR (cellule non vide)</t>
  </si>
  <si>
    <t>Somme</t>
  </si>
  <si>
    <t>présence</t>
  </si>
  <si>
    <t>si jour férié dans semaine</t>
  </si>
  <si>
    <t>cellule presence absence</t>
  </si>
  <si>
    <t>NON</t>
  </si>
  <si>
    <t xml:space="preserve"> 1er Lingère (cellule non vide)</t>
  </si>
  <si>
    <t xml:space="preserve"> 2e Lingère (cellule non vide)</t>
  </si>
  <si>
    <t xml:space="preserve"> 3e Lingère (cellule non vide)</t>
  </si>
  <si>
    <t xml:space="preserve"> 4e Lingère (cellule non vide)</t>
  </si>
  <si>
    <t xml:space="preserve"> 5e Lingère (cellule non vide)</t>
  </si>
  <si>
    <t>présence semaine précédente</t>
  </si>
  <si>
    <t xml:space="preserve"> 1er Lingère</t>
  </si>
  <si>
    <t xml:space="preserve"> 2e Lingère</t>
  </si>
  <si>
    <t>Conditions présence</t>
  </si>
  <si>
    <t>Conditions présence et groupe</t>
  </si>
  <si>
    <t>Classement</t>
  </si>
  <si>
    <t>Liste</t>
  </si>
  <si>
    <t xml:space="preserve"> 1er (cellule non vide)</t>
  </si>
  <si>
    <t xml:space="preserve"> 2e (cellule non vide)</t>
  </si>
  <si>
    <t xml:space="preserve"> 3e (cellule non vide)</t>
  </si>
  <si>
    <t xml:space="preserve"> 4e (cellule non vide)</t>
  </si>
  <si>
    <t xml:space="preserve"> 5e (cellule non vide)</t>
  </si>
  <si>
    <t xml:space="preserve"> 6e (cellule non vide)</t>
  </si>
  <si>
    <t xml:space="preserve"> 7e (cellule non vide)</t>
  </si>
  <si>
    <t xml:space="preserve"> 8e (cellule non vide)</t>
  </si>
  <si>
    <t>Agents Retenus</t>
  </si>
  <si>
    <t>condition: présent la semaine précédente</t>
  </si>
  <si>
    <t>condition: non présent la semaine précédente</t>
  </si>
  <si>
    <t>NON 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</si>
</sst>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8"/>
      <color indexed="9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Arial"/>
      <family val="2"/>
    </font>
    <font>
      <sz val="8"/>
      <color rgb="FFFF0000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</font>
    <font>
      <sz val="11"/>
      <color theme="1"/>
      <name val="Calibri"/>
      <family val="2"/>
    </font>
    <font>
      <sz val="6"/>
      <name val="Calibri"/>
      <family val="2"/>
      <scheme val="minor"/>
    </font>
    <font>
      <sz val="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46">
    <xf numFmtId="0" fontId="0" fillId="0" borderId="0" xfId="0"/>
    <xf numFmtId="0" fontId="1" fillId="2" borderId="0" xfId="0" applyFont="1" applyFill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4" fillId="0" borderId="2" xfId="0" applyFont="1" applyBorder="1"/>
    <xf numFmtId="0" fontId="0" fillId="0" borderId="0" xfId="0" applyAlignment="1">
      <alignment horizontal="left"/>
    </xf>
    <xf numFmtId="0" fontId="4" fillId="0" borderId="3" xfId="0" applyFont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4" fillId="0" borderId="0" xfId="0" applyFont="1"/>
    <xf numFmtId="0" fontId="0" fillId="0" borderId="4" xfId="0" applyBorder="1" applyAlignment="1">
      <alignment horizontal="center"/>
    </xf>
    <xf numFmtId="0" fontId="6" fillId="6" borderId="1" xfId="0" applyFont="1" applyFill="1" applyBorder="1"/>
    <xf numFmtId="0" fontId="6" fillId="6" borderId="5" xfId="0" applyFont="1" applyFill="1" applyBorder="1"/>
    <xf numFmtId="0" fontId="6" fillId="0" borderId="4" xfId="0" applyFont="1" applyBorder="1"/>
    <xf numFmtId="0" fontId="6" fillId="6" borderId="6" xfId="0" applyFont="1" applyFill="1" applyBorder="1"/>
    <xf numFmtId="0" fontId="6" fillId="6" borderId="7" xfId="0" applyFont="1" applyFill="1" applyBorder="1"/>
    <xf numFmtId="0" fontId="0" fillId="0" borderId="3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3" borderId="0" xfId="0" applyFill="1"/>
    <xf numFmtId="0" fontId="0" fillId="0" borderId="12" xfId="0" applyBorder="1"/>
    <xf numFmtId="0" fontId="0" fillId="0" borderId="11" xfId="0" applyBorder="1" applyAlignment="1">
      <alignment horizontal="center"/>
    </xf>
    <xf numFmtId="0" fontId="0" fillId="0" borderId="11" xfId="0" applyBorder="1" applyAlignment="1">
      <alignment horizontal="right"/>
    </xf>
    <xf numFmtId="0" fontId="4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6" fillId="0" borderId="1" xfId="0" applyFont="1" applyBorder="1"/>
    <xf numFmtId="0" fontId="0" fillId="0" borderId="1" xfId="0" applyBorder="1"/>
    <xf numFmtId="0" fontId="6" fillId="0" borderId="0" xfId="0" applyFont="1"/>
    <xf numFmtId="0" fontId="6" fillId="0" borderId="0" xfId="0" applyFont="1" applyAlignment="1">
      <alignment horizontal="center"/>
    </xf>
    <xf numFmtId="0" fontId="1" fillId="0" borderId="0" xfId="0" applyFont="1"/>
    <xf numFmtId="0" fontId="0" fillId="0" borderId="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6" xfId="0" applyBorder="1" applyAlignment="1">
      <alignment horizontal="center"/>
    </xf>
    <xf numFmtId="0" fontId="0" fillId="0" borderId="17" xfId="0" applyBorder="1"/>
    <xf numFmtId="0" fontId="0" fillId="0" borderId="8" xfId="0" applyBorder="1" applyAlignment="1">
      <alignment horizontal="center"/>
    </xf>
    <xf numFmtId="0" fontId="5" fillId="5" borderId="7" xfId="0" applyFont="1" applyFill="1" applyBorder="1" applyAlignment="1">
      <alignment horizontal="center"/>
    </xf>
    <xf numFmtId="0" fontId="0" fillId="7" borderId="0" xfId="0" applyFill="1"/>
    <xf numFmtId="0" fontId="0" fillId="7" borderId="0" xfId="0" applyFill="1" applyAlignment="1">
      <alignment horizontal="center"/>
    </xf>
    <xf numFmtId="0" fontId="0" fillId="8" borderId="18" xfId="0" applyFill="1" applyBorder="1"/>
    <xf numFmtId="0" fontId="0" fillId="8" borderId="13" xfId="0" applyFill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14" xfId="0" applyBorder="1" applyAlignment="1">
      <alignment horizontal="center"/>
    </xf>
    <xf numFmtId="0" fontId="0" fillId="8" borderId="0" xfId="0" applyFill="1"/>
    <xf numFmtId="0" fontId="0" fillId="0" borderId="18" xfId="0" applyBorder="1"/>
    <xf numFmtId="0" fontId="0" fillId="0" borderId="20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13" xfId="0" applyBorder="1" applyAlignment="1">
      <alignment horizontal="center"/>
    </xf>
    <xf numFmtId="0" fontId="4" fillId="0" borderId="13" xfId="0" applyFont="1" applyBorder="1"/>
    <xf numFmtId="0" fontId="2" fillId="6" borderId="1" xfId="0" applyFont="1" applyFill="1" applyBorder="1" applyAlignment="1">
      <alignment horizontal="center"/>
    </xf>
    <xf numFmtId="0" fontId="4" fillId="0" borderId="14" xfId="0" applyFont="1" applyBorder="1"/>
    <xf numFmtId="0" fontId="0" fillId="0" borderId="0" xfId="0" applyFill="1" applyBorder="1"/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0" fillId="0" borderId="0" xfId="0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14" xfId="0" applyBorder="1" applyAlignment="1">
      <alignment horizontal="right"/>
    </xf>
    <xf numFmtId="0" fontId="1" fillId="4" borderId="0" xfId="0" applyFont="1" applyFill="1"/>
    <xf numFmtId="0" fontId="0" fillId="4" borderId="0" xfId="0" applyFill="1"/>
    <xf numFmtId="0" fontId="0" fillId="4" borderId="8" xfId="0" applyFill="1" applyBorder="1"/>
    <xf numFmtId="0" fontId="6" fillId="0" borderId="9" xfId="0" applyFont="1" applyBorder="1"/>
    <xf numFmtId="0" fontId="3" fillId="0" borderId="0" xfId="0" applyFont="1"/>
    <xf numFmtId="0" fontId="6" fillId="10" borderId="8" xfId="0" applyFont="1" applyFill="1" applyBorder="1" applyAlignment="1">
      <alignment horizontal="center"/>
    </xf>
    <xf numFmtId="0" fontId="6" fillId="0" borderId="10" xfId="0" applyFont="1" applyBorder="1"/>
    <xf numFmtId="0" fontId="7" fillId="0" borderId="0" xfId="0" applyFont="1" applyAlignment="1">
      <alignment horizontal="left"/>
    </xf>
    <xf numFmtId="0" fontId="6" fillId="0" borderId="11" xfId="0" applyFont="1" applyBorder="1" applyAlignment="1">
      <alignment horizontal="center"/>
    </xf>
    <xf numFmtId="0" fontId="6" fillId="0" borderId="12" xfId="0" applyFont="1" applyBorder="1"/>
    <xf numFmtId="0" fontId="8" fillId="9" borderId="20" xfId="0" applyFont="1" applyFill="1" applyBorder="1"/>
    <xf numFmtId="0" fontId="0" fillId="11" borderId="0" xfId="0" applyFill="1"/>
    <xf numFmtId="0" fontId="6" fillId="0" borderId="1" xfId="0" applyFont="1" applyBorder="1" applyAlignment="1">
      <alignment horizontal="center"/>
    </xf>
    <xf numFmtId="0" fontId="9" fillId="0" borderId="1" xfId="0" applyFont="1" applyBorder="1"/>
    <xf numFmtId="1" fontId="9" fillId="0" borderId="1" xfId="0" applyNumberFormat="1" applyFont="1" applyBorder="1"/>
    <xf numFmtId="0" fontId="10" fillId="0" borderId="11" xfId="0" applyFont="1" applyBorder="1"/>
    <xf numFmtId="0" fontId="9" fillId="0" borderId="24" xfId="0" applyFont="1" applyBorder="1"/>
    <xf numFmtId="0" fontId="6" fillId="0" borderId="5" xfId="0" applyFont="1" applyBorder="1"/>
    <xf numFmtId="0" fontId="6" fillId="0" borderId="11" xfId="0" applyFont="1" applyBorder="1"/>
    <xf numFmtId="0" fontId="10" fillId="0" borderId="0" xfId="0" applyFont="1"/>
    <xf numFmtId="0" fontId="0" fillId="0" borderId="15" xfId="0" applyBorder="1"/>
    <xf numFmtId="0" fontId="6" fillId="0" borderId="16" xfId="0" applyFont="1" applyBorder="1"/>
    <xf numFmtId="0" fontId="0" fillId="4" borderId="9" xfId="0" applyFill="1" applyBorder="1"/>
    <xf numFmtId="0" fontId="11" fillId="0" borderId="0" xfId="0" applyFont="1"/>
    <xf numFmtId="0" fontId="7" fillId="0" borderId="5" xfId="0" applyFont="1" applyBorder="1"/>
    <xf numFmtId="0" fontId="7" fillId="0" borderId="1" xfId="0" applyFont="1" applyBorder="1"/>
    <xf numFmtId="0" fontId="1" fillId="11" borderId="0" xfId="0" applyFont="1" applyFill="1"/>
    <xf numFmtId="0" fontId="7" fillId="0" borderId="0" xfId="0" applyFont="1"/>
    <xf numFmtId="0" fontId="0" fillId="2" borderId="8" xfId="0" applyFill="1" applyBorder="1" applyAlignment="1">
      <alignment horizontal="center"/>
    </xf>
    <xf numFmtId="0" fontId="1" fillId="2" borderId="9" xfId="0" applyFont="1" applyFill="1" applyBorder="1"/>
    <xf numFmtId="0" fontId="0" fillId="0" borderId="0" xfId="0" applyBorder="1"/>
    <xf numFmtId="0" fontId="0" fillId="3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4" fillId="0" borderId="0" xfId="0" applyFont="1" applyBorder="1"/>
    <xf numFmtId="0" fontId="12" fillId="0" borderId="1" xfId="0" applyFont="1" applyBorder="1"/>
    <xf numFmtId="0" fontId="3" fillId="0" borderId="0" xfId="0" applyFont="1" applyFill="1" applyBorder="1"/>
    <xf numFmtId="0" fontId="6" fillId="0" borderId="0" xfId="0" applyFont="1" applyFill="1" applyBorder="1"/>
    <xf numFmtId="0" fontId="7" fillId="0" borderId="0" xfId="0" applyFont="1" applyFill="1" applyBorder="1" applyAlignment="1">
      <alignment horizontal="left"/>
    </xf>
    <xf numFmtId="0" fontId="6" fillId="0" borderId="2" xfId="0" applyFont="1" applyBorder="1"/>
    <xf numFmtId="0" fontId="0" fillId="12" borderId="1" xfId="0" applyFill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0" xfId="0" applyFont="1" applyBorder="1" applyAlignment="1">
      <alignment wrapText="1"/>
    </xf>
    <xf numFmtId="0" fontId="0" fillId="0" borderId="12" xfId="0" applyBorder="1" applyAlignment="1">
      <alignment horizontal="right"/>
    </xf>
    <xf numFmtId="9" fontId="0" fillId="0" borderId="11" xfId="0" applyNumberFormat="1" applyBorder="1" applyAlignment="1">
      <alignment horizontal="center"/>
    </xf>
    <xf numFmtId="0" fontId="0" fillId="0" borderId="25" xfId="0" applyBorder="1"/>
    <xf numFmtId="0" fontId="0" fillId="0" borderId="25" xfId="0" applyBorder="1" applyAlignment="1">
      <alignment horizontal="center"/>
    </xf>
    <xf numFmtId="0" fontId="6" fillId="0" borderId="0" xfId="0" applyFont="1" applyBorder="1"/>
    <xf numFmtId="0" fontId="0" fillId="0" borderId="0" xfId="0" applyFill="1" applyBorder="1" applyAlignment="1">
      <alignment horizontal="left"/>
    </xf>
    <xf numFmtId="0" fontId="0" fillId="3" borderId="0" xfId="0" applyFill="1" applyBorder="1"/>
    <xf numFmtId="0" fontId="1" fillId="0" borderId="0" xfId="0" applyFont="1" applyBorder="1"/>
    <xf numFmtId="0" fontId="6" fillId="0" borderId="0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0" fillId="0" borderId="0" xfId="0" applyFont="1"/>
    <xf numFmtId="0" fontId="13" fillId="0" borderId="0" xfId="0" applyFont="1" applyFill="1" applyBorder="1" applyAlignment="1">
      <alignment horizontal="left"/>
    </xf>
    <xf numFmtId="0" fontId="13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6" fillId="13" borderId="2" xfId="0" applyFont="1" applyFill="1" applyBorder="1"/>
    <xf numFmtId="0" fontId="6" fillId="13" borderId="1" xfId="0" applyFont="1" applyFill="1" applyBorder="1"/>
    <xf numFmtId="0" fontId="0" fillId="0" borderId="20" xfId="0" applyBorder="1" applyAlignment="1">
      <alignment horizontal="right"/>
    </xf>
    <xf numFmtId="0" fontId="4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9" fontId="0" fillId="0" borderId="0" xfId="0" applyNumberFormat="1" applyBorder="1" applyAlignment="1">
      <alignment horizontal="center"/>
    </xf>
    <xf numFmtId="0" fontId="0" fillId="8" borderId="5" xfId="0" applyFill="1" applyBorder="1"/>
    <xf numFmtId="0" fontId="0" fillId="8" borderId="6" xfId="0" applyFill="1" applyBorder="1"/>
    <xf numFmtId="0" fontId="0" fillId="8" borderId="7" xfId="0" applyFill="1" applyBorder="1" applyAlignment="1">
      <alignment horizontal="center"/>
    </xf>
    <xf numFmtId="0" fontId="6" fillId="12" borderId="18" xfId="0" applyFont="1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2" borderId="0" xfId="0" applyFill="1"/>
    <xf numFmtId="0" fontId="14" fillId="0" borderId="0" xfId="0" applyFont="1" applyBorder="1"/>
    <xf numFmtId="0" fontId="15" fillId="0" borderId="0" xfId="0" applyFont="1" applyBorder="1"/>
    <xf numFmtId="0" fontId="16" fillId="0" borderId="0" xfId="0" applyFont="1" applyBorder="1" applyAlignment="1">
      <alignment wrapText="1"/>
    </xf>
    <xf numFmtId="0" fontId="0" fillId="0" borderId="27" xfId="0" applyBorder="1"/>
    <xf numFmtId="0" fontId="8" fillId="0" borderId="26" xfId="0" applyFont="1" applyFill="1" applyBorder="1"/>
    <xf numFmtId="0" fontId="2" fillId="11" borderId="1" xfId="0" applyFont="1" applyFill="1" applyBorder="1" applyAlignment="1">
      <alignment horizontal="center"/>
    </xf>
    <xf numFmtId="0" fontId="6" fillId="11" borderId="1" xfId="0" applyFont="1" applyFill="1" applyBorder="1"/>
    <xf numFmtId="0" fontId="6" fillId="11" borderId="7" xfId="0" applyFont="1" applyFill="1" applyBorder="1"/>
    <xf numFmtId="0" fontId="0" fillId="0" borderId="0" xfId="0" applyFill="1"/>
    <xf numFmtId="0" fontId="17" fillId="0" borderId="21" xfId="0" applyFont="1" applyBorder="1"/>
  </cellXfs>
  <cellStyles count="2">
    <cellStyle name="Normal" xfId="0" builtinId="0"/>
    <cellStyle name="Normal 2" xfId="1" xr:uid="{523041B8-2F7B-45E4-8FB6-B8A841EFFA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266700</xdr:colOff>
      <xdr:row>34</xdr:row>
      <xdr:rowOff>9525</xdr:rowOff>
    </xdr:from>
    <xdr:to>
      <xdr:col>16</xdr:col>
      <xdr:colOff>161925</xdr:colOff>
      <xdr:row>35</xdr:row>
      <xdr:rowOff>152400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50D649D3-63FF-4BBF-8B23-8D7A927FD09C}"/>
            </a:ext>
          </a:extLst>
        </xdr:cNvPr>
        <xdr:cNvSpPr/>
      </xdr:nvSpPr>
      <xdr:spPr>
        <a:xfrm>
          <a:off x="10934700" y="6667500"/>
          <a:ext cx="141922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simplifier</a:t>
          </a:r>
        </a:p>
      </xdr:txBody>
    </xdr:sp>
    <xdr:clientData/>
  </xdr:twoCellAnchor>
  <xdr:twoCellAnchor>
    <xdr:from>
      <xdr:col>15</xdr:col>
      <xdr:colOff>352425</xdr:colOff>
      <xdr:row>31</xdr:row>
      <xdr:rowOff>19051</xdr:rowOff>
    </xdr:from>
    <xdr:to>
      <xdr:col>15</xdr:col>
      <xdr:colOff>361950</xdr:colOff>
      <xdr:row>33</xdr:row>
      <xdr:rowOff>133350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BC5FA7A-4E8C-4E1A-AE76-F3280B959B03}"/>
            </a:ext>
          </a:extLst>
        </xdr:cNvPr>
        <xdr:cNvCxnSpPr/>
      </xdr:nvCxnSpPr>
      <xdr:spPr>
        <a:xfrm flipV="1">
          <a:off x="11782425" y="6105526"/>
          <a:ext cx="9525" cy="4952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552450</xdr:colOff>
      <xdr:row>51</xdr:row>
      <xdr:rowOff>9525</xdr:rowOff>
    </xdr:from>
    <xdr:to>
      <xdr:col>16</xdr:col>
      <xdr:colOff>447675</xdr:colOff>
      <xdr:row>52</xdr:row>
      <xdr:rowOff>152400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A637AA6A-7678-4979-96F4-C36B43A93303}"/>
            </a:ext>
          </a:extLst>
        </xdr:cNvPr>
        <xdr:cNvSpPr/>
      </xdr:nvSpPr>
      <xdr:spPr>
        <a:xfrm>
          <a:off x="11220450" y="10096500"/>
          <a:ext cx="141922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simplifier</a:t>
          </a:r>
        </a:p>
      </xdr:txBody>
    </xdr:sp>
    <xdr:clientData/>
  </xdr:twoCellAnchor>
  <xdr:twoCellAnchor>
    <xdr:from>
      <xdr:col>11</xdr:col>
      <xdr:colOff>285750</xdr:colOff>
      <xdr:row>122</xdr:row>
      <xdr:rowOff>9525</xdr:rowOff>
    </xdr:from>
    <xdr:to>
      <xdr:col>13</xdr:col>
      <xdr:colOff>180975</xdr:colOff>
      <xdr:row>123</xdr:row>
      <xdr:rowOff>152400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1E4D62F4-7DD8-44CE-97F0-34013B407920}"/>
            </a:ext>
          </a:extLst>
        </xdr:cNvPr>
        <xdr:cNvSpPr/>
      </xdr:nvSpPr>
      <xdr:spPr>
        <a:xfrm>
          <a:off x="8667750" y="23736300"/>
          <a:ext cx="141922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Formules à simplifier</a:t>
          </a:r>
        </a:p>
      </xdr:txBody>
    </xdr:sp>
    <xdr:clientData/>
  </xdr:twoCellAnchor>
  <xdr:twoCellAnchor>
    <xdr:from>
      <xdr:col>10</xdr:col>
      <xdr:colOff>47625</xdr:colOff>
      <xdr:row>112</xdr:row>
      <xdr:rowOff>0</xdr:rowOff>
    </xdr:from>
    <xdr:to>
      <xdr:col>12</xdr:col>
      <xdr:colOff>185738</xdr:colOff>
      <xdr:row>121</xdr:row>
      <xdr:rowOff>152400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FB99CC0A-7F3A-46C4-81B0-419F707C2504}"/>
            </a:ext>
          </a:extLst>
        </xdr:cNvPr>
        <xdr:cNvCxnSpPr/>
      </xdr:nvCxnSpPr>
      <xdr:spPr>
        <a:xfrm flipH="1" flipV="1">
          <a:off x="7667625" y="21717000"/>
          <a:ext cx="1662113" cy="1971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361950</xdr:colOff>
      <xdr:row>48</xdr:row>
      <xdr:rowOff>66676</xdr:rowOff>
    </xdr:from>
    <xdr:to>
      <xdr:col>15</xdr:col>
      <xdr:colOff>371475</xdr:colOff>
      <xdr:row>51</xdr:row>
      <xdr:rowOff>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5ADDD8BE-966A-443F-B9A3-9AFBF008A804}"/>
            </a:ext>
          </a:extLst>
        </xdr:cNvPr>
        <xdr:cNvCxnSpPr/>
      </xdr:nvCxnSpPr>
      <xdr:spPr>
        <a:xfrm flipV="1">
          <a:off x="11791950" y="9582151"/>
          <a:ext cx="9525" cy="5048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447675</xdr:colOff>
      <xdr:row>34</xdr:row>
      <xdr:rowOff>57150</xdr:rowOff>
    </xdr:from>
    <xdr:to>
      <xdr:col>18</xdr:col>
      <xdr:colOff>342900</xdr:colOff>
      <xdr:row>36</xdr:row>
      <xdr:rowOff>9525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CADD0AE2-C2AB-402E-87A6-4E231C37251E}"/>
            </a:ext>
          </a:extLst>
        </xdr:cNvPr>
        <xdr:cNvSpPr/>
      </xdr:nvSpPr>
      <xdr:spPr>
        <a:xfrm>
          <a:off x="12639675" y="6715125"/>
          <a:ext cx="141922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et à copier</a:t>
          </a:r>
          <a:r>
            <a:rPr lang="fr-FR" sz="1100" baseline="0"/>
            <a:t> coller</a:t>
          </a:r>
          <a:endParaRPr lang="fr-FR" sz="1100"/>
        </a:p>
      </xdr:txBody>
    </xdr:sp>
    <xdr:clientData/>
  </xdr:twoCellAnchor>
  <xdr:twoCellAnchor>
    <xdr:from>
      <xdr:col>17</xdr:col>
      <xdr:colOff>504825</xdr:colOff>
      <xdr:row>31</xdr:row>
      <xdr:rowOff>66676</xdr:rowOff>
    </xdr:from>
    <xdr:to>
      <xdr:col>17</xdr:col>
      <xdr:colOff>514350</xdr:colOff>
      <xdr:row>33</xdr:row>
      <xdr:rowOff>161925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A29C4215-013D-4204-B39B-6C09A187399C}"/>
            </a:ext>
          </a:extLst>
        </xdr:cNvPr>
        <xdr:cNvCxnSpPr/>
      </xdr:nvCxnSpPr>
      <xdr:spPr>
        <a:xfrm flipV="1">
          <a:off x="13458825" y="6153151"/>
          <a:ext cx="9525" cy="4762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428625</xdr:colOff>
      <xdr:row>31</xdr:row>
      <xdr:rowOff>57151</xdr:rowOff>
    </xdr:from>
    <xdr:to>
      <xdr:col>23</xdr:col>
      <xdr:colOff>342900</xdr:colOff>
      <xdr:row>35</xdr:row>
      <xdr:rowOff>57150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DCE2EF3F-092E-4BCC-9F07-2D18A5E22FB5}"/>
            </a:ext>
          </a:extLst>
        </xdr:cNvPr>
        <xdr:cNvCxnSpPr/>
      </xdr:nvCxnSpPr>
      <xdr:spPr>
        <a:xfrm flipV="1">
          <a:off x="14144625" y="6143626"/>
          <a:ext cx="3724275" cy="7619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447675</xdr:colOff>
      <xdr:row>31</xdr:row>
      <xdr:rowOff>57150</xdr:rowOff>
    </xdr:from>
    <xdr:to>
      <xdr:col>21</xdr:col>
      <xdr:colOff>200025</xdr:colOff>
      <xdr:row>34</xdr:row>
      <xdr:rowOff>85725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9182CF91-16E8-4962-80F1-8195D73C0B80}"/>
            </a:ext>
          </a:extLst>
        </xdr:cNvPr>
        <xdr:cNvCxnSpPr/>
      </xdr:nvCxnSpPr>
      <xdr:spPr>
        <a:xfrm flipV="1">
          <a:off x="14163675" y="6143625"/>
          <a:ext cx="2038350" cy="6000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257175</xdr:colOff>
      <xdr:row>31</xdr:row>
      <xdr:rowOff>76200</xdr:rowOff>
    </xdr:from>
    <xdr:to>
      <xdr:col>19</xdr:col>
      <xdr:colOff>190500</xdr:colOff>
      <xdr:row>33</xdr:row>
      <xdr:rowOff>161925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443634FB-81FD-4E7C-91DE-3605E1717584}"/>
            </a:ext>
          </a:extLst>
        </xdr:cNvPr>
        <xdr:cNvCxnSpPr/>
      </xdr:nvCxnSpPr>
      <xdr:spPr>
        <a:xfrm flipV="1">
          <a:off x="13973175" y="6162675"/>
          <a:ext cx="695325" cy="466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0</xdr:colOff>
      <xdr:row>51</xdr:row>
      <xdr:rowOff>0</xdr:rowOff>
    </xdr:from>
    <xdr:to>
      <xdr:col>18</xdr:col>
      <xdr:colOff>657225</xdr:colOff>
      <xdr:row>52</xdr:row>
      <xdr:rowOff>142875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A99154F8-98C7-421D-833A-C5E54178BBBA}"/>
            </a:ext>
          </a:extLst>
        </xdr:cNvPr>
        <xdr:cNvSpPr/>
      </xdr:nvSpPr>
      <xdr:spPr>
        <a:xfrm>
          <a:off x="12954000" y="10086975"/>
          <a:ext cx="141922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et à copier</a:t>
          </a:r>
          <a:r>
            <a:rPr lang="fr-FR" sz="1100" baseline="0"/>
            <a:t> coller</a:t>
          </a:r>
          <a:endParaRPr lang="fr-FR" sz="1100"/>
        </a:p>
      </xdr:txBody>
    </xdr:sp>
    <xdr:clientData/>
  </xdr:twoCellAnchor>
  <xdr:twoCellAnchor>
    <xdr:from>
      <xdr:col>17</xdr:col>
      <xdr:colOff>409575</xdr:colOff>
      <xdr:row>48</xdr:row>
      <xdr:rowOff>57150</xdr:rowOff>
    </xdr:from>
    <xdr:to>
      <xdr:col>17</xdr:col>
      <xdr:colOff>419100</xdr:colOff>
      <xdr:row>50</xdr:row>
      <xdr:rowOff>152399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id="{468D028F-0985-40DB-A00B-3B933900624C}"/>
            </a:ext>
          </a:extLst>
        </xdr:cNvPr>
        <xdr:cNvCxnSpPr/>
      </xdr:nvCxnSpPr>
      <xdr:spPr>
        <a:xfrm flipV="1">
          <a:off x="13363575" y="9572625"/>
          <a:ext cx="9525" cy="4762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28575</xdr:colOff>
      <xdr:row>48</xdr:row>
      <xdr:rowOff>66675</xdr:rowOff>
    </xdr:from>
    <xdr:to>
      <xdr:col>19</xdr:col>
      <xdr:colOff>190500</xdr:colOff>
      <xdr:row>50</xdr:row>
      <xdr:rowOff>133351</xdr:rowOff>
    </xdr:to>
    <xdr:cxnSp macro="">
      <xdr:nvCxnSpPr>
        <xdr:cNvPr id="28" name="Connecteur droit avec flèche 27">
          <a:extLst>
            <a:ext uri="{FF2B5EF4-FFF2-40B4-BE49-F238E27FC236}">
              <a16:creationId xmlns:a16="http://schemas.microsoft.com/office/drawing/2014/main" id="{C3366D0C-1EAC-480E-AE15-00E03088EFE7}"/>
            </a:ext>
          </a:extLst>
        </xdr:cNvPr>
        <xdr:cNvCxnSpPr/>
      </xdr:nvCxnSpPr>
      <xdr:spPr>
        <a:xfrm flipV="1">
          <a:off x="13744575" y="9582150"/>
          <a:ext cx="923925" cy="4476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752475</xdr:colOff>
      <xdr:row>48</xdr:row>
      <xdr:rowOff>38101</xdr:rowOff>
    </xdr:from>
    <xdr:to>
      <xdr:col>21</xdr:col>
      <xdr:colOff>114300</xdr:colOff>
      <xdr:row>51</xdr:row>
      <xdr:rowOff>76200</xdr:rowOff>
    </xdr:to>
    <xdr:cxnSp macro="">
      <xdr:nvCxnSpPr>
        <xdr:cNvPr id="29" name="Connecteur droit avec flèche 28">
          <a:extLst>
            <a:ext uri="{FF2B5EF4-FFF2-40B4-BE49-F238E27FC236}">
              <a16:creationId xmlns:a16="http://schemas.microsoft.com/office/drawing/2014/main" id="{558DA8BB-7B1E-47A2-A965-2ADE25122DEA}"/>
            </a:ext>
          </a:extLst>
        </xdr:cNvPr>
        <xdr:cNvCxnSpPr/>
      </xdr:nvCxnSpPr>
      <xdr:spPr>
        <a:xfrm flipV="1">
          <a:off x="14468475" y="9553576"/>
          <a:ext cx="1647825" cy="6095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38100</xdr:colOff>
      <xdr:row>48</xdr:row>
      <xdr:rowOff>66676</xdr:rowOff>
    </xdr:from>
    <xdr:to>
      <xdr:col>23</xdr:col>
      <xdr:colOff>219075</xdr:colOff>
      <xdr:row>52</xdr:row>
      <xdr:rowOff>47625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id="{E52E0CDB-0C79-4E3E-BB39-3469E216B95F}"/>
            </a:ext>
          </a:extLst>
        </xdr:cNvPr>
        <xdr:cNvCxnSpPr/>
      </xdr:nvCxnSpPr>
      <xdr:spPr>
        <a:xfrm flipV="1">
          <a:off x="14516100" y="9582151"/>
          <a:ext cx="3228975" cy="7429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114305</xdr:colOff>
      <xdr:row>51</xdr:row>
      <xdr:rowOff>152400</xdr:rowOff>
    </xdr:from>
    <xdr:to>
      <xdr:col>18</xdr:col>
      <xdr:colOff>104775</xdr:colOff>
      <xdr:row>56</xdr:row>
      <xdr:rowOff>38100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27F361EF-D0A9-4AC1-84A2-B4C590575B4E}"/>
            </a:ext>
          </a:extLst>
        </xdr:cNvPr>
        <xdr:cNvCxnSpPr/>
      </xdr:nvCxnSpPr>
      <xdr:spPr>
        <a:xfrm rot="10800000" flipV="1">
          <a:off x="13820780" y="24231600"/>
          <a:ext cx="752470" cy="838200"/>
        </a:xfrm>
        <a:prstGeom prst="straightConnector1">
          <a:avLst/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761999</xdr:colOff>
      <xdr:row>47</xdr:row>
      <xdr:rowOff>142875</xdr:rowOff>
    </xdr:from>
    <xdr:to>
      <xdr:col>21</xdr:col>
      <xdr:colOff>619125</xdr:colOff>
      <xdr:row>49</xdr:row>
      <xdr:rowOff>47625</xdr:rowOff>
    </xdr:to>
    <xdr:sp macro="" textlink="">
      <xdr:nvSpPr>
        <xdr:cNvPr id="7" name="Text Box 2">
          <a:extLst>
            <a:ext uri="{FF2B5EF4-FFF2-40B4-BE49-F238E27FC236}">
              <a16:creationId xmlns:a16="http://schemas.microsoft.com/office/drawing/2014/main" id="{91235AFE-1B73-4FFC-B42D-C6A34122FE7C}"/>
            </a:ext>
          </a:extLst>
        </xdr:cNvPr>
        <xdr:cNvSpPr txBox="1">
          <a:spLocks noChangeArrowheads="1"/>
        </xdr:cNvSpPr>
      </xdr:nvSpPr>
      <xdr:spPr bwMode="auto">
        <a:xfrm>
          <a:off x="11420474" y="23460075"/>
          <a:ext cx="5953126" cy="285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1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  <a:cs typeface="Calibri"/>
            </a:rPr>
            <a:t>=INDEX($plage $noms;EQUIV(cellule destination score 1;$plage $scores+LIGNE($plage $scores)/100;0))</a:t>
          </a:r>
        </a:p>
      </xdr:txBody>
    </xdr:sp>
    <xdr:clientData/>
  </xdr:twoCellAnchor>
  <xdr:twoCellAnchor>
    <xdr:from>
      <xdr:col>16</xdr:col>
      <xdr:colOff>47625</xdr:colOff>
      <xdr:row>49</xdr:row>
      <xdr:rowOff>161925</xdr:rowOff>
    </xdr:from>
    <xdr:to>
      <xdr:col>24</xdr:col>
      <xdr:colOff>9524</xdr:colOff>
      <xdr:row>51</xdr:row>
      <xdr:rowOff>95250</xdr:rowOff>
    </xdr:to>
    <xdr:sp macro="" textlink="">
      <xdr:nvSpPr>
        <xdr:cNvPr id="8" name="Text Box 3">
          <a:extLst>
            <a:ext uri="{FF2B5EF4-FFF2-40B4-BE49-F238E27FC236}">
              <a16:creationId xmlns:a16="http://schemas.microsoft.com/office/drawing/2014/main" id="{4CD84C32-5B56-42FF-B495-B58B64FA15AE}"/>
            </a:ext>
          </a:extLst>
        </xdr:cNvPr>
        <xdr:cNvSpPr txBox="1">
          <a:spLocks noChangeArrowheads="1"/>
        </xdr:cNvSpPr>
      </xdr:nvSpPr>
      <xdr:spPr bwMode="auto">
        <a:xfrm>
          <a:off x="12992100" y="23860125"/>
          <a:ext cx="6057899" cy="3143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1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  <a:cs typeface="Calibri"/>
            </a:rPr>
            <a:t>=PETITE.VALEUR($plage $scores+LIGNE($plage $scores)/100;LIGNES($celulle $vide:même cellule vide))</a:t>
          </a:r>
        </a:p>
      </xdr:txBody>
    </xdr:sp>
    <xdr:clientData/>
  </xdr:twoCellAnchor>
  <xdr:twoCellAnchor>
    <xdr:from>
      <xdr:col>14</xdr:col>
      <xdr:colOff>266700</xdr:colOff>
      <xdr:row>49</xdr:row>
      <xdr:rowOff>114302</xdr:rowOff>
    </xdr:from>
    <xdr:to>
      <xdr:col>14</xdr:col>
      <xdr:colOff>638177</xdr:colOff>
      <xdr:row>56</xdr:row>
      <xdr:rowOff>85724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C56048A7-F242-4D71-984D-B2DEBB8FE89C}"/>
            </a:ext>
          </a:extLst>
        </xdr:cNvPr>
        <xdr:cNvCxnSpPr/>
      </xdr:nvCxnSpPr>
      <xdr:spPr>
        <a:xfrm rot="16200000" flipH="1">
          <a:off x="11220453" y="24279224"/>
          <a:ext cx="1304922" cy="371477"/>
        </a:xfrm>
        <a:prstGeom prst="straightConnector1">
          <a:avLst/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/Planning%20SILGOM/Nouvelle%20version%203/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ces-Absences"/>
      <sheetName val="Postes fixes"/>
      <sheetName val="Feuil2"/>
      <sheetName val="Lavage"/>
      <sheetName val="Feuil4"/>
      <sheetName val="Planning"/>
    </sheetNames>
    <sheetDataSet>
      <sheetData sheetId="0">
        <row r="4">
          <cell r="E4">
            <v>17</v>
          </cell>
        </row>
        <row r="17"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</row>
        <row r="18">
          <cell r="Z18">
            <v>0</v>
          </cell>
          <cell r="AB18">
            <v>1</v>
          </cell>
          <cell r="AD18">
            <v>1</v>
          </cell>
          <cell r="AF18">
            <v>1</v>
          </cell>
          <cell r="AH18">
            <v>1</v>
          </cell>
        </row>
        <row r="19">
          <cell r="Z19">
            <v>0</v>
          </cell>
          <cell r="AB19">
            <v>1</v>
          </cell>
          <cell r="AD19">
            <v>1</v>
          </cell>
          <cell r="AF19">
            <v>1</v>
          </cell>
          <cell r="AH19">
            <v>1</v>
          </cell>
        </row>
        <row r="27">
          <cell r="AD27">
            <v>1</v>
          </cell>
        </row>
        <row r="30">
          <cell r="AJ30">
            <v>5</v>
          </cell>
        </row>
        <row r="39">
          <cell r="Z39">
            <v>0</v>
          </cell>
          <cell r="AB39">
            <v>1</v>
          </cell>
          <cell r="AF39">
            <v>1</v>
          </cell>
          <cell r="AH39">
            <v>1</v>
          </cell>
        </row>
        <row r="51">
          <cell r="Z51">
            <v>0</v>
          </cell>
          <cell r="AB51">
            <v>1</v>
          </cell>
          <cell r="AD51">
            <v>1</v>
          </cell>
          <cell r="AF51">
            <v>1</v>
          </cell>
          <cell r="AH51">
            <v>1</v>
          </cell>
        </row>
        <row r="58">
          <cell r="Z58">
            <v>0</v>
          </cell>
          <cell r="AB58">
            <v>1</v>
          </cell>
          <cell r="AD58">
            <v>1</v>
          </cell>
          <cell r="AF58">
            <v>1</v>
          </cell>
          <cell r="AH58">
            <v>0</v>
          </cell>
        </row>
        <row r="65">
          <cell r="Z65">
            <v>1</v>
          </cell>
          <cell r="AB65">
            <v>1</v>
          </cell>
          <cell r="AD65">
            <v>1</v>
          </cell>
          <cell r="AF65">
            <v>1</v>
          </cell>
          <cell r="AH65">
            <v>1</v>
          </cell>
        </row>
        <row r="71">
          <cell r="AJ71">
            <v>3</v>
          </cell>
        </row>
        <row r="87">
          <cell r="AJ87">
            <v>5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25543-A88F-4D33-874B-AC88CAA46093}">
  <dimension ref="A2:AD154"/>
  <sheetViews>
    <sheetView tabSelected="1" topLeftCell="D25" workbookViewId="0">
      <selection activeCell="T44" sqref="T44"/>
    </sheetView>
  </sheetViews>
  <sheetFormatPr baseColWidth="10" defaultRowHeight="15" x14ac:dyDescent="0.25"/>
  <sheetData>
    <row r="2" spans="1:29" x14ac:dyDescent="0.25">
      <c r="A2" s="1" t="s">
        <v>0</v>
      </c>
      <c r="B2" s="1"/>
    </row>
    <row r="3" spans="1:29" x14ac:dyDescent="0.25">
      <c r="D3" t="s">
        <v>2</v>
      </c>
      <c r="I3" t="s">
        <v>1</v>
      </c>
      <c r="M3" s="59"/>
      <c r="N3" s="59"/>
      <c r="O3" s="59"/>
      <c r="P3" s="59"/>
      <c r="Q3" s="59"/>
      <c r="R3" s="59"/>
      <c r="S3" s="59"/>
      <c r="T3" s="59"/>
      <c r="U3" s="104"/>
      <c r="V3" s="104"/>
      <c r="W3" s="104"/>
      <c r="X3" s="104"/>
      <c r="Y3" s="59"/>
      <c r="Z3" s="59"/>
      <c r="AA3" s="59"/>
      <c r="AB3" s="59"/>
      <c r="AC3" s="59"/>
    </row>
    <row r="4" spans="1:29" x14ac:dyDescent="0.25">
      <c r="A4" t="s">
        <v>3</v>
      </c>
      <c r="B4" t="s">
        <v>4</v>
      </c>
      <c r="E4" s="2">
        <f>MOD(B5+1,3)</f>
        <v>0</v>
      </c>
      <c r="J4" s="2">
        <f>MOD(B5,3)</f>
        <v>2</v>
      </c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</row>
    <row r="5" spans="1:29" x14ac:dyDescent="0.25">
      <c r="A5" t="s">
        <v>5</v>
      </c>
      <c r="B5" s="3">
        <v>47</v>
      </c>
      <c r="E5" t="s">
        <v>6</v>
      </c>
      <c r="J5" s="60"/>
      <c r="K5" s="60"/>
      <c r="L5" s="59"/>
      <c r="M5" s="60"/>
      <c r="N5" s="59"/>
      <c r="O5" s="59"/>
      <c r="P5" s="59"/>
      <c r="Q5" s="59"/>
      <c r="R5" s="59"/>
      <c r="S5" s="59"/>
      <c r="T5" s="59"/>
      <c r="U5" s="59"/>
      <c r="V5" s="104"/>
      <c r="W5" s="104"/>
      <c r="X5" s="104"/>
      <c r="Y5" s="104"/>
      <c r="Z5" s="59"/>
      <c r="AA5" s="59"/>
      <c r="AB5" s="59"/>
      <c r="AC5" s="59"/>
    </row>
    <row r="6" spans="1:29" x14ac:dyDescent="0.25">
      <c r="E6" s="2">
        <f>MOD(B5+2,3)</f>
        <v>1</v>
      </c>
      <c r="J6" s="60"/>
      <c r="O6" s="59"/>
      <c r="P6" s="59"/>
      <c r="Q6" s="59"/>
      <c r="R6" s="59"/>
      <c r="S6" s="59"/>
      <c r="T6" s="59"/>
      <c r="U6" s="59"/>
      <c r="V6" s="104"/>
      <c r="W6" s="104"/>
      <c r="X6" s="104"/>
      <c r="Y6" s="104"/>
      <c r="Z6" s="59"/>
      <c r="AA6" s="59"/>
      <c r="AB6" s="59"/>
      <c r="AC6" s="59"/>
    </row>
    <row r="7" spans="1:29" x14ac:dyDescent="0.25">
      <c r="J7" s="122"/>
      <c r="K7" s="123"/>
      <c r="L7" s="121" t="s">
        <v>123</v>
      </c>
      <c r="O7" s="59"/>
      <c r="P7" s="59"/>
      <c r="Q7" s="59"/>
      <c r="R7" s="59"/>
      <c r="S7" s="59"/>
      <c r="T7" s="59"/>
      <c r="U7" s="59"/>
      <c r="V7" s="104"/>
      <c r="W7" s="104"/>
      <c r="X7" s="104"/>
      <c r="Y7" s="104"/>
      <c r="Z7" s="59"/>
      <c r="AA7" s="59"/>
      <c r="AB7" s="59"/>
      <c r="AC7" s="59"/>
    </row>
    <row r="8" spans="1:29" x14ac:dyDescent="0.25">
      <c r="I8" s="123"/>
      <c r="K8" s="123"/>
      <c r="M8" s="122" t="s">
        <v>125</v>
      </c>
      <c r="N8" s="59"/>
      <c r="O8" s="103"/>
      <c r="P8" s="59"/>
      <c r="Q8" s="59"/>
      <c r="R8" s="59"/>
      <c r="S8" s="59"/>
      <c r="T8" s="59"/>
      <c r="U8" s="59"/>
      <c r="V8" s="104"/>
      <c r="W8" s="103"/>
      <c r="X8" s="104"/>
      <c r="Y8" s="104"/>
      <c r="Z8" s="59"/>
      <c r="AA8" s="59"/>
      <c r="AB8" s="59"/>
      <c r="AC8" s="59"/>
    </row>
    <row r="9" spans="1:29" x14ac:dyDescent="0.25">
      <c r="B9" s="5" t="s">
        <v>7</v>
      </c>
      <c r="C9" s="44" t="s">
        <v>32</v>
      </c>
      <c r="D9" s="45"/>
      <c r="E9" s="45" t="s">
        <v>33</v>
      </c>
      <c r="F9" s="45"/>
      <c r="G9" s="45" t="s">
        <v>34</v>
      </c>
      <c r="M9" t="s">
        <v>121</v>
      </c>
      <c r="N9" s="59"/>
      <c r="O9" s="103"/>
      <c r="P9" s="115"/>
      <c r="Q9" s="59"/>
      <c r="R9" s="59"/>
      <c r="S9" s="59"/>
      <c r="T9" s="59"/>
      <c r="U9" s="59"/>
      <c r="V9" s="104"/>
      <c r="W9" s="103"/>
      <c r="X9" s="105"/>
      <c r="Y9" s="104"/>
      <c r="Z9" s="59"/>
      <c r="AA9" s="59"/>
      <c r="AB9" s="59"/>
      <c r="AC9" s="59"/>
    </row>
    <row r="10" spans="1:29" x14ac:dyDescent="0.25">
      <c r="B10" s="7" t="s">
        <v>8</v>
      </c>
      <c r="D10" s="8" t="s">
        <v>9</v>
      </c>
      <c r="F10" s="8" t="s">
        <v>10</v>
      </c>
      <c r="H10" s="8" t="s">
        <v>11</v>
      </c>
      <c r="I10" s="9"/>
      <c r="J10" s="8" t="s">
        <v>12</v>
      </c>
      <c r="K10" s="9"/>
      <c r="L10" s="8" t="s">
        <v>13</v>
      </c>
      <c r="M10" s="120" t="s">
        <v>122</v>
      </c>
      <c r="N10" s="59"/>
      <c r="O10" s="59"/>
      <c r="P10" s="59"/>
      <c r="Q10" s="59"/>
      <c r="R10" s="59"/>
      <c r="S10" s="59"/>
      <c r="T10" s="59"/>
      <c r="U10" s="59"/>
      <c r="V10" s="104"/>
      <c r="W10" s="59"/>
      <c r="X10" s="59"/>
      <c r="Y10" s="59"/>
      <c r="Z10" s="59"/>
      <c r="AA10" s="59"/>
      <c r="AB10" s="59"/>
      <c r="AC10" s="59"/>
    </row>
    <row r="11" spans="1:29" x14ac:dyDescent="0.25">
      <c r="B11" s="10">
        <v>0</v>
      </c>
      <c r="C11" s="11" t="s">
        <v>54</v>
      </c>
      <c r="D11" s="11">
        <v>0</v>
      </c>
      <c r="F11" s="11">
        <v>1</v>
      </c>
      <c r="H11" s="11">
        <v>1</v>
      </c>
      <c r="I11" s="9"/>
      <c r="J11" s="11">
        <v>1</v>
      </c>
      <c r="K11" s="9"/>
      <c r="L11" s="11">
        <v>1</v>
      </c>
      <c r="M11" s="4">
        <f>IF($M$8="NON",SUM(D11:L11),SUM(D11:L11)+1)</f>
        <v>4</v>
      </c>
      <c r="N11" s="59"/>
      <c r="O11" s="59"/>
      <c r="P11" s="59"/>
      <c r="Q11" s="59"/>
      <c r="R11" s="59"/>
      <c r="S11" s="59"/>
      <c r="T11" s="59"/>
      <c r="U11" s="59"/>
      <c r="V11" s="59"/>
      <c r="W11" s="59"/>
      <c r="X11" s="59"/>
      <c r="Y11" s="104"/>
      <c r="Z11" s="59"/>
      <c r="AA11" s="59"/>
      <c r="AB11" s="59"/>
      <c r="AC11" s="59"/>
    </row>
    <row r="12" spans="1:29" x14ac:dyDescent="0.25">
      <c r="B12" s="10">
        <v>0</v>
      </c>
      <c r="C12" s="11" t="s">
        <v>55</v>
      </c>
      <c r="D12" s="11">
        <v>1</v>
      </c>
      <c r="F12" s="11">
        <v>1</v>
      </c>
      <c r="H12" s="11">
        <v>1</v>
      </c>
      <c r="I12" s="9"/>
      <c r="J12" s="11">
        <v>1</v>
      </c>
      <c r="K12" s="9"/>
      <c r="L12" s="11">
        <v>0</v>
      </c>
      <c r="M12" s="4">
        <f t="shared" ref="M12:M20" si="0">IF($M$8="NON",SUM(D12:L12),SUM(D12:L12)+1)</f>
        <v>4</v>
      </c>
      <c r="N12" s="59"/>
      <c r="O12" s="59"/>
      <c r="P12" s="59"/>
      <c r="Q12" s="59"/>
      <c r="R12" s="59"/>
      <c r="S12" s="59"/>
      <c r="T12" s="59"/>
      <c r="U12" s="59"/>
      <c r="V12" s="59"/>
      <c r="W12" s="59"/>
      <c r="X12" s="59"/>
      <c r="Y12" s="104"/>
      <c r="Z12" s="59"/>
      <c r="AA12" s="59"/>
      <c r="AB12" s="59"/>
      <c r="AC12" s="59"/>
    </row>
    <row r="13" spans="1:29" x14ac:dyDescent="0.25">
      <c r="B13" s="10">
        <v>1</v>
      </c>
      <c r="C13" s="11" t="s">
        <v>56</v>
      </c>
      <c r="D13" s="11">
        <v>1</v>
      </c>
      <c r="F13" s="11">
        <v>1</v>
      </c>
      <c r="H13" s="11">
        <v>1</v>
      </c>
      <c r="I13" s="9"/>
      <c r="J13" s="11">
        <v>1</v>
      </c>
      <c r="K13" s="9"/>
      <c r="L13" s="11">
        <v>0</v>
      </c>
      <c r="M13" s="4">
        <f t="shared" si="0"/>
        <v>4</v>
      </c>
      <c r="N13" s="59"/>
      <c r="O13" s="59"/>
      <c r="P13" s="59"/>
      <c r="Q13" s="59"/>
      <c r="R13" s="59"/>
      <c r="S13" s="59"/>
      <c r="T13" s="59"/>
      <c r="U13" s="59"/>
      <c r="V13" s="59"/>
      <c r="W13" s="59"/>
      <c r="X13" s="104"/>
      <c r="Y13" s="104"/>
      <c r="Z13" s="59"/>
      <c r="AA13" s="59"/>
      <c r="AB13" s="59"/>
      <c r="AC13" s="59"/>
    </row>
    <row r="14" spans="1:29" x14ac:dyDescent="0.25">
      <c r="B14" s="10">
        <v>1</v>
      </c>
      <c r="C14" s="11" t="s">
        <v>57</v>
      </c>
      <c r="D14" s="12">
        <v>0</v>
      </c>
      <c r="E14" s="13"/>
      <c r="F14" s="14">
        <v>0</v>
      </c>
      <c r="G14" s="13"/>
      <c r="H14" s="14">
        <v>0</v>
      </c>
      <c r="I14" s="13"/>
      <c r="J14" s="14">
        <v>0</v>
      </c>
      <c r="K14" s="13"/>
      <c r="L14" s="15">
        <v>0</v>
      </c>
      <c r="M14" s="4">
        <f t="shared" si="0"/>
        <v>0</v>
      </c>
      <c r="N14" s="59"/>
      <c r="O14" s="59"/>
      <c r="P14" s="59"/>
      <c r="Q14" s="59"/>
      <c r="R14" s="59"/>
      <c r="S14" s="59"/>
      <c r="T14" s="59"/>
      <c r="U14" s="59"/>
      <c r="V14" s="59"/>
      <c r="W14" s="59"/>
      <c r="X14" s="104"/>
      <c r="Y14" s="104"/>
      <c r="Z14" s="59"/>
      <c r="AA14" s="59"/>
      <c r="AB14" s="59"/>
      <c r="AC14" s="59"/>
    </row>
    <row r="15" spans="1:29" x14ac:dyDescent="0.25">
      <c r="B15" s="10">
        <v>1</v>
      </c>
      <c r="C15" s="11" t="s">
        <v>58</v>
      </c>
      <c r="D15" s="11">
        <v>1</v>
      </c>
      <c r="F15" s="11">
        <v>1</v>
      </c>
      <c r="H15" s="11">
        <v>1</v>
      </c>
      <c r="I15" s="9"/>
      <c r="J15" s="11">
        <v>1</v>
      </c>
      <c r="K15" s="9"/>
      <c r="L15" s="11">
        <v>1</v>
      </c>
      <c r="M15" s="4">
        <f t="shared" si="0"/>
        <v>5</v>
      </c>
      <c r="N15" s="59"/>
      <c r="O15" s="59"/>
      <c r="P15" s="59"/>
      <c r="Q15" s="59"/>
      <c r="R15" s="59"/>
      <c r="S15" s="59"/>
      <c r="T15" s="59"/>
      <c r="U15" s="59"/>
      <c r="V15" s="59"/>
      <c r="W15" s="59"/>
      <c r="X15" s="104"/>
      <c r="Y15" s="104"/>
      <c r="Z15" s="59"/>
      <c r="AA15" s="59"/>
      <c r="AB15" s="59"/>
      <c r="AC15" s="59"/>
    </row>
    <row r="16" spans="1:29" x14ac:dyDescent="0.25">
      <c r="B16" s="10">
        <v>2</v>
      </c>
      <c r="C16" s="11" t="s">
        <v>60</v>
      </c>
      <c r="D16" s="11">
        <v>0</v>
      </c>
      <c r="F16" s="11">
        <v>0</v>
      </c>
      <c r="H16" s="11">
        <v>0</v>
      </c>
      <c r="I16" s="9"/>
      <c r="J16" s="11">
        <v>0</v>
      </c>
      <c r="K16" s="9"/>
      <c r="L16" s="11">
        <v>0</v>
      </c>
      <c r="M16" s="4">
        <f t="shared" si="0"/>
        <v>0</v>
      </c>
      <c r="N16" s="59"/>
      <c r="O16" s="59"/>
      <c r="P16" s="59"/>
      <c r="Q16" s="59"/>
      <c r="R16" s="59"/>
      <c r="S16" s="59"/>
      <c r="T16" s="59"/>
      <c r="U16" s="59"/>
      <c r="V16" s="59"/>
      <c r="W16" s="59"/>
      <c r="X16" s="104"/>
      <c r="Y16" s="104"/>
      <c r="Z16" s="59"/>
      <c r="AA16" s="59"/>
      <c r="AB16" s="59"/>
      <c r="AC16" s="59"/>
    </row>
    <row r="17" spans="2:30" x14ac:dyDescent="0.25">
      <c r="B17" s="10">
        <v>2</v>
      </c>
      <c r="C17" s="11" t="s">
        <v>59</v>
      </c>
      <c r="D17" s="12">
        <v>1</v>
      </c>
      <c r="E17" s="13"/>
      <c r="F17" s="14">
        <v>1</v>
      </c>
      <c r="G17" s="13"/>
      <c r="H17" s="14">
        <v>1</v>
      </c>
      <c r="I17" s="13"/>
      <c r="J17" s="14">
        <v>0</v>
      </c>
      <c r="K17" s="13"/>
      <c r="L17" s="15">
        <v>0</v>
      </c>
      <c r="M17" s="4">
        <f t="shared" si="0"/>
        <v>3</v>
      </c>
      <c r="N17" s="59"/>
      <c r="O17" s="59"/>
      <c r="P17" s="59"/>
      <c r="Q17" s="59"/>
      <c r="R17" s="59"/>
      <c r="S17" s="59"/>
      <c r="T17" s="59"/>
      <c r="U17" s="59"/>
      <c r="V17" s="59"/>
      <c r="W17" s="59"/>
      <c r="X17" s="104"/>
      <c r="Y17" s="104"/>
      <c r="Z17" s="59"/>
      <c r="AA17" s="59"/>
      <c r="AB17" s="59"/>
      <c r="AC17" s="59"/>
    </row>
    <row r="18" spans="2:30" x14ac:dyDescent="0.25">
      <c r="B18" s="10">
        <v>2</v>
      </c>
      <c r="C18" s="11" t="s">
        <v>64</v>
      </c>
      <c r="D18" s="11">
        <v>1</v>
      </c>
      <c r="F18" s="11">
        <v>1</v>
      </c>
      <c r="H18" s="11">
        <v>1</v>
      </c>
      <c r="I18" s="9"/>
      <c r="J18" s="11">
        <v>1</v>
      </c>
      <c r="K18" s="9"/>
      <c r="L18" s="11">
        <v>0</v>
      </c>
      <c r="M18" s="4">
        <f t="shared" si="0"/>
        <v>4</v>
      </c>
      <c r="N18" s="59"/>
      <c r="O18" s="59"/>
      <c r="P18" s="59"/>
      <c r="Q18" s="59"/>
      <c r="R18" s="59"/>
      <c r="S18" s="59"/>
      <c r="T18" s="59"/>
      <c r="U18" s="59"/>
      <c r="V18" s="59"/>
      <c r="W18" s="59"/>
      <c r="X18" s="59"/>
      <c r="Y18" s="59"/>
      <c r="Z18" s="59"/>
      <c r="AA18" s="59"/>
      <c r="AB18" s="59"/>
      <c r="AC18" s="59"/>
    </row>
    <row r="19" spans="2:30" x14ac:dyDescent="0.25">
      <c r="B19" s="10"/>
      <c r="C19" s="11"/>
      <c r="D19" s="11"/>
      <c r="F19" s="11"/>
      <c r="H19" s="11"/>
      <c r="I19" s="9"/>
      <c r="J19" s="11"/>
      <c r="K19" s="9"/>
      <c r="L19" s="11"/>
      <c r="M19" s="4">
        <f t="shared" si="0"/>
        <v>0</v>
      </c>
      <c r="N19" s="59"/>
      <c r="O19" s="59"/>
      <c r="P19" s="59"/>
      <c r="Q19" s="59"/>
      <c r="R19" s="59"/>
      <c r="S19" s="59"/>
      <c r="T19" s="59"/>
      <c r="U19" s="59"/>
      <c r="V19" s="59"/>
      <c r="W19" s="59"/>
      <c r="X19" s="59"/>
      <c r="Y19" s="104"/>
      <c r="Z19" s="59"/>
      <c r="AA19" s="59"/>
      <c r="AB19" s="59"/>
      <c r="AC19" s="59"/>
    </row>
    <row r="20" spans="2:30" x14ac:dyDescent="0.25">
      <c r="B20" s="16"/>
      <c r="C20" s="11"/>
      <c r="D20" s="11"/>
      <c r="F20" s="11"/>
      <c r="H20" s="11"/>
      <c r="I20" s="9"/>
      <c r="J20" s="11"/>
      <c r="K20" s="9"/>
      <c r="L20" s="11"/>
      <c r="M20" s="4">
        <f t="shared" si="0"/>
        <v>0</v>
      </c>
      <c r="N20" s="104"/>
      <c r="O20" s="104"/>
      <c r="P20" s="59"/>
      <c r="Q20" s="59"/>
      <c r="R20" s="59"/>
      <c r="S20" s="59"/>
      <c r="T20" s="59"/>
      <c r="U20" s="59"/>
      <c r="V20" s="104"/>
      <c r="W20" s="104"/>
      <c r="X20" s="104"/>
      <c r="Y20" s="104"/>
      <c r="Z20" s="59"/>
      <c r="AA20" s="59"/>
      <c r="AB20" s="59"/>
      <c r="AC20" s="59"/>
    </row>
    <row r="21" spans="2:30" x14ac:dyDescent="0.25">
      <c r="N21" s="59"/>
      <c r="O21" s="59"/>
      <c r="P21" s="104"/>
      <c r="Q21" s="59"/>
      <c r="R21" s="59"/>
      <c r="S21" s="59"/>
      <c r="T21" s="59"/>
      <c r="U21" s="59"/>
      <c r="V21" s="104"/>
      <c r="W21" s="104"/>
      <c r="X21" s="104"/>
      <c r="Y21" s="104"/>
      <c r="Z21" s="59"/>
      <c r="AA21" s="59"/>
      <c r="AB21" s="59"/>
      <c r="AC21" s="59"/>
    </row>
    <row r="22" spans="2:30" ht="15.75" thickBot="1" x14ac:dyDescent="0.3">
      <c r="N22" s="59"/>
      <c r="O22" s="59"/>
      <c r="P22" s="104"/>
      <c r="Q22" s="59"/>
      <c r="R22" s="59"/>
      <c r="S22" s="59"/>
      <c r="T22" s="59"/>
      <c r="U22" s="59"/>
      <c r="V22" s="59"/>
      <c r="W22" s="59"/>
      <c r="X22" s="59"/>
      <c r="Y22" s="59"/>
      <c r="Z22" s="59"/>
      <c r="AA22" s="59"/>
      <c r="AB22" s="59"/>
      <c r="AC22" s="59"/>
    </row>
    <row r="23" spans="2:30" x14ac:dyDescent="0.25">
      <c r="B23" s="17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20"/>
      <c r="N23" s="18"/>
      <c r="O23" s="18"/>
      <c r="P23" s="18"/>
      <c r="Q23" s="18"/>
      <c r="R23" s="19"/>
      <c r="S23" s="18"/>
      <c r="T23" s="18"/>
      <c r="U23" s="18"/>
      <c r="V23" s="18"/>
      <c r="W23" s="18"/>
      <c r="X23" s="18"/>
      <c r="Y23" s="20"/>
      <c r="Z23" s="17"/>
      <c r="AA23" s="18"/>
      <c r="AB23" s="18"/>
      <c r="AC23" s="18"/>
      <c r="AD23" s="20"/>
    </row>
    <row r="24" spans="2:30" x14ac:dyDescent="0.25">
      <c r="B24" s="21" t="s">
        <v>14</v>
      </c>
      <c r="C24" s="99"/>
      <c r="D24" s="96"/>
      <c r="E24" s="99"/>
      <c r="F24" s="96"/>
      <c r="G24" s="96"/>
      <c r="H24" s="96"/>
      <c r="I24" s="96"/>
      <c r="J24" s="96"/>
      <c r="K24" s="96"/>
      <c r="L24" s="96"/>
      <c r="M24" s="23"/>
      <c r="N24" s="96"/>
      <c r="O24" s="116" t="s">
        <v>15</v>
      </c>
      <c r="P24" s="96"/>
      <c r="Q24" s="96"/>
      <c r="R24" s="99"/>
      <c r="S24" s="96"/>
      <c r="T24" s="96"/>
      <c r="U24" s="96"/>
      <c r="V24" s="96"/>
      <c r="W24" s="96"/>
      <c r="X24" s="96"/>
      <c r="Y24" s="23"/>
      <c r="Z24" s="21"/>
      <c r="AA24" s="96"/>
      <c r="AB24" s="96"/>
      <c r="AC24" s="96"/>
      <c r="AD24" s="23"/>
    </row>
    <row r="25" spans="2:30" x14ac:dyDescent="0.25">
      <c r="B25" s="24"/>
      <c r="C25" s="96" t="s">
        <v>16</v>
      </c>
      <c r="D25" s="96"/>
      <c r="E25" s="96"/>
      <c r="F25" s="96"/>
      <c r="G25" s="96"/>
      <c r="H25" s="96"/>
      <c r="I25" s="96"/>
      <c r="J25" s="96"/>
      <c r="K25" s="96"/>
      <c r="L25" s="96"/>
      <c r="M25" s="23"/>
      <c r="N25" s="96"/>
      <c r="O25" s="96"/>
      <c r="P25" s="96"/>
      <c r="Q25" s="96"/>
      <c r="R25" s="99"/>
      <c r="S25" s="96"/>
      <c r="T25" s="96"/>
      <c r="U25" s="96"/>
      <c r="V25" s="96"/>
      <c r="W25" s="96"/>
      <c r="X25" s="96"/>
      <c r="Y25" s="23"/>
      <c r="Z25" s="24"/>
      <c r="AA25" s="96"/>
      <c r="AB25" s="96"/>
      <c r="AC25" s="96" t="s">
        <v>16</v>
      </c>
      <c r="AD25" s="23"/>
    </row>
    <row r="26" spans="2:30" ht="28.5" x14ac:dyDescent="0.25">
      <c r="B26" s="25" t="s">
        <v>17</v>
      </c>
      <c r="C26" s="98">
        <f>B5</f>
        <v>47</v>
      </c>
      <c r="D26" s="96"/>
      <c r="E26" s="138" t="s">
        <v>135</v>
      </c>
      <c r="F26" s="96"/>
      <c r="G26" s="96" t="s">
        <v>136</v>
      </c>
      <c r="H26" s="96"/>
      <c r="I26" s="137"/>
      <c r="J26" s="96" t="s">
        <v>137</v>
      </c>
      <c r="K26" s="96"/>
      <c r="L26" s="96"/>
      <c r="M26" s="23"/>
      <c r="N26" s="96"/>
      <c r="O26" s="96"/>
      <c r="P26" s="96"/>
      <c r="Q26" s="96"/>
      <c r="R26" s="99"/>
      <c r="S26" s="96"/>
      <c r="T26" s="96"/>
      <c r="U26" s="96"/>
      <c r="V26" s="96"/>
      <c r="W26" s="96"/>
      <c r="X26" s="96"/>
      <c r="Y26" s="23"/>
      <c r="Z26" s="108" t="s">
        <v>18</v>
      </c>
      <c r="AA26" s="109" t="s">
        <v>19</v>
      </c>
      <c r="AB26" s="64" t="s">
        <v>17</v>
      </c>
      <c r="AC26" s="98">
        <f>B5+1</f>
        <v>48</v>
      </c>
      <c r="AD26" s="110" t="s">
        <v>20</v>
      </c>
    </row>
    <row r="27" spans="2:30" x14ac:dyDescent="0.25">
      <c r="B27" s="24"/>
      <c r="C27" s="107">
        <v>15</v>
      </c>
      <c r="D27" s="11" t="str">
        <f t="shared" ref="D27:D34" si="1">C11</f>
        <v>NOEMIE</v>
      </c>
      <c r="E27" s="78" t="str">
        <f>IF(AND(M11&gt;=3,B11&lt;&gt;$J$4),D27,"")</f>
        <v>NOEMIE</v>
      </c>
      <c r="F27" s="96"/>
      <c r="G27" s="79" t="str">
        <f t="array" ref="G27">INDEX(E$27:E$34,MATCH(H27,C$27:C$34+ROW($B$27:$B$34)/100,0))</f>
        <v/>
      </c>
      <c r="H27" s="80">
        <f t="array" ref="H27">SMALL($C$27:$C$34+ROW($C$27:$C$34)/100,ROWS($J$27:J27))</f>
        <v>2.34</v>
      </c>
      <c r="I27" s="96"/>
      <c r="J27" s="124" t="str">
        <f t="array" aca="1" ref="J27" ca="1">IFERROR(INDEX($G$27:$G$34,SMALL(IF($G$27:$G$34&lt;&gt;"",ROW(INDIRECT("1:"&amp;ROWS($G$27:$G$34)))),ROWS($1:1))),"")</f>
        <v>NOEMIE</v>
      </c>
      <c r="K27" s="96" t="s">
        <v>113</v>
      </c>
      <c r="L27" s="96"/>
      <c r="M27" s="23"/>
      <c r="N27" s="96"/>
      <c r="O27" s="114"/>
      <c r="P27" s="114"/>
      <c r="Q27" s="114"/>
      <c r="R27" s="114"/>
      <c r="S27" s="114"/>
      <c r="T27" s="114"/>
      <c r="U27" s="114"/>
      <c r="V27" s="114"/>
      <c r="W27" s="114"/>
      <c r="X27" s="114"/>
      <c r="Y27" s="23"/>
      <c r="Z27" s="111">
        <v>0.8</v>
      </c>
      <c r="AA27" s="99">
        <v>1.25</v>
      </c>
      <c r="AB27" s="11" t="s">
        <v>54</v>
      </c>
      <c r="AC27" s="78">
        <f ca="1">COUNTIF($P$31:$X$31,AB27)</f>
        <v>4</v>
      </c>
      <c r="AD27" s="113">
        <f t="shared" ref="AD27:AD36" ca="1" si="2">C27+AC27*AA27</f>
        <v>20</v>
      </c>
    </row>
    <row r="28" spans="2:30" x14ac:dyDescent="0.25">
      <c r="B28" s="24"/>
      <c r="C28" s="107">
        <v>20</v>
      </c>
      <c r="D28" s="11" t="str">
        <f t="shared" si="1"/>
        <v>VINCENT</v>
      </c>
      <c r="E28" s="78" t="str">
        <f>IF(AND(M12&gt;=4,B12&lt;&gt;$J$4),D28,"")</f>
        <v>VINCENT</v>
      </c>
      <c r="F28" s="96"/>
      <c r="G28" s="79" t="str">
        <f t="array" ref="G28">INDEX(E$27:E$34,MATCH(H28,C$27:C$34+ROW($B$27:$B$34)/100,0))</f>
        <v/>
      </c>
      <c r="H28" s="80">
        <f t="array" ref="H28">SMALL($C$27:$C$34+ROW($C$27:$C$34)/100,ROWS($J$27:J28))</f>
        <v>12.32</v>
      </c>
      <c r="I28" s="96"/>
      <c r="J28" s="124" t="str">
        <f t="array" aca="1" ref="J28" ca="1">IFERROR(INDEX($G$27:$G$34,SMALL(IF($G$27:$G$34&lt;&gt;"",ROW(INDIRECT("1:"&amp;ROWS($G$27:$G$34)))),ROWS($1:2))),"")</f>
        <v>PAULINE</v>
      </c>
      <c r="K28" s="96" t="s">
        <v>114</v>
      </c>
      <c r="L28" s="96"/>
      <c r="M28" s="23"/>
      <c r="N28" s="96"/>
      <c r="O28" s="117" t="s">
        <v>22</v>
      </c>
      <c r="P28" s="96"/>
      <c r="Q28" s="114"/>
      <c r="R28" s="118"/>
      <c r="S28" s="96"/>
      <c r="T28" s="96"/>
      <c r="U28" s="96"/>
      <c r="V28" s="96"/>
      <c r="W28" s="96"/>
      <c r="X28" s="96"/>
      <c r="Y28" s="23"/>
      <c r="Z28" s="24" t="s">
        <v>21</v>
      </c>
      <c r="AA28" s="99">
        <v>1</v>
      </c>
      <c r="AB28" s="11" t="s">
        <v>55</v>
      </c>
      <c r="AC28" s="78">
        <f t="shared" ref="AC28:AC36" ca="1" si="3">COUNTIF($P$31:$X$31,AB28)</f>
        <v>0</v>
      </c>
      <c r="AD28" s="113">
        <f t="shared" ca="1" si="2"/>
        <v>20</v>
      </c>
    </row>
    <row r="29" spans="2:30" x14ac:dyDescent="0.25">
      <c r="B29" s="24"/>
      <c r="C29" s="107">
        <v>16</v>
      </c>
      <c r="D29" s="11" t="str">
        <f t="shared" si="1"/>
        <v>PAULINE</v>
      </c>
      <c r="E29" s="78" t="str">
        <f>IF(AND(M13&gt;=4,B13&lt;&gt;$J$4),D29,"")</f>
        <v>PAULINE</v>
      </c>
      <c r="F29" s="96"/>
      <c r="G29" s="79" t="str">
        <f t="array" ref="G29">INDEX(E$27:E$34,MATCH(H29,C$27:C$34+ROW($B$27:$B$34)/100,0))</f>
        <v>NOEMIE</v>
      </c>
      <c r="H29" s="80">
        <f t="array" ref="H29">SMALL($C$27:$C$34+ROW($C$27:$C$34)/100,ROWS($J$27:J29))</f>
        <v>15.27</v>
      </c>
      <c r="I29" s="96"/>
      <c r="J29" s="124" t="str">
        <f t="array" aca="1" ref="J29" ca="1">IFERROR(INDEX($G$27:$G$34,SMALL(IF($G$27:$G$34&lt;&gt;"",ROW(INDIRECT("1:"&amp;ROWS($G$27:$G$34)))),ROWS($1:3))),"")</f>
        <v>VINCENT</v>
      </c>
      <c r="K29" s="96" t="s">
        <v>115</v>
      </c>
      <c r="L29" s="96"/>
      <c r="M29" s="23"/>
      <c r="N29" s="96"/>
      <c r="O29" s="96"/>
      <c r="P29" s="96"/>
      <c r="Q29" s="96"/>
      <c r="R29" s="118"/>
      <c r="S29" s="96"/>
      <c r="T29" s="96"/>
      <c r="U29" s="96"/>
      <c r="V29" s="96"/>
      <c r="W29" s="96"/>
      <c r="X29" s="96"/>
      <c r="Y29" s="23"/>
      <c r="Z29" s="24" t="s">
        <v>21</v>
      </c>
      <c r="AA29" s="99">
        <v>1</v>
      </c>
      <c r="AB29" s="11" t="s">
        <v>56</v>
      </c>
      <c r="AC29" s="78">
        <f t="shared" ca="1" si="3"/>
        <v>1</v>
      </c>
      <c r="AD29" s="113">
        <f t="shared" ca="1" si="2"/>
        <v>17</v>
      </c>
    </row>
    <row r="30" spans="2:30" x14ac:dyDescent="0.25">
      <c r="B30" s="24"/>
      <c r="C30" s="107">
        <v>18</v>
      </c>
      <c r="D30" s="11" t="str">
        <f t="shared" si="1"/>
        <v>DAVID</v>
      </c>
      <c r="E30" s="78" t="str">
        <f>IF(AND(M14&gt;=4,B14&lt;&gt;$J$4),D30,"")</f>
        <v/>
      </c>
      <c r="F30" s="96"/>
      <c r="G30" s="79" t="str">
        <f t="array" ref="G30">INDEX(E$27:E$34,MATCH(H30,C$27:C$34+ROW($B$27:$B$34)/100,0))</f>
        <v>PAULINE</v>
      </c>
      <c r="H30" s="80">
        <f t="array" ref="H30">SMALL($C$27:$C$34+ROW($C$27:$C$34)/100,ROWS($J$27:J30))</f>
        <v>16.29</v>
      </c>
      <c r="I30" s="96"/>
      <c r="J30" s="124" t="str">
        <f t="array" aca="1" ref="J30" ca="1">IFERROR(INDEX($G$27:$G$34,SMALL(IF($G$27:$G$34&lt;&gt;"",ROW(INDIRECT("1:"&amp;ROWS($G$27:$G$34)))),ROWS($1:4))),"")</f>
        <v>JACQUES</v>
      </c>
      <c r="K30" s="96" t="s">
        <v>116</v>
      </c>
      <c r="L30" s="96"/>
      <c r="M30" s="23"/>
      <c r="N30" s="96"/>
      <c r="O30" s="33" t="s">
        <v>23</v>
      </c>
      <c r="P30" s="8" t="s">
        <v>9</v>
      </c>
      <c r="Q30" s="34"/>
      <c r="R30" s="8" t="s">
        <v>10</v>
      </c>
      <c r="S30" s="34"/>
      <c r="T30" s="8" t="s">
        <v>11</v>
      </c>
      <c r="U30" s="34"/>
      <c r="V30" s="8" t="s">
        <v>12</v>
      </c>
      <c r="W30" s="34"/>
      <c r="X30" s="8" t="s">
        <v>13</v>
      </c>
      <c r="Y30" s="23"/>
      <c r="Z30" s="24" t="s">
        <v>21</v>
      </c>
      <c r="AA30" s="99">
        <v>1</v>
      </c>
      <c r="AB30" s="11" t="s">
        <v>57</v>
      </c>
      <c r="AC30" s="78">
        <f t="shared" ca="1" si="3"/>
        <v>0</v>
      </c>
      <c r="AD30" s="113">
        <f t="shared" ca="1" si="2"/>
        <v>18</v>
      </c>
    </row>
    <row r="31" spans="2:30" x14ac:dyDescent="0.25">
      <c r="B31" s="24"/>
      <c r="C31" s="107">
        <v>21</v>
      </c>
      <c r="D31" s="11" t="str">
        <f t="shared" si="1"/>
        <v>JACQUES</v>
      </c>
      <c r="E31" s="78" t="str">
        <f>IF(AND(M15&gt;=4,B15&lt;&gt;$J$4),D31,"")</f>
        <v>JACQUES</v>
      </c>
      <c r="F31" s="96"/>
      <c r="G31" s="79" t="str">
        <f t="array" ref="G31">INDEX(E$27:E$34,MATCH(H31,C$27:C$34+ROW($B$27:$B$34)/100,0))</f>
        <v/>
      </c>
      <c r="H31" s="80">
        <f t="array" ref="H31">SMALL($C$27:$C$34+ROW($C$27:$C$34)/100,ROWS($J$27:J31))</f>
        <v>17.329999999999998</v>
      </c>
      <c r="I31" s="96"/>
      <c r="J31" s="106" t="str">
        <f t="array" aca="1" ref="J31" ca="1">IFERROR(INDEX($G$27:$G$34,SMALL(IF($G$27:$G$34&lt;&gt;"",ROW(INDIRECT("1:"&amp;ROWS($G$27:$G$34)))),ROWS($1:5))),"")</f>
        <v/>
      </c>
      <c r="K31" s="96" t="s">
        <v>117</v>
      </c>
      <c r="L31" s="96"/>
      <c r="M31" s="23"/>
      <c r="N31" s="96"/>
      <c r="O31" s="27">
        <v>3</v>
      </c>
      <c r="P31" s="142" t="str">
        <f ca="1">IF(OR(AND($J$27=$C$11,D11=1),AND($J$27=$C$12,D12=1),AND($J$27=$C$13,D13=1),AND($J$27=$C$14,D14=1),AND($J$27=$C$15,D15=1),AND($J$27=$C$16,D16=1),AND($J$27=$C$17,D17=1),AND($J$27=$C$18,D18=1)),$J$27,IF(OR(AND($J$28=$C$11,D11=1),AND($J$28=$C$12,D12=1),AND($J$28=$C$13,D13=1),AND($J$28=$C$14,D14=1),AND($J$28=$C$15,D15=1),AND($J$28=$C$16,D16=1),AND($J$28=$C$17,D17=1),AND($J$28=$C$18,D18=1)),$J$28,IF(OR(AND($J$29=$C$11,D11=1),AND($J$29=$C$12,D12=1),AND($J$29=$C$13,D13=1),AND($J$29=$C$14,D14=1),AND($J$29=$C$15,D15=1),AND($J$29=$C$16,D16=1),AND($J$29=$C$17,D17=1),AND($J$29=$C$18,D18=1)),$J$29,IF(OR(AND($J$30=$C$11,D11=1),AND($J$30=$C$12,D12=1),AND($J$30=$C$13,D13=1),AND($J$30=$C$14,D14=1),AND($J$30=$C$15,D15=1),AND($J$29=$C$16,D16=1),AND($J$29=$C$17,D17=1),AND($J$29=$C$18,D18=1)),$J$30,IF(OR(AND($J$31=$C$11,D11=1),AND($J$31=$C$12,D12=1),AND($J$31=$C$13,D13=1),AND($J$31=$C$14,D14=1),AND($J$31=$C$15,D15=1),AND($J$29=$C$16,D16=1),AND($J$29=$C$17,D17=1),AND($J$29=$C$18,D18=1)),$J$31,"")))))</f>
        <v>PAULINE</v>
      </c>
      <c r="Q31" s="35"/>
      <c r="R31" s="142" t="str">
        <f ca="1">IF(OR(AND($J$27=$C$11,F11=1),AND($J$27=$C$12,F12=1),AND($J$27=$C$13,F13=1),AND($J$27=$C$14,F14=1),AND($J$27=$C$15,F15=1),AND($J$27=$C$16,F16=1),AND($J$27=$C$17,F17=1),AND($J$27=$C$18,F18=1)),$J$27,IF(OR(AND($J$28=$C$11,F11=1),AND($J$28=$C$12,F12=1),AND($J$28=$C$13,F13=1),AND($J$28=$C$14,F14=1),AND($J$28=$C$15,F15=1),AND($J$28=$C$16,F16=1),AND($J$28=$C$17,F17=1),AND($J$28=$C$18,F18=1)),$J$28,IF(OR(AND($J$29=$C$11,F11=1),AND($J$29=$C$12,F12=1),AND($J$29=$C$13,F13=1),AND($J$29=$C$14,F14=1),AND($J$29=$C$15,F15=1),AND($J$29=$C$16,F16=1),AND($J$29=$C$17,F17=1),AND($J$29=$C$18,F18=1)),$J$29,IF(OR(AND($J$30=$C$11,F11=1),AND($J$30=$C$12,F12=1),AND($J$30=$C$13,F13=1),AND($J$30=$C$14,F14=1),AND($J$30=$C$15,F15=1),AND($J$29=$C$16,F16=1),AND($J$29=$C$17,F17=1),AND($J$29=$C$18,F18=1)),$J$30,IF(OR(AND($J$31=$C$11,F11=1),AND($J$31=$C$12,F12=1),AND($J$31=$C$13,F13=1),AND($J$31=$C$14,F14=1),AND($J$31=$C$15,F15=1),AND($J$29=$C$16,F16=1),AND($J$29=$C$17,F17=1),AND($J$29=$C$18,F18=1)),$J$31,"")))))</f>
        <v>NOEMIE</v>
      </c>
      <c r="S31" s="35"/>
      <c r="T31" s="142" t="str">
        <f ca="1">IF(OR(AND($J$27=$C$11,H11=1),AND($J$27=$C$12,H12=1),AND($J$27=$C$13,H13=1),AND($J$27=$C$14,H14=1),AND($J$27=$C$15,H15=1),AND($J$27=$C$16,H16=1),AND($J$27=$C$17,H17=1),AND($J$27=$C$18,H18=1)),$J$27,IF(OR(AND($J$28=$C$11,H11=1),AND($J$28=$C$12,H12=1),AND($J$28=$C$13,H13=1),AND($J$28=$C$14,H14=1),AND($J$28=$C$15,H15=1),AND($J$28=$C$16,H16=1),AND($J$28=$C$17,H17=1),AND($J$28=$C$18,H18=1)),$J$28,IF(OR(AND($J$29=$C$11,H11=1),AND($J$29=$C$12,H12=1),AND($J$29=$C$13,H13=1),AND($J$29=$C$14,H14=1),AND($J$29=$C$15,H15=1),AND($J$29=$C$16,H16=1),AND($J$29=$C$17,H17=1),AND($J$29=$C$18,H18=1)),$J$29,IF(OR(AND($J$30=$C$11,H11=1),AND($J$30=$C$12,H12=1),AND($J$30=$C$13,H13=1),AND($J$30=$C$14,H14=1),AND($J$30=$C$15,H15=1),AND($J$29=$C$16,H16=1),AND($J$29=$C$17,H17=1),AND($J$29=$C$18,H18=1)),$J$30,IF(OR(AND($J$31=$C$11,H11=1),AND($J$31=$C$12,H12=1),AND($J$31=$C$13,H13=1),AND($J$31=$C$14,H14=1),AND($J$31=$C$15,H15=1),AND($J$29=$C$16,H16=1),AND($J$29=$C$17,H17=1),AND($J$29=$C$18,H18=1)),$J$31,"")))))</f>
        <v>NOEMIE</v>
      </c>
      <c r="U31" s="35"/>
      <c r="V31" s="142" t="str">
        <f ca="1">IF(OR(AND($J$27=$C$11,J11=1),AND($J$27=$C$12,J12=1),AND($J$27=$C$13,J13=1),AND($J$27=$C$14,J14=1),AND($J$27=$C$15,J15=1),AND($J$27=$C$16,J16=1),AND($J$27=$C$17,J17=1),AND($J$27=$C$18,J18=1)),$J$27,IF(OR(AND($J$28=$C$11,J11=1),AND($J$28=$C$12,J12=1),AND($J$28=$C$13,J13=1),AND($J$28=$C$14,J14=1),AND($J$28=$C$15,J15=1),AND($J$28=$C$16,J16=1),AND($J$28=$C$17,J17=1),AND($J$28=$C$18,J18=1)),$J$28,IF(OR(AND($J$29=$C$11,J11=1),AND($J$29=$C$12,J12=1),AND($J$29=$C$13,J13=1),AND($J$29=$C$14,J14=1),AND($J$29=$C$15,J15=1),AND($J$29=$C$16,J16=1),AND($J$29=$C$17,J17=1),AND($J$29=$C$18,J18=1)),$J$29,IF(OR(AND($J$30=$C$11,J11=1),AND($J$30=$C$12,J12=1),AND($J$30=$C$13,J13=1),AND($J$30=$C$14,J14=1),AND($J$30=$C$15,J15=1),AND($J$29=$C$16,J16=1),AND($J$29=$C$17,J17=1),AND($J$29=$C$18,J18=1)),$J$30,IF(OR(AND($J$31=$C$11,J11=1),AND($J$31=$C$12,J12=1),AND($J$31=$C$13,J13=1),AND($J$31=$C$14,J14=1),AND($J$31=$C$15,J15=1),AND($J$29=$C$16,J16=1),AND($J$29=$C$17,J17=1),AND($J$29=$C$18,J18=1)),$J$31,"")))))</f>
        <v>NOEMIE</v>
      </c>
      <c r="W31" s="35"/>
      <c r="X31" s="142" t="str">
        <f ca="1">IF(OR(AND($J$27=$C$11,L11=1),AND($J$27=$C$12,L12=1),AND($J$27=$C$13,L13=1),AND($J$27=$C$14,L14=1),AND($J$27=$C$15,L15=1),AND($J$27=$C$16,L16=1),AND($J$27=$C$17,L17=1),AND($J$27=$C$18,L18=1)),$J$27,IF(OR(AND($J$28=$C$11,L11=1),AND($J$28=$C$12,L12=1),AND($J$28=$C$13,L13=1),AND($J$28=$C$14,L14=1),AND($J$28=$C$15,L15=1),AND($J$28=$C$16,L16=1),AND($J$28=$C$17,L17=1),AND($J$28=$C$18,L18=1)),$J$28,IF(OR(AND($J$29=$C$11,L11=1),AND($J$29=$C$12,L12=1),AND($J$29=$C$13,L13=1),AND($J$29=$C$14,L14=1),AND($J$29=$C$15,L15=1),AND($J$29=$C$16,L16=1),AND($J$29=$C$17,L17=1),AND($J$29=$C$18,L18=1)),$J$29,IF(OR(AND($J$30=$C$11,L11=1),AND($J$30=$C$12,L12=1),AND($J$30=$C$13,L13=1),AND($J$30=$C$14,L14=1),AND($J$30=$C$15,L15=1),AND($J$29=$C$16,L16=1),AND($J$29=$C$17,L17=1),AND($J$29=$C$18,L18=1)),$J$30,IF(OR(AND($J$31=$C$11,L11=1),AND($J$31=$C$12,L12=1),AND($J$31=$C$13,L13=1),AND($J$31=$C$14,L14=1),AND($J$31=$C$15,L15=1),AND($J$29=$C$16,L16=1),AND($J$29=$C$17,L17=1),AND($J$29=$C$18,L18=1)),$J$31,"")))))</f>
        <v>NOEMIE</v>
      </c>
      <c r="Y31" s="23"/>
      <c r="Z31" s="24" t="s">
        <v>21</v>
      </c>
      <c r="AA31" s="99">
        <v>1</v>
      </c>
      <c r="AB31" s="11" t="s">
        <v>58</v>
      </c>
      <c r="AC31" s="78">
        <f t="shared" ca="1" si="3"/>
        <v>0</v>
      </c>
      <c r="AD31" s="113">
        <f t="shared" ca="1" si="2"/>
        <v>21</v>
      </c>
    </row>
    <row r="32" spans="2:30" x14ac:dyDescent="0.25">
      <c r="B32" s="24"/>
      <c r="C32" s="107">
        <v>12</v>
      </c>
      <c r="D32" s="11" t="str">
        <f t="shared" si="1"/>
        <v>FLORENCE</v>
      </c>
      <c r="E32" s="78" t="str">
        <f>IF(AND(M16&gt;=4,B16&lt;&gt;$J$4),D32,"")</f>
        <v/>
      </c>
      <c r="F32" s="96"/>
      <c r="G32" s="79" t="str">
        <f t="array" ref="G32">INDEX(E$27:E$34,MATCH(H32,C$27:C$34+ROW($B$27:$B$34)/100,0))</f>
        <v/>
      </c>
      <c r="H32" s="80">
        <f t="array" ref="H32">SMALL($C$27:$C$34+ROW($C$27:$C$34)/100,ROWS($J$27:J32))</f>
        <v>18.3</v>
      </c>
      <c r="I32" s="96"/>
      <c r="J32" s="106" t="str">
        <f t="array" aca="1" ref="J32" ca="1">IFERROR(INDEX($G$27:$G$34,SMALL(IF($G$27:$G$34&lt;&gt;"",ROW(INDIRECT("1:"&amp;ROWS($G$27:$G$34)))),ROWS($1:6))),"")</f>
        <v/>
      </c>
      <c r="K32" s="96" t="s">
        <v>118</v>
      </c>
      <c r="L32" s="96"/>
      <c r="M32" s="23"/>
      <c r="N32" s="96"/>
      <c r="O32" s="96"/>
      <c r="P32" s="96"/>
      <c r="Q32" s="96"/>
      <c r="R32" s="118"/>
      <c r="S32" s="96"/>
      <c r="T32" s="96"/>
      <c r="U32" s="96"/>
      <c r="V32" s="96"/>
      <c r="W32" s="96"/>
      <c r="X32" s="96"/>
      <c r="Y32" s="23"/>
      <c r="Z32" s="111">
        <v>0.8</v>
      </c>
      <c r="AA32" s="99">
        <v>1.25</v>
      </c>
      <c r="AB32" s="11" t="s">
        <v>60</v>
      </c>
      <c r="AC32" s="78">
        <f t="shared" ca="1" si="3"/>
        <v>0</v>
      </c>
      <c r="AD32" s="113">
        <f t="shared" ca="1" si="2"/>
        <v>12</v>
      </c>
    </row>
    <row r="33" spans="2:30" x14ac:dyDescent="0.25">
      <c r="B33" s="24"/>
      <c r="C33" s="107">
        <v>17</v>
      </c>
      <c r="D33" s="11" t="str">
        <f t="shared" si="1"/>
        <v>NICOLAS</v>
      </c>
      <c r="E33" s="78" t="str">
        <f>IF(AND(M17&gt;=3,B17&lt;&gt;$J$4),D33,"")</f>
        <v/>
      </c>
      <c r="F33" s="96"/>
      <c r="G33" s="79" t="str">
        <f t="array" ref="G33">INDEX(E$27:E$34,MATCH(H33,C$27:C$34+ROW($B$27:$B$34)/100,0))</f>
        <v>VINCENT</v>
      </c>
      <c r="H33" s="80">
        <f t="array" ref="H33">SMALL($C$27:$C$34+ROW($C$27:$C$34)/100,ROWS($J$27:J33))</f>
        <v>20.28</v>
      </c>
      <c r="I33" s="96"/>
      <c r="J33" s="106" t="str">
        <f t="array" aca="1" ref="J33" ca="1">IFERROR(INDEX($G$27:$G$34,SMALL(IF($G$27:$G$34&lt;&gt;"",ROW(INDIRECT("1:"&amp;ROWS($G$27:$G$34)))),ROWS($1:7))),"")</f>
        <v/>
      </c>
      <c r="K33" s="96" t="s">
        <v>119</v>
      </c>
      <c r="L33" s="96"/>
      <c r="M33" s="23"/>
      <c r="N33" s="96"/>
      <c r="O33" s="96"/>
      <c r="P33" s="96"/>
      <c r="Q33" s="96"/>
      <c r="R33" s="118"/>
      <c r="S33" s="96"/>
      <c r="T33" s="96"/>
      <c r="U33" s="96"/>
      <c r="V33" s="96"/>
      <c r="W33" s="96"/>
      <c r="X33" s="96"/>
      <c r="Y33" s="23"/>
      <c r="Z33" s="24" t="s">
        <v>21</v>
      </c>
      <c r="AA33" s="99">
        <v>1</v>
      </c>
      <c r="AB33" s="11" t="s">
        <v>59</v>
      </c>
      <c r="AC33" s="78">
        <f ca="1">COUNTIF($P$31:$X$31,AB33)</f>
        <v>0</v>
      </c>
      <c r="AD33" s="113">
        <f t="shared" ca="1" si="2"/>
        <v>17</v>
      </c>
    </row>
    <row r="34" spans="2:30" x14ac:dyDescent="0.25">
      <c r="B34" s="24"/>
      <c r="C34" s="107">
        <v>2</v>
      </c>
      <c r="D34" s="11" t="str">
        <f t="shared" si="1"/>
        <v>PIERRE</v>
      </c>
      <c r="E34" s="78" t="str">
        <f>IF(AND(M18&gt;=4,B18&lt;&gt;$J$4),D34,"")</f>
        <v/>
      </c>
      <c r="F34" s="96"/>
      <c r="G34" s="79" t="str">
        <f t="array" ref="G34">INDEX(E$27:E$34,MATCH(H34,C$27:C$34+ROW($B$27:$B$34)/100,0))</f>
        <v>JACQUES</v>
      </c>
      <c r="H34" s="80">
        <f t="array" ref="H34">SMALL($C$27:$C$34+ROW($C$27:$C$34)/100,ROWS($J$27:J34))</f>
        <v>21.31</v>
      </c>
      <c r="I34" s="96"/>
      <c r="J34" s="28" t="str">
        <f t="array" aca="1" ref="J34" ca="1">IFERROR(INDEX($G$27:$G$34,SMALL(IF($G$27:$G$34&lt;&gt;"",ROW(INDIRECT("1:"&amp;ROWS($G$27:$G$34)))),ROWS($1:8))),"")</f>
        <v/>
      </c>
      <c r="K34" s="96" t="s">
        <v>120</v>
      </c>
      <c r="L34" s="96"/>
      <c r="M34" s="23"/>
      <c r="N34" s="96"/>
      <c r="O34" s="114"/>
      <c r="P34" s="136"/>
      <c r="Q34" s="114"/>
      <c r="R34" s="118"/>
      <c r="S34" s="96"/>
      <c r="T34" s="96"/>
      <c r="U34" s="96"/>
      <c r="V34" s="96"/>
      <c r="W34" s="96"/>
      <c r="X34" s="96"/>
      <c r="Y34" s="23"/>
      <c r="Z34" s="24"/>
      <c r="AA34" s="99"/>
      <c r="AB34" s="11" t="s">
        <v>59</v>
      </c>
      <c r="AC34" s="78">
        <f ca="1">COUNTIF($P$31:$X$31,AB34)</f>
        <v>0</v>
      </c>
      <c r="AD34" s="113">
        <f t="shared" ref="AD34" ca="1" si="4">C34+AC34*AA34</f>
        <v>2</v>
      </c>
    </row>
    <row r="35" spans="2:30" x14ac:dyDescent="0.25">
      <c r="B35" s="24"/>
      <c r="C35" s="107"/>
      <c r="D35" s="11"/>
      <c r="E35" s="96"/>
      <c r="F35" s="96"/>
      <c r="G35" s="51" t="s">
        <v>83</v>
      </c>
      <c r="H35" s="46"/>
      <c r="I35" s="96"/>
      <c r="J35" s="96"/>
      <c r="K35" s="96"/>
      <c r="L35" s="96"/>
      <c r="M35" s="23"/>
      <c r="N35" s="96"/>
      <c r="O35" s="114"/>
      <c r="P35" s="136"/>
      <c r="Q35" s="114"/>
      <c r="R35" s="118"/>
      <c r="S35" s="96"/>
      <c r="T35" s="96"/>
      <c r="U35" s="96"/>
      <c r="V35" s="96"/>
      <c r="W35" s="96"/>
      <c r="X35" s="96"/>
      <c r="Y35" s="23"/>
      <c r="Z35" s="24"/>
      <c r="AA35" s="99"/>
      <c r="AB35" s="11" t="s">
        <v>64</v>
      </c>
      <c r="AC35" s="78">
        <f t="shared" ca="1" si="3"/>
        <v>0</v>
      </c>
      <c r="AD35" s="113">
        <f t="shared" ca="1" si="2"/>
        <v>0</v>
      </c>
    </row>
    <row r="36" spans="2:30" x14ac:dyDescent="0.25">
      <c r="B36" s="24"/>
      <c r="C36" s="107"/>
      <c r="D36" s="11"/>
      <c r="E36" s="96">
        <v>7</v>
      </c>
      <c r="F36" s="96"/>
      <c r="G36" s="47" t="s">
        <v>86</v>
      </c>
      <c r="H36" s="48"/>
      <c r="I36" s="96"/>
      <c r="J36" s="96"/>
      <c r="K36" s="96"/>
      <c r="L36" s="96"/>
      <c r="M36" s="23"/>
      <c r="N36" s="96"/>
      <c r="O36" s="96"/>
      <c r="P36" s="96"/>
      <c r="Q36" s="96"/>
      <c r="R36" s="99"/>
      <c r="S36" s="96"/>
      <c r="T36" s="96"/>
      <c r="U36" s="96"/>
      <c r="V36" s="96"/>
      <c r="W36" s="96"/>
      <c r="X36" s="96"/>
      <c r="Y36" s="23"/>
      <c r="Z36" s="24"/>
      <c r="AA36" s="99"/>
      <c r="AB36" s="11"/>
      <c r="AC36" s="78">
        <f t="shared" ca="1" si="3"/>
        <v>0</v>
      </c>
      <c r="AD36" s="113">
        <f t="shared" ca="1" si="2"/>
        <v>0</v>
      </c>
    </row>
    <row r="37" spans="2:30" ht="15.75" thickBot="1" x14ac:dyDescent="0.3">
      <c r="B37" s="36"/>
      <c r="C37" s="37"/>
      <c r="D37" s="37"/>
      <c r="E37" s="38"/>
      <c r="F37" s="37"/>
      <c r="G37" s="140"/>
      <c r="H37" s="139"/>
      <c r="I37" s="37"/>
      <c r="J37" s="37"/>
      <c r="K37" s="37"/>
      <c r="L37" s="37"/>
      <c r="M37" s="39"/>
      <c r="N37" s="37"/>
      <c r="O37" s="37"/>
      <c r="P37" s="37"/>
      <c r="Q37" s="37"/>
      <c r="R37" s="38"/>
      <c r="S37" s="37"/>
      <c r="T37" s="37"/>
      <c r="U37" s="37"/>
      <c r="V37" s="37"/>
      <c r="W37" s="37"/>
      <c r="X37" s="37"/>
      <c r="Y37" s="39"/>
      <c r="Z37" s="86"/>
      <c r="AA37" s="37"/>
      <c r="AB37" s="37"/>
      <c r="AC37" s="37"/>
      <c r="AD37" s="39"/>
    </row>
    <row r="38" spans="2:30" x14ac:dyDescent="0.25">
      <c r="D38" s="4"/>
      <c r="W38" s="4"/>
    </row>
    <row r="39" spans="2:30" ht="15.75" thickBot="1" x14ac:dyDescent="0.3">
      <c r="D39" s="4"/>
      <c r="O39" s="4"/>
      <c r="W39" s="4"/>
    </row>
    <row r="40" spans="2:30" x14ac:dyDescent="0.25">
      <c r="B40" s="40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20"/>
      <c r="N40" s="18"/>
      <c r="O40" s="18"/>
      <c r="P40" s="18"/>
      <c r="Q40" s="18"/>
      <c r="R40" s="19"/>
      <c r="S40" s="18"/>
      <c r="T40" s="18"/>
      <c r="U40" s="18"/>
      <c r="V40" s="18"/>
      <c r="W40" s="18"/>
      <c r="X40" s="18"/>
      <c r="Y40" s="20"/>
      <c r="Z40" s="17"/>
      <c r="AA40" s="18"/>
      <c r="AB40" s="18"/>
      <c r="AC40" s="18"/>
      <c r="AD40" s="20"/>
    </row>
    <row r="41" spans="2:30" x14ac:dyDescent="0.25">
      <c r="B41" s="21" t="s">
        <v>14</v>
      </c>
      <c r="C41" s="99"/>
      <c r="D41" s="96"/>
      <c r="E41" s="99"/>
      <c r="F41" s="96"/>
      <c r="G41" s="96"/>
      <c r="H41" s="96"/>
      <c r="I41" s="96"/>
      <c r="J41" s="96"/>
      <c r="K41" s="96"/>
      <c r="L41" s="96"/>
      <c r="M41" s="23"/>
      <c r="O41" s="22" t="s">
        <v>24</v>
      </c>
      <c r="P41" s="22"/>
      <c r="R41" s="4"/>
      <c r="Y41" s="23"/>
      <c r="Z41" s="21"/>
      <c r="AA41" s="96"/>
      <c r="AB41" s="96"/>
      <c r="AC41" s="96"/>
      <c r="AD41" s="23"/>
    </row>
    <row r="42" spans="2:30" x14ac:dyDescent="0.25">
      <c r="B42" s="24"/>
      <c r="C42" s="96" t="s">
        <v>16</v>
      </c>
      <c r="D42" s="96"/>
      <c r="E42" s="96"/>
      <c r="F42" s="96"/>
      <c r="G42" s="96"/>
      <c r="H42" s="96"/>
      <c r="I42" s="96"/>
      <c r="J42" s="96"/>
      <c r="K42" s="96"/>
      <c r="L42" s="96"/>
      <c r="M42" s="23"/>
      <c r="R42" s="4"/>
      <c r="Y42" s="23"/>
      <c r="Z42" s="24"/>
      <c r="AA42" s="96"/>
      <c r="AB42" s="96"/>
      <c r="AC42" s="96" t="s">
        <v>16</v>
      </c>
      <c r="AD42" s="23"/>
    </row>
    <row r="43" spans="2:30" ht="28.5" x14ac:dyDescent="0.25">
      <c r="B43" s="25" t="s">
        <v>17</v>
      </c>
      <c r="C43" s="98">
        <v>46</v>
      </c>
      <c r="D43" s="96"/>
      <c r="E43" s="138" t="s">
        <v>135</v>
      </c>
      <c r="F43" s="96"/>
      <c r="G43" s="96" t="s">
        <v>136</v>
      </c>
      <c r="H43" s="96"/>
      <c r="I43" s="137"/>
      <c r="J43" s="96" t="s">
        <v>137</v>
      </c>
      <c r="K43" s="96"/>
      <c r="L43" s="96"/>
      <c r="M43" s="23"/>
      <c r="R43" s="4"/>
      <c r="Y43" s="23"/>
      <c r="Z43" s="108" t="s">
        <v>18</v>
      </c>
      <c r="AA43" s="109" t="s">
        <v>19</v>
      </c>
      <c r="AB43" s="64" t="s">
        <v>17</v>
      </c>
      <c r="AC43" s="98">
        <v>47</v>
      </c>
      <c r="AD43" s="110" t="s">
        <v>20</v>
      </c>
    </row>
    <row r="44" spans="2:30" x14ac:dyDescent="0.25">
      <c r="B44" s="24"/>
      <c r="C44" s="27">
        <v>8</v>
      </c>
      <c r="D44" s="11" t="str">
        <f>C11</f>
        <v>NOEMIE</v>
      </c>
      <c r="E44" s="78" t="str">
        <f>IF(AND(M11&gt;=3,B11=$J$4),D44,"")</f>
        <v/>
      </c>
      <c r="F44" s="96"/>
      <c r="G44" s="79" t="str">
        <f t="array" ref="G44">INDEX(E$44:E$51,MATCH(H44,C$44:C$51+ROW($B$44:$B$51)/100,0))</f>
        <v/>
      </c>
      <c r="H44" s="80">
        <f t="array" ref="H44">SMALL($C$44:$C$51+ROW($C$44:$C$51)/100,ROWS($J$44:J44))</f>
        <v>8.44</v>
      </c>
      <c r="I44" s="96"/>
      <c r="J44" s="124" t="str">
        <f t="array" aca="1" ref="J44" ca="1">IFERROR(INDEX($G$44:$G$51,SMALL(IF($G$44:$G$51&lt;&gt;"",ROW(INDIRECT("1:"&amp;ROWS($G$44:$G$51)))),ROWS($1:1))),"")</f>
        <v>NICOLAS</v>
      </c>
      <c r="K44" s="96" t="s">
        <v>138</v>
      </c>
      <c r="L44" s="96"/>
      <c r="M44" s="23"/>
      <c r="N44" s="32"/>
      <c r="O44" s="30"/>
      <c r="Q44" s="30"/>
      <c r="R44" s="31"/>
      <c r="Y44" s="23"/>
      <c r="Z44" s="111">
        <v>0.8</v>
      </c>
      <c r="AA44" s="99">
        <v>1.25</v>
      </c>
      <c r="AB44" s="11" t="s">
        <v>54</v>
      </c>
      <c r="AC44" s="28">
        <f ca="1">COUNTIF($P$48:$X$48,AB44)</f>
        <v>0</v>
      </c>
      <c r="AD44" s="112">
        <f t="shared" ref="AD44:AD53" ca="1" si="5">C44+AC44*AA44</f>
        <v>8</v>
      </c>
    </row>
    <row r="45" spans="2:30" x14ac:dyDescent="0.25">
      <c r="B45" s="24"/>
      <c r="C45" s="27">
        <v>12</v>
      </c>
      <c r="D45" s="11" t="str">
        <f t="shared" ref="D45:D51" si="6">C12</f>
        <v>VINCENT</v>
      </c>
      <c r="E45" s="78" t="str">
        <f>IF(AND(M12&gt;=4,B12=$J$4),D45,"")</f>
        <v/>
      </c>
      <c r="F45" s="96"/>
      <c r="G45" s="79" t="str">
        <f t="array" ref="G45">INDEX(E$44:E$51,MATCH(H45,C$44:C$51+ROW($B$44:$B$51)/100,0))</f>
        <v/>
      </c>
      <c r="H45" s="80">
        <f t="array" ref="H45">SMALL($C$44:$C$51+ROW($C$44:$C$51)/100,ROWS($J$44:J45))</f>
        <v>9.49</v>
      </c>
      <c r="I45" s="96"/>
      <c r="J45" s="124" t="str">
        <f t="array" aca="1" ref="J45" ca="1">IFERROR(INDEX($G$44:$G$51,SMALL(IF($G$44:$G$51&lt;&gt;"",ROW(INDIRECT("1:"&amp;ROWS($G$44:$G$51)))),ROWS($1:2))),"")</f>
        <v>PIERRE</v>
      </c>
      <c r="K45" s="96" t="s">
        <v>139</v>
      </c>
      <c r="L45" s="96"/>
      <c r="M45" s="23"/>
      <c r="N45" s="32" t="s">
        <v>22</v>
      </c>
      <c r="O45" s="30"/>
      <c r="P45" s="30"/>
      <c r="Q45" s="30"/>
      <c r="R45" s="31"/>
      <c r="Y45" s="23"/>
      <c r="Z45" s="24" t="s">
        <v>21</v>
      </c>
      <c r="AA45" s="99">
        <v>1</v>
      </c>
      <c r="AB45" s="11" t="s">
        <v>55</v>
      </c>
      <c r="AC45" s="28">
        <f t="shared" ref="AC45:AC53" ca="1" si="7">COUNTIF($P$48:$X$48,AB45)</f>
        <v>0</v>
      </c>
      <c r="AD45" s="112">
        <f t="shared" ca="1" si="5"/>
        <v>12</v>
      </c>
    </row>
    <row r="46" spans="2:30" x14ac:dyDescent="0.25">
      <c r="B46" s="24"/>
      <c r="C46" s="27">
        <v>11</v>
      </c>
      <c r="D46" s="11" t="str">
        <f t="shared" si="6"/>
        <v>PAULINE</v>
      </c>
      <c r="E46" s="78" t="str">
        <f>IF(AND(M13&gt;=4,B13=$J$4),D46,"")</f>
        <v/>
      </c>
      <c r="F46" s="96"/>
      <c r="G46" s="79" t="str">
        <f t="array" ref="G46">INDEX(E$44:E$51,MATCH(H46,C$44:C$51+ROW($B$44:$B$51)/100,0))</f>
        <v/>
      </c>
      <c r="H46" s="80">
        <f t="array" ref="H46">SMALL($C$44:$C$51+ROW($C$44:$C$51)/100,ROWS($J$44:J46))</f>
        <v>11.46</v>
      </c>
      <c r="I46" s="96"/>
      <c r="J46" s="124" t="str">
        <f t="array" aca="1" ref="J46" ca="1">IFERROR(INDEX($G$44:$G$51,SMALL(IF($G$44:$G$51&lt;&gt;"",ROW(INDIRECT("1:"&amp;ROWS($G$44:$G$51)))),ROWS($1:3))),"")</f>
        <v/>
      </c>
      <c r="K46" s="96" t="s">
        <v>140</v>
      </c>
      <c r="L46" s="96"/>
      <c r="M46" s="23"/>
      <c r="R46" s="31"/>
      <c r="Y46" s="23"/>
      <c r="Z46" s="24" t="s">
        <v>21</v>
      </c>
      <c r="AA46" s="99">
        <v>1</v>
      </c>
      <c r="AB46" s="11" t="s">
        <v>56</v>
      </c>
      <c r="AC46" s="28">
        <f t="shared" ca="1" si="7"/>
        <v>0</v>
      </c>
      <c r="AD46" s="112">
        <f t="shared" ca="1" si="5"/>
        <v>11</v>
      </c>
    </row>
    <row r="47" spans="2:30" x14ac:dyDescent="0.25">
      <c r="B47" s="24"/>
      <c r="C47" s="27">
        <v>19</v>
      </c>
      <c r="D47" s="11" t="str">
        <f t="shared" si="6"/>
        <v>DAVID</v>
      </c>
      <c r="E47" s="78" t="str">
        <f>IF(AND(M14&gt;=4,B14=$J$4),D47,"")</f>
        <v/>
      </c>
      <c r="F47" s="96"/>
      <c r="G47" s="79" t="str">
        <f t="array" ref="G47">INDEX(E$44:E$51,MATCH(H47,C$44:C$51+ROW($B$44:$B$51)/100,0))</f>
        <v>NICOLAS</v>
      </c>
      <c r="H47" s="80">
        <f t="array" ref="H47">SMALL($C$44:$C$51+ROW($C$44:$C$51)/100,ROWS($J$44:J47))</f>
        <v>11.5</v>
      </c>
      <c r="I47" s="96"/>
      <c r="J47" s="106" t="str">
        <f t="array" aca="1" ref="J47" ca="1">IFERROR(INDEX($G$44:$G$51,SMALL(IF($G$44:$G$51&lt;&gt;"",ROW(INDIRECT("1:"&amp;ROWS($G$44:$G$51)))),ROWS($1:4))),"")</f>
        <v/>
      </c>
      <c r="K47" s="96" t="s">
        <v>141</v>
      </c>
      <c r="L47" s="96"/>
      <c r="M47" s="23"/>
      <c r="O47" s="33" t="s">
        <v>23</v>
      </c>
      <c r="P47" s="41" t="s">
        <v>9</v>
      </c>
      <c r="Q47" s="34"/>
      <c r="R47" s="8" t="s">
        <v>10</v>
      </c>
      <c r="S47" s="34"/>
      <c r="T47" s="8" t="s">
        <v>11</v>
      </c>
      <c r="U47" s="34"/>
      <c r="V47" s="8" t="s">
        <v>12</v>
      </c>
      <c r="W47" s="34"/>
      <c r="X47" s="8" t="s">
        <v>13</v>
      </c>
      <c r="Y47" s="23"/>
      <c r="Z47" s="24" t="s">
        <v>21</v>
      </c>
      <c r="AA47" s="99">
        <v>1</v>
      </c>
      <c r="AB47" s="11" t="s">
        <v>57</v>
      </c>
      <c r="AC47" s="28">
        <f t="shared" ca="1" si="7"/>
        <v>0</v>
      </c>
      <c r="AD47" s="112">
        <f t="shared" ca="1" si="5"/>
        <v>19</v>
      </c>
    </row>
    <row r="48" spans="2:30" x14ac:dyDescent="0.25">
      <c r="B48" s="24"/>
      <c r="C48" s="27">
        <v>21</v>
      </c>
      <c r="D48" s="11" t="str">
        <f t="shared" si="6"/>
        <v>JACQUES</v>
      </c>
      <c r="E48" s="78" t="str">
        <f>IF(AND(M15&gt;=4,B15=$J$4),D48,"")</f>
        <v/>
      </c>
      <c r="F48" s="96"/>
      <c r="G48" s="79" t="str">
        <f t="array" ref="G48">INDEX(E$44:E$51,MATCH(H48,C$44:C$51+ROW($B$44:$B$51)/100,0))</f>
        <v/>
      </c>
      <c r="H48" s="80">
        <f t="array" ref="H48">SMALL($C$44:$C$51+ROW($C$44:$C$51)/100,ROWS($J$44:J48))</f>
        <v>12.45</v>
      </c>
      <c r="I48" s="96"/>
      <c r="J48" s="106" t="str">
        <f t="array" aca="1" ref="J48" ca="1">IFERROR(INDEX($G$44:$G$51,SMALL(IF($G$44:$G$51&lt;&gt;"",ROW(INDIRECT("1:"&amp;ROWS($G$44:$G$51)))),ROWS($1:5))),"")</f>
        <v/>
      </c>
      <c r="K48" s="96" t="s">
        <v>142</v>
      </c>
      <c r="L48" s="96"/>
      <c r="M48" s="23"/>
      <c r="O48" s="27">
        <v>4</v>
      </c>
      <c r="P48" s="143" t="str">
        <f ca="1">IF(OR(AND($J$44=$C$11,D11=1),AND($J$44=$C$12,D12=1),AND($J$44=$C$13,D13=1),AND($J$44=$C$14,D14=1),AND($J$44=$C$15,D15=1),AND($J$44=$C$16,D16=1),AND($J$44=$C$17,D17=1),AND($J$44=$C$18,D18=1)),$J$44,IF(OR(AND($J$45=$C$11,D11=1),AND($J$45=$C$12,D12=1),AND($J$45=$C$13,D13=1),AND($J$45=$C$14,D14=1),AND($J$45=$C$15,D15=1),AND($J$45=$C$16,D16=1),AND($J$45=$C$17,D17=1),AND($J$45=$C$18,D18=1)),$J$45,IF(OR(AND($J$46=$C$11,D11=1),AND($J$46=$C$12,D12=1),AND($J$46=$C$13,D13=1),AND($J$46=$C$14,D14=1),AND($J$46=$C$15,D15=1),AND($J$46=$C$16,D16=1),AND($J$46=$C$17,D17=1),AND($J$46=$C$18,D18=1)),J46,"")))</f>
        <v>NICOLAS</v>
      </c>
      <c r="Q48" s="35"/>
      <c r="R48" s="142" t="str">
        <f ca="1">IF(OR(AND($J$44=$C$11,F11=1),AND($J$44=$C$12,F12=1),AND($J$44=$C$13,F13=1),AND($J$44=$C$14,F14=1),AND($J$44=$C$15,F15=1),AND($J$44=$C$16,F16=1),AND($J$44=$C$17,F17=1),AND($J$44=$C$18,F18=1)),$J$44,IF(OR(AND($J$45=$C$11,F11=1),AND($J$45=$C$12,F12=1),AND($J$45=$C$13,F13=1),AND($J$45=$C$14,F14=1),AND($J$45=$C$15,F15=1),AND($J$45=$C$16,F16=1),AND($J$45=$C$17,F17=1),AND($J$45=$C$18,F18=1)),$J$45,IF(OR(AND($J$46=$C$11,F11=1),AND($J$46=$C$12,F12=1),AND($J$46=$C$13,F13=1),AND($J$46=$C$14,F14=1),AND($J$46=$C$15,F15=1),AND($J$46=$C$16,F16=1),AND($J$46=$C$17,F17=1),AND($J$46=$C$18,F18=1)),L46,"")))</f>
        <v>NICOLAS</v>
      </c>
      <c r="S48" s="35"/>
      <c r="T48" s="142" t="str">
        <f ca="1">IF(OR(AND($J$44=$C$11,H11=1),AND($J$44=$C$12,H12=1),AND($J$44=$C$13,H13=1),AND($J$44=$C$14,H14=1),AND($J$44=$C$15,H15=1),AND($J$44=$C$16,H16=1),AND($J$44=$C$17,H17=1),AND($J$44=$C$18,H18=1)),$J$44,IF(OR(AND($J$45=$C$11,H11=1),AND($J$45=$C$12,H12=1),AND($J$45=$C$13,H13=1),AND($J$45=$C$14,H14=1),AND($J$45=$C$15,H15=1),AND($J$45=$C$16,H16=1),AND($J$45=$C$17,H17=1),AND($J$45=$C$18,H18=1)),$J$45,IF(OR(AND($J$46=$C$11,H11=1),AND($J$46=$C$12,H12=1),AND($J$46=$C$13,H13=1),AND($J$46=$C$14,H14=1),AND($J$46=$C$15,H15=1),AND($J$46=$C$16,H16=1),AND($J$46=$C$17,H17=1),AND($J$46=$C$18,H18=1)),N46,"")))</f>
        <v>NICOLAS</v>
      </c>
      <c r="U48" s="35"/>
      <c r="V48" s="142" t="str">
        <f ca="1">IF(OR(AND($J$44=$C$11,J11=1),AND($J$44=$C$12,J12=1),AND($J$44=$C$13,J13=1),AND($J$44=$C$14,J14=1),AND($J$44=$C$15,J15=1),AND($J$44=$C$16,J16=1),AND($J$44=$C$17,J17=1),AND($J$44=$C$18,J18=1)),$J$44,IF(OR(AND($J$45=$C$11,J11=1),AND($J$45=$C$12,J12=1),AND($J$45=$C$13,J13=1),AND($J$45=$C$14,J14=1),AND($J$45=$C$15,J15=1),AND($J$45=$C$16,J16=1),AND($J$45=$C$17,J17=1),AND($J$45=$C$18,J18=1)),$J$45,IF(OR(AND($J$46=$C$11,J11=1),AND($J$46=$C$12,J12=1),AND($J$46=$C$13,J13=1),AND($J$46=$C$14,J14=1),AND($J$46=$C$15,J15=1),AND($J$46=$C$16,J16=1),AND($J$46=$C$17,J17=1),AND($J$46=$C$18,J18=1)),P46,"")))</f>
        <v>PIERRE</v>
      </c>
      <c r="W48" s="35"/>
      <c r="X48" s="142" t="str">
        <f ca="1">IF(OR(AND($J$44=$C$11,L11=1),AND($J$44=$C$12,L12=1),AND($J$44=$C$13,L13=1),AND($J$44=$C$14,L14=1),AND($J$44=$C$15,L15=1),AND($J$44=$C$16,L16=1),AND($J$44=$C$17,L17=1),AND($J$44=$C$18,L18=1)),$J$44,IF(OR(AND($J$45=$C$11,L11=1),AND($J$45=$C$12,L12=1),AND($J$45=$C$13,L13=1),AND($J$45=$C$14,L14=1),AND($J$45=$C$15,L15=1),AND($J$45=$C$16,L16=1),AND($J$45=$C$17,L17=1),AND($J$45=$C$18,L18=1)),$J$45,IF(OR(AND($J$46=$C$11,L11=1),AND($J$46=$C$12,L12=1),AND($J$46=$C$13,L13=1),AND($J$46=$C$14,L14=1),AND($J$46=$C$15,L15=1),AND($J$46=$C$16,L16=1),AND($J$46=$C$17,L17=1),AND($J$46=$C$18,L18=1)),R46,"")))</f>
        <v/>
      </c>
      <c r="Y48" s="23"/>
      <c r="Z48" s="24" t="s">
        <v>21</v>
      </c>
      <c r="AA48" s="99">
        <v>1</v>
      </c>
      <c r="AB48" s="11" t="s">
        <v>58</v>
      </c>
      <c r="AC48" s="28">
        <f t="shared" ca="1" si="7"/>
        <v>0</v>
      </c>
      <c r="AD48" s="112">
        <f t="shared" ca="1" si="5"/>
        <v>21</v>
      </c>
    </row>
    <row r="49" spans="2:30" x14ac:dyDescent="0.25">
      <c r="B49" s="24"/>
      <c r="C49" s="27">
        <v>9</v>
      </c>
      <c r="D49" s="11" t="str">
        <f t="shared" si="6"/>
        <v>FLORENCE</v>
      </c>
      <c r="E49" s="78" t="str">
        <f>IF(AND(M16&gt;=4,B16=$J$4),D49,"")</f>
        <v/>
      </c>
      <c r="F49" s="96"/>
      <c r="G49" s="79" t="str">
        <f t="array" ref="G49">INDEX(E$44:E$51,MATCH(H49,C$44:C$51+ROW($B$44:$B$51)/100,0))</f>
        <v>PIERRE</v>
      </c>
      <c r="H49" s="80">
        <f t="array" ref="H49">SMALL($C$44:$C$51+ROW($C$44:$C$51)/100,ROWS($J$44:J49))</f>
        <v>14.51</v>
      </c>
      <c r="I49" s="96"/>
      <c r="J49" s="106" t="str">
        <f t="array" aca="1" ref="J49" ca="1">IFERROR(INDEX($G$44:$G$51,SMALL(IF($G$44:$G$51&lt;&gt;"",ROW(INDIRECT("1:"&amp;ROWS($G$44:$G$51)))),ROWS($1:6))),"")</f>
        <v/>
      </c>
      <c r="K49" s="96" t="s">
        <v>143</v>
      </c>
      <c r="L49" s="96"/>
      <c r="M49" s="23"/>
      <c r="R49" s="31"/>
      <c r="Y49" s="23"/>
      <c r="Z49" s="111">
        <v>0.8</v>
      </c>
      <c r="AA49" s="99">
        <v>1.25</v>
      </c>
      <c r="AB49" s="11" t="s">
        <v>60</v>
      </c>
      <c r="AC49" s="28">
        <f t="shared" ca="1" si="7"/>
        <v>0</v>
      </c>
      <c r="AD49" s="112">
        <f t="shared" ca="1" si="5"/>
        <v>9</v>
      </c>
    </row>
    <row r="50" spans="2:30" x14ac:dyDescent="0.25">
      <c r="B50" s="24"/>
      <c r="C50" s="27">
        <v>11</v>
      </c>
      <c r="D50" s="11" t="str">
        <f t="shared" si="6"/>
        <v>NICOLAS</v>
      </c>
      <c r="E50" s="78" t="str">
        <f>IF(AND(M17&gt;=3,B17=$J$4),D50,"")</f>
        <v>NICOLAS</v>
      </c>
      <c r="F50" s="96"/>
      <c r="G50" s="79" t="str">
        <f t="array" ref="G50">INDEX(E$44:E$51,MATCH(H50,C$44:C$51+ROW($B$44:$B$51)/100,0))</f>
        <v/>
      </c>
      <c r="H50" s="80">
        <f t="array" ref="H50">SMALL($C$44:$C$51+ROW($C$44:$C$51)/100,ROWS($J$44:J50))</f>
        <v>19.47</v>
      </c>
      <c r="I50" s="96"/>
      <c r="J50" s="106" t="str">
        <f t="array" aca="1" ref="J50" ca="1">IFERROR(INDEX($G$44:$G$51,SMALL(IF($G$44:$G$51&lt;&gt;"",ROW(INDIRECT("1:"&amp;ROWS($G$44:$G$51)))),ROWS($1:7))),"")</f>
        <v/>
      </c>
      <c r="K50" s="96" t="s">
        <v>144</v>
      </c>
      <c r="L50" s="96"/>
      <c r="M50" s="23"/>
      <c r="R50" s="31"/>
      <c r="Y50" s="23"/>
      <c r="Z50" s="24" t="s">
        <v>21</v>
      </c>
      <c r="AA50" s="99">
        <v>1</v>
      </c>
      <c r="AB50" s="11" t="s">
        <v>59</v>
      </c>
      <c r="AC50" s="28">
        <f t="shared" ca="1" si="7"/>
        <v>3</v>
      </c>
      <c r="AD50" s="112">
        <f t="shared" ca="1" si="5"/>
        <v>14</v>
      </c>
    </row>
    <row r="51" spans="2:30" x14ac:dyDescent="0.25">
      <c r="B51" s="24"/>
      <c r="C51" s="27">
        <v>14</v>
      </c>
      <c r="D51" s="11" t="str">
        <f t="shared" si="6"/>
        <v>PIERRE</v>
      </c>
      <c r="E51" s="78" t="str">
        <f>IF(AND(M18&gt;=4,B18=$J$4),D51,"")</f>
        <v>PIERRE</v>
      </c>
      <c r="F51" s="96"/>
      <c r="G51" s="79" t="str">
        <f t="array" ref="G51">INDEX(E$44:E$51,MATCH(H51,C$44:C$51+ROW($B$44:$B$51)/100,0))</f>
        <v/>
      </c>
      <c r="H51" s="80">
        <f t="array" ref="H51">SMALL($C$44:$C$51+ROW($C$44:$C$51)/100,ROWS($J$44:J51))</f>
        <v>21.48</v>
      </c>
      <c r="I51" s="96"/>
      <c r="J51" s="28" t="str">
        <f t="array" aca="1" ref="J51" ca="1">IFERROR(INDEX($G$44:$G$51,SMALL(IF($G$44:$G$51&lt;&gt;"",ROW(INDIRECT("1:"&amp;ROWS($G$44:$G$51)))),ROWS($1:8))),"")</f>
        <v/>
      </c>
      <c r="K51" s="96" t="s">
        <v>145</v>
      </c>
      <c r="L51" s="96"/>
      <c r="M51" s="23"/>
      <c r="O51" s="30"/>
      <c r="P51" s="30"/>
      <c r="Q51" s="30"/>
      <c r="R51" s="31"/>
      <c r="Y51" s="23"/>
      <c r="Z51" s="24"/>
      <c r="AA51" s="99"/>
      <c r="AB51" s="11" t="s">
        <v>64</v>
      </c>
      <c r="AC51" s="28">
        <f t="shared" ca="1" si="7"/>
        <v>1</v>
      </c>
      <c r="AD51" s="112">
        <f t="shared" ca="1" si="5"/>
        <v>14</v>
      </c>
    </row>
    <row r="52" spans="2:30" x14ac:dyDescent="0.25">
      <c r="B52" s="24"/>
      <c r="C52" s="27"/>
      <c r="D52" s="11"/>
      <c r="E52" s="96"/>
      <c r="F52" s="96"/>
      <c r="G52" s="51" t="s">
        <v>83</v>
      </c>
      <c r="H52" s="46"/>
      <c r="I52" s="96"/>
      <c r="J52" s="96"/>
      <c r="K52" s="96"/>
      <c r="L52" s="96"/>
      <c r="M52" s="23"/>
      <c r="Y52" s="23"/>
      <c r="Z52" s="24"/>
      <c r="AA52" s="99"/>
      <c r="AB52" s="11"/>
      <c r="AC52" s="28">
        <f ca="1">COUNTIF($P$48:$X$48,AB52)</f>
        <v>0</v>
      </c>
      <c r="AD52" s="112">
        <f t="shared" ca="1" si="5"/>
        <v>0</v>
      </c>
    </row>
    <row r="53" spans="2:30" x14ac:dyDescent="0.25">
      <c r="B53" s="24"/>
      <c r="C53" s="27"/>
      <c r="D53" s="11"/>
      <c r="E53" s="96"/>
      <c r="F53" s="96"/>
      <c r="G53" s="47" t="s">
        <v>86</v>
      </c>
      <c r="H53" s="48"/>
      <c r="I53" s="96"/>
      <c r="J53" s="96"/>
      <c r="K53" s="96"/>
      <c r="L53" s="96"/>
      <c r="M53" s="23"/>
      <c r="R53" s="4"/>
      <c r="Y53" s="23"/>
      <c r="Z53" s="24"/>
      <c r="AA53" s="99"/>
      <c r="AB53" s="11"/>
      <c r="AC53" s="28">
        <f t="shared" ca="1" si="7"/>
        <v>0</v>
      </c>
      <c r="AD53" s="112">
        <f t="shared" ca="1" si="5"/>
        <v>0</v>
      </c>
    </row>
    <row r="54" spans="2:30" ht="15.75" thickBot="1" x14ac:dyDescent="0.3">
      <c r="B54" s="36"/>
      <c r="C54" s="37"/>
      <c r="D54" s="37"/>
      <c r="E54" s="38"/>
      <c r="F54" s="37"/>
      <c r="G54" s="37"/>
      <c r="H54" s="37"/>
      <c r="I54" s="119" t="str">
        <f t="shared" ref="I54" si="8">IF(AND(Q21=5,F21=$J$4),H54,"")</f>
        <v/>
      </c>
      <c r="J54" s="37"/>
      <c r="K54" s="37"/>
      <c r="L54" s="37"/>
      <c r="M54" s="39"/>
      <c r="N54" s="37"/>
      <c r="O54" s="37"/>
      <c r="P54" s="37"/>
      <c r="Q54" s="37"/>
      <c r="R54" s="38"/>
      <c r="S54" s="37"/>
      <c r="T54" s="37"/>
      <c r="U54" s="37"/>
      <c r="V54" s="37"/>
      <c r="W54" s="37"/>
      <c r="X54" s="37"/>
      <c r="Y54" s="39"/>
      <c r="Z54" s="86"/>
      <c r="AA54" s="37"/>
      <c r="AB54" s="37"/>
      <c r="AC54" s="37"/>
      <c r="AD54" s="39"/>
    </row>
    <row r="55" spans="2:30" x14ac:dyDescent="0.25">
      <c r="M55" s="4"/>
    </row>
    <row r="57" spans="2:30" x14ac:dyDescent="0.25">
      <c r="B57" s="144"/>
      <c r="C57" s="144"/>
      <c r="D57" s="4">
        <v>1</v>
      </c>
      <c r="E57" t="s">
        <v>15</v>
      </c>
      <c r="L57" s="4"/>
    </row>
    <row r="58" spans="2:30" x14ac:dyDescent="0.25">
      <c r="E58" s="6" t="s">
        <v>25</v>
      </c>
      <c r="L58" s="4"/>
    </row>
    <row r="59" spans="2:30" x14ac:dyDescent="0.25">
      <c r="E59" s="4">
        <v>1</v>
      </c>
      <c r="F59" s="6" t="s">
        <v>26</v>
      </c>
      <c r="L59" s="4"/>
    </row>
    <row r="60" spans="2:30" x14ac:dyDescent="0.25">
      <c r="E60" s="4">
        <v>2</v>
      </c>
      <c r="F60" t="s">
        <v>27</v>
      </c>
      <c r="L60" s="4"/>
    </row>
    <row r="62" spans="2:30" x14ac:dyDescent="0.25">
      <c r="G62" t="s">
        <v>61</v>
      </c>
    </row>
    <row r="63" spans="2:30" x14ac:dyDescent="0.25">
      <c r="G63" s="33" t="s">
        <v>23</v>
      </c>
      <c r="H63" s="41" t="s">
        <v>9</v>
      </c>
      <c r="I63" s="34"/>
      <c r="J63" s="8" t="s">
        <v>10</v>
      </c>
      <c r="K63" s="34"/>
      <c r="L63" s="8" t="s">
        <v>11</v>
      </c>
      <c r="M63" s="34"/>
      <c r="N63" s="8" t="s">
        <v>12</v>
      </c>
      <c r="O63" s="34"/>
      <c r="P63" s="8" t="s">
        <v>13</v>
      </c>
    </row>
    <row r="64" spans="2:30" x14ac:dyDescent="0.25">
      <c r="G64" s="27">
        <v>3</v>
      </c>
      <c r="H64" s="15" t="s">
        <v>56</v>
      </c>
      <c r="I64" s="35"/>
      <c r="J64" s="11" t="s">
        <v>54</v>
      </c>
      <c r="K64" s="35"/>
      <c r="L64" s="11" t="s">
        <v>54</v>
      </c>
      <c r="M64" s="35"/>
      <c r="N64" s="11" t="s">
        <v>54</v>
      </c>
      <c r="O64" s="35"/>
      <c r="P64" s="11" t="s">
        <v>54</v>
      </c>
    </row>
    <row r="66" spans="4:16" x14ac:dyDescent="0.25">
      <c r="G66" t="s">
        <v>63</v>
      </c>
    </row>
    <row r="67" spans="4:16" x14ac:dyDescent="0.25">
      <c r="G67" t="s">
        <v>62</v>
      </c>
      <c r="O67" s="4"/>
    </row>
    <row r="68" spans="4:16" x14ac:dyDescent="0.25">
      <c r="I68" s="4"/>
    </row>
    <row r="69" spans="4:16" x14ac:dyDescent="0.25">
      <c r="D69" s="4">
        <v>2</v>
      </c>
      <c r="E69" s="6" t="s">
        <v>24</v>
      </c>
      <c r="N69" s="4"/>
    </row>
    <row r="70" spans="4:16" x14ac:dyDescent="0.25">
      <c r="E70" s="6" t="s">
        <v>28</v>
      </c>
      <c r="N70" s="4"/>
    </row>
    <row r="71" spans="4:16" x14ac:dyDescent="0.25">
      <c r="E71" s="4">
        <v>1</v>
      </c>
      <c r="F71" s="6" t="s">
        <v>29</v>
      </c>
      <c r="N71" s="4"/>
    </row>
    <row r="72" spans="4:16" x14ac:dyDescent="0.25">
      <c r="E72" s="4">
        <v>2</v>
      </c>
      <c r="F72" t="s">
        <v>27</v>
      </c>
      <c r="I72" s="4"/>
      <c r="N72" s="4"/>
    </row>
    <row r="73" spans="4:16" x14ac:dyDescent="0.25">
      <c r="E73" s="4"/>
      <c r="I73" s="4"/>
      <c r="N73" s="4"/>
    </row>
    <row r="74" spans="4:16" x14ac:dyDescent="0.25">
      <c r="G74" t="s">
        <v>61</v>
      </c>
    </row>
    <row r="75" spans="4:16" x14ac:dyDescent="0.25">
      <c r="G75" s="33" t="s">
        <v>23</v>
      </c>
      <c r="H75" s="41" t="s">
        <v>9</v>
      </c>
      <c r="I75" s="34"/>
      <c r="J75" s="8" t="s">
        <v>10</v>
      </c>
      <c r="K75" s="34"/>
      <c r="L75" s="8" t="s">
        <v>11</v>
      </c>
      <c r="M75" s="34"/>
      <c r="N75" s="8" t="s">
        <v>12</v>
      </c>
      <c r="O75" s="34"/>
      <c r="P75" s="8" t="s">
        <v>13</v>
      </c>
    </row>
    <row r="76" spans="4:16" x14ac:dyDescent="0.25">
      <c r="G76" s="27">
        <v>4</v>
      </c>
      <c r="H76" s="15" t="s">
        <v>59</v>
      </c>
      <c r="I76" s="35"/>
      <c r="J76" s="11" t="s">
        <v>59</v>
      </c>
      <c r="K76" s="35"/>
      <c r="L76" s="11" t="s">
        <v>59</v>
      </c>
      <c r="M76" s="35"/>
      <c r="N76" s="11" t="s">
        <v>55</v>
      </c>
      <c r="O76" s="35"/>
      <c r="P76" s="11" t="s">
        <v>55</v>
      </c>
    </row>
    <row r="78" spans="4:16" x14ac:dyDescent="0.25">
      <c r="G78" t="s">
        <v>65</v>
      </c>
    </row>
    <row r="79" spans="4:16" x14ac:dyDescent="0.25">
      <c r="F79" s="48"/>
      <c r="G79" t="s">
        <v>66</v>
      </c>
    </row>
    <row r="80" spans="4:16" x14ac:dyDescent="0.25">
      <c r="F80" s="48"/>
      <c r="G80" t="s">
        <v>67</v>
      </c>
    </row>
    <row r="81" spans="1:26" x14ac:dyDescent="0.25">
      <c r="F81" s="145" t="s">
        <v>149</v>
      </c>
      <c r="G81" t="s">
        <v>68</v>
      </c>
    </row>
    <row r="82" spans="1:26" x14ac:dyDescent="0.25">
      <c r="F82" s="48"/>
      <c r="G82" t="s">
        <v>75</v>
      </c>
    </row>
    <row r="83" spans="1:26" x14ac:dyDescent="0.25">
      <c r="F83" s="48"/>
      <c r="G83" t="s">
        <v>69</v>
      </c>
    </row>
    <row r="86" spans="1:26" x14ac:dyDescent="0.25">
      <c r="O86" s="4"/>
    </row>
    <row r="87" spans="1:26" x14ac:dyDescent="0.25">
      <c r="A87" s="42"/>
      <c r="B87" s="42"/>
      <c r="C87" s="42"/>
      <c r="D87" s="42"/>
      <c r="E87" s="43"/>
      <c r="F87" s="42"/>
      <c r="G87" s="43"/>
      <c r="H87" s="42"/>
      <c r="I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  <c r="U87" s="42"/>
      <c r="V87" s="42"/>
      <c r="W87" s="42"/>
      <c r="X87" s="42"/>
      <c r="Y87" s="42"/>
      <c r="Z87" s="42"/>
    </row>
    <row r="88" spans="1:26" x14ac:dyDescent="0.25">
      <c r="A88" s="1" t="s">
        <v>30</v>
      </c>
      <c r="B88" s="1"/>
      <c r="P88" s="9"/>
      <c r="Q88" s="9"/>
      <c r="R88" s="9"/>
    </row>
    <row r="89" spans="1:26" x14ac:dyDescent="0.25">
      <c r="A89" s="4"/>
      <c r="Q89" s="9"/>
      <c r="R89" s="9"/>
    </row>
    <row r="90" spans="1:26" x14ac:dyDescent="0.25">
      <c r="A90" t="s">
        <v>31</v>
      </c>
      <c r="B90" t="s">
        <v>4</v>
      </c>
      <c r="O90" s="59"/>
      <c r="P90" s="59"/>
      <c r="Q90" s="61"/>
      <c r="R90" s="61"/>
      <c r="S90" s="59"/>
      <c r="T90" s="59"/>
      <c r="U90" s="59"/>
      <c r="V90" s="59"/>
      <c r="W90" s="59"/>
      <c r="X90" s="59"/>
      <c r="Y90" s="59"/>
    </row>
    <row r="91" spans="1:26" x14ac:dyDescent="0.25">
      <c r="A91" t="s">
        <v>5</v>
      </c>
      <c r="B91" s="3">
        <v>47</v>
      </c>
      <c r="N91" s="123"/>
      <c r="O91" s="121" t="s">
        <v>123</v>
      </c>
      <c r="Q91" s="61"/>
      <c r="R91" s="61"/>
      <c r="S91" s="59"/>
      <c r="T91" s="59"/>
      <c r="U91" s="59"/>
      <c r="V91" s="59"/>
      <c r="W91" s="59"/>
      <c r="X91" s="59"/>
      <c r="Y91" s="59"/>
    </row>
    <row r="92" spans="1:26" x14ac:dyDescent="0.25">
      <c r="A92" s="4"/>
      <c r="M92" s="59"/>
      <c r="N92" s="123" t="s">
        <v>124</v>
      </c>
      <c r="P92" s="122" t="str">
        <f>M8</f>
        <v>NON</v>
      </c>
      <c r="Q92" s="60"/>
      <c r="R92" s="59"/>
      <c r="S92" s="59"/>
      <c r="T92" s="59"/>
      <c r="W92" s="59"/>
      <c r="X92" s="59"/>
      <c r="Y92" s="59"/>
    </row>
    <row r="93" spans="1:26" x14ac:dyDescent="0.25">
      <c r="F93" s="44" t="s">
        <v>32</v>
      </c>
      <c r="G93" s="45"/>
      <c r="H93" s="45" t="s">
        <v>33</v>
      </c>
      <c r="I93" s="45"/>
      <c r="J93" s="45" t="s">
        <v>34</v>
      </c>
      <c r="K93" s="34"/>
      <c r="L93" s="34"/>
      <c r="M93" s="34"/>
      <c r="N93" s="34"/>
      <c r="O93" s="46"/>
      <c r="Q93" s="60"/>
      <c r="R93" s="59"/>
      <c r="S93" s="59"/>
      <c r="T93" s="59"/>
      <c r="W93" s="59"/>
      <c r="X93" s="59"/>
      <c r="Y93" s="59"/>
    </row>
    <row r="94" spans="1:26" x14ac:dyDescent="0.25">
      <c r="C94" s="4"/>
      <c r="E94" t="s">
        <v>35</v>
      </c>
      <c r="F94" s="47"/>
      <c r="O94" s="48"/>
      <c r="P94" t="s">
        <v>121</v>
      </c>
      <c r="Q94" s="59"/>
      <c r="R94" s="59"/>
      <c r="S94" s="59"/>
      <c r="T94" s="59"/>
      <c r="W94" s="59"/>
      <c r="X94" s="59"/>
      <c r="Y94" s="59"/>
    </row>
    <row r="95" spans="1:26" x14ac:dyDescent="0.25">
      <c r="C95" s="4"/>
      <c r="E95" t="s">
        <v>36</v>
      </c>
      <c r="F95" s="47"/>
      <c r="G95" s="8" t="s">
        <v>9</v>
      </c>
      <c r="I95" s="8" t="s">
        <v>37</v>
      </c>
      <c r="K95" s="8" t="s">
        <v>38</v>
      </c>
      <c r="M95" s="8" t="s">
        <v>39</v>
      </c>
      <c r="O95" s="8" t="s">
        <v>40</v>
      </c>
      <c r="P95" s="120" t="s">
        <v>122</v>
      </c>
      <c r="Q95" s="59"/>
      <c r="R95" s="60"/>
      <c r="S95" s="59"/>
      <c r="T95" s="60"/>
      <c r="W95" s="59"/>
      <c r="X95" s="60"/>
      <c r="Y95" s="59"/>
    </row>
    <row r="96" spans="1:26" x14ac:dyDescent="0.25">
      <c r="C96" s="133">
        <f>COUNTIF($D$107:$L$108,F96)</f>
        <v>0</v>
      </c>
      <c r="D96" s="134" t="str">
        <f>IF(C96&gt;2,"oui","non")</f>
        <v>non</v>
      </c>
      <c r="E96" s="135"/>
      <c r="F96" s="11" t="s">
        <v>51</v>
      </c>
      <c r="G96" s="11">
        <v>0</v>
      </c>
      <c r="H96" s="4"/>
      <c r="I96" s="11">
        <v>0</v>
      </c>
      <c r="J96" s="4"/>
      <c r="K96" s="11">
        <v>0</v>
      </c>
      <c r="L96" s="4"/>
      <c r="M96" s="11">
        <v>0</v>
      </c>
      <c r="N96" s="4"/>
      <c r="O96" s="11">
        <v>0</v>
      </c>
      <c r="P96">
        <f>IF($P$92="NON",SUM(G96:O96),SUM(G96:O96)+1)</f>
        <v>0</v>
      </c>
      <c r="Q96" s="59"/>
      <c r="R96" s="60"/>
      <c r="S96" s="59"/>
      <c r="T96" s="60"/>
      <c r="W96" s="59"/>
      <c r="X96" s="60"/>
      <c r="Y96" s="62"/>
    </row>
    <row r="97" spans="1:25" x14ac:dyDescent="0.25">
      <c r="C97" s="133">
        <f t="shared" ref="C97:C100" si="9">COUNTIF($D$107:$L$108,F97)</f>
        <v>3</v>
      </c>
      <c r="D97" s="134" t="str">
        <f t="shared" ref="D97:D100" si="10">IF(C97&gt;2,"oui","non")</f>
        <v>oui</v>
      </c>
      <c r="E97" s="135"/>
      <c r="F97" s="11" t="s">
        <v>52</v>
      </c>
      <c r="G97" s="11">
        <v>1</v>
      </c>
      <c r="H97" s="4"/>
      <c r="I97" s="11">
        <v>1</v>
      </c>
      <c r="J97" s="4"/>
      <c r="K97" s="11">
        <v>0</v>
      </c>
      <c r="L97" s="4"/>
      <c r="M97" s="11">
        <v>1</v>
      </c>
      <c r="N97" s="4"/>
      <c r="O97" s="11">
        <v>1</v>
      </c>
      <c r="P97">
        <f t="shared" ref="P97:P103" si="11">IF($P$92="NON",SUM(G97:O97),SUM(G97:O97)+1)</f>
        <v>4</v>
      </c>
      <c r="Q97" s="59"/>
      <c r="R97" s="60"/>
      <c r="S97" s="59"/>
      <c r="T97" s="60"/>
      <c r="W97" s="59"/>
      <c r="X97" s="60"/>
      <c r="Y97" s="59"/>
    </row>
    <row r="98" spans="1:25" x14ac:dyDescent="0.25">
      <c r="C98" s="133">
        <f t="shared" si="9"/>
        <v>0</v>
      </c>
      <c r="D98" s="134" t="str">
        <f t="shared" si="10"/>
        <v>non</v>
      </c>
      <c r="E98" s="135"/>
      <c r="F98" s="11" t="s">
        <v>49</v>
      </c>
      <c r="G98" s="11">
        <v>0</v>
      </c>
      <c r="H98" s="4"/>
      <c r="I98" s="11">
        <v>1</v>
      </c>
      <c r="J98" s="4"/>
      <c r="K98" s="11">
        <v>0</v>
      </c>
      <c r="L98" s="4"/>
      <c r="M98" s="11">
        <v>1</v>
      </c>
      <c r="N98" s="4"/>
      <c r="O98" s="11">
        <v>1</v>
      </c>
      <c r="P98">
        <f t="shared" si="11"/>
        <v>3</v>
      </c>
      <c r="Q98" s="59"/>
      <c r="R98" s="60"/>
      <c r="S98" s="59"/>
      <c r="T98" s="60"/>
      <c r="W98" s="59"/>
      <c r="X98" s="60"/>
      <c r="Y98" s="59"/>
    </row>
    <row r="99" spans="1:25" x14ac:dyDescent="0.25">
      <c r="C99" s="133">
        <f t="shared" si="9"/>
        <v>5</v>
      </c>
      <c r="D99" s="134" t="str">
        <f t="shared" si="10"/>
        <v>oui</v>
      </c>
      <c r="E99" s="135"/>
      <c r="F99" s="11" t="s">
        <v>50</v>
      </c>
      <c r="G99" s="11">
        <v>1</v>
      </c>
      <c r="H99" s="4"/>
      <c r="I99" s="11">
        <v>1</v>
      </c>
      <c r="J99" s="4"/>
      <c r="K99" s="11">
        <v>1</v>
      </c>
      <c r="L99" s="4"/>
      <c r="M99" s="11">
        <v>1</v>
      </c>
      <c r="N99" s="4"/>
      <c r="O99" s="11">
        <v>1</v>
      </c>
      <c r="P99">
        <f t="shared" si="11"/>
        <v>5</v>
      </c>
      <c r="Q99" s="59"/>
      <c r="W99" s="59"/>
      <c r="X99" s="60"/>
      <c r="Y99" s="59"/>
    </row>
    <row r="100" spans="1:25" x14ac:dyDescent="0.25">
      <c r="C100" s="133">
        <f t="shared" si="9"/>
        <v>0</v>
      </c>
      <c r="D100" s="134" t="str">
        <f t="shared" si="10"/>
        <v>non</v>
      </c>
      <c r="E100" s="135"/>
      <c r="F100" s="11" t="s">
        <v>53</v>
      </c>
      <c r="G100" s="11">
        <v>1</v>
      </c>
      <c r="H100" s="4"/>
      <c r="I100" s="11">
        <v>1</v>
      </c>
      <c r="J100" s="4"/>
      <c r="K100" s="11">
        <v>0</v>
      </c>
      <c r="L100" s="4"/>
      <c r="M100" s="11">
        <v>1</v>
      </c>
      <c r="N100" s="4"/>
      <c r="O100" s="11">
        <v>1</v>
      </c>
      <c r="P100">
        <f t="shared" si="11"/>
        <v>4</v>
      </c>
      <c r="Q100" s="59"/>
      <c r="W100" s="59"/>
      <c r="X100" s="59"/>
      <c r="Y100" s="59"/>
    </row>
    <row r="101" spans="1:25" x14ac:dyDescent="0.25">
      <c r="C101" s="130" t="s">
        <v>131</v>
      </c>
      <c r="D101" s="131"/>
      <c r="E101" s="132"/>
      <c r="F101" s="11"/>
      <c r="G101" s="11"/>
      <c r="H101" s="4"/>
      <c r="I101" s="11"/>
      <c r="J101" s="4"/>
      <c r="K101" s="11"/>
      <c r="L101" s="4"/>
      <c r="M101" s="11"/>
      <c r="N101" s="4"/>
      <c r="O101" s="11"/>
      <c r="P101">
        <f t="shared" si="11"/>
        <v>0</v>
      </c>
      <c r="Q101" s="62"/>
      <c r="R101" s="60"/>
      <c r="S101" s="59"/>
      <c r="T101" s="60"/>
      <c r="W101" s="59"/>
      <c r="X101" s="59"/>
      <c r="Y101" s="59"/>
    </row>
    <row r="102" spans="1:25" x14ac:dyDescent="0.25">
      <c r="F102" s="11"/>
      <c r="G102" s="11"/>
      <c r="H102" s="4"/>
      <c r="I102" s="11"/>
      <c r="J102" s="4"/>
      <c r="K102" s="11"/>
      <c r="L102" s="4"/>
      <c r="M102" s="11"/>
      <c r="N102" s="4"/>
      <c r="O102" s="11"/>
      <c r="P102">
        <f t="shared" si="11"/>
        <v>0</v>
      </c>
      <c r="R102" s="59"/>
      <c r="S102" s="59"/>
      <c r="T102" s="59"/>
    </row>
    <row r="103" spans="1:25" x14ac:dyDescent="0.25">
      <c r="A103" s="4"/>
      <c r="F103" s="11"/>
      <c r="G103" s="11"/>
      <c r="H103" s="49"/>
      <c r="I103" s="11"/>
      <c r="J103" s="49"/>
      <c r="K103" s="11"/>
      <c r="L103" s="49"/>
      <c r="M103" s="11"/>
      <c r="N103" s="49"/>
      <c r="O103" s="11"/>
      <c r="P103">
        <f t="shared" si="11"/>
        <v>0</v>
      </c>
      <c r="R103" s="59"/>
      <c r="S103" s="59"/>
      <c r="T103" s="59"/>
    </row>
    <row r="104" spans="1:25" x14ac:dyDescent="0.25">
      <c r="A104" s="4"/>
      <c r="T104" s="30"/>
      <c r="U104" s="4"/>
      <c r="V104" s="4"/>
    </row>
    <row r="105" spans="1:25" x14ac:dyDescent="0.25">
      <c r="A105" s="4"/>
      <c r="C105" s="50" t="s">
        <v>41</v>
      </c>
      <c r="D105" s="50"/>
      <c r="E105" s="50"/>
      <c r="O105" s="50" t="s">
        <v>22</v>
      </c>
      <c r="P105" s="50"/>
    </row>
    <row r="106" spans="1:25" x14ac:dyDescent="0.25">
      <c r="A106" s="4"/>
      <c r="C106" s="51"/>
      <c r="D106" s="41" t="s">
        <v>9</v>
      </c>
      <c r="E106" s="34"/>
      <c r="F106" s="8" t="s">
        <v>37</v>
      </c>
      <c r="G106" s="34"/>
      <c r="H106" s="8" t="s">
        <v>38</v>
      </c>
      <c r="I106" s="34"/>
      <c r="J106" s="8" t="s">
        <v>39</v>
      </c>
      <c r="K106" s="34"/>
      <c r="L106" s="8" t="s">
        <v>40</v>
      </c>
      <c r="M106" s="46"/>
      <c r="O106" s="51"/>
      <c r="P106" s="41" t="s">
        <v>9</v>
      </c>
      <c r="Q106" s="34"/>
      <c r="R106" s="8" t="s">
        <v>37</v>
      </c>
      <c r="S106" s="34"/>
      <c r="T106" s="8" t="s">
        <v>38</v>
      </c>
      <c r="U106" s="34"/>
      <c r="V106" s="8" t="s">
        <v>39</v>
      </c>
      <c r="W106" s="34"/>
      <c r="X106" s="8" t="s">
        <v>40</v>
      </c>
      <c r="Y106" s="46"/>
    </row>
    <row r="107" spans="1:25" x14ac:dyDescent="0.25">
      <c r="A107" s="4"/>
      <c r="C107" s="52">
        <v>41</v>
      </c>
      <c r="D107" s="11" t="s">
        <v>50</v>
      </c>
      <c r="E107" s="35"/>
      <c r="F107" s="11" t="s">
        <v>50</v>
      </c>
      <c r="G107" s="35"/>
      <c r="H107" s="11" t="s">
        <v>50</v>
      </c>
      <c r="I107" s="35"/>
      <c r="J107" s="11" t="s">
        <v>50</v>
      </c>
      <c r="K107" s="35"/>
      <c r="L107" s="11" t="s">
        <v>50</v>
      </c>
      <c r="M107" s="48"/>
      <c r="O107" s="52">
        <v>45</v>
      </c>
      <c r="P107" s="11" t="str">
        <f ca="1">IF(AND($J$112=$F$96,G96=1),$J$112,IF(AND($J$112=$F$97,G97=1),$J$112,IF(AND($J$112=$F$98,G98=1),$J$112,IF(AND($J$112=$F$99,G99=1),$J$112,IF(AND($J$112=$F$100,G100=1),$J$112,"")))))</f>
        <v>AURELIE</v>
      </c>
      <c r="Q107" s="35"/>
      <c r="R107" s="11" t="str">
        <f ca="1">IF(AND($J$112=$F$96,I96=1),$J$112,IF(AND($J$112=$F$97,I97=1),$J$112,IF(AND($J$112=$F$98,I98=1),$J$112,IF(AND($J$112=$F$99,I99=1),$J$112,IF(AND($J$112=$F$100,I100=1),$J$112,"")))))</f>
        <v>AURELIE</v>
      </c>
      <c r="S107" s="35"/>
      <c r="T107" s="11" t="str">
        <f ca="1">IF(AND($J$112=$F$96,K96=1),$J$112,IF(AND($J$112=$F$97,K97=1),$J$112,IF(AND($J$112=$F$98,K98=1),$J$112,IF(AND($J$112=$F$99,K99=1),$J$112,IF(AND($J$112=$F$100,K100=1),$J$112,"")))))</f>
        <v/>
      </c>
      <c r="U107" s="35"/>
      <c r="V107" s="11" t="str">
        <f ca="1">IF(AND($J$112=$F$96,M96=1),$J$112,IF(AND($J$112=$F$97,M97=1),$J$112,IF(AND($J$112=$F$98,M98=1),$J$112,IF(AND($J$112=$F$99,M99=1),$J$112,IF(AND($J$112=$F$100,M100=1),$J$112,"")))))</f>
        <v>AURELIE</v>
      </c>
      <c r="W107" s="35"/>
      <c r="X107" s="11" t="str">
        <f ca="1">IF(AND($J$112=$F$96,O96=1),$J$112,IF(AND($J$112=$F$97,O97=1),$J$112,IF(AND($J$112=$F$98,O98=1),$J$112,IF(AND($J$112=$F$99,O99=1),$J$112,IF(AND($J$112=$F$100,O100=1),$J$112,"")))))</f>
        <v>AURELIE</v>
      </c>
      <c r="Y107" s="48"/>
    </row>
    <row r="108" spans="1:25" x14ac:dyDescent="0.25">
      <c r="A108" s="4"/>
      <c r="C108" s="52">
        <v>42</v>
      </c>
      <c r="D108" s="11" t="s">
        <v>52</v>
      </c>
      <c r="E108" s="35"/>
      <c r="F108" s="11"/>
      <c r="G108" s="35"/>
      <c r="H108" s="11" t="s">
        <v>42</v>
      </c>
      <c r="I108" s="35"/>
      <c r="J108" s="11" t="s">
        <v>52</v>
      </c>
      <c r="K108" s="35"/>
      <c r="L108" s="11" t="s">
        <v>52</v>
      </c>
      <c r="M108" s="48"/>
      <c r="O108" s="52">
        <v>46</v>
      </c>
      <c r="P108" s="11" t="str">
        <f ca="1">IF(AND($J$113=$F$96,G96=1),$J$113,IF(AND($J$113=$F$97,G97=1),$J$113,IF(AND($J$113=$F$98,G98=1),$J$113,IF(AND($J$113=$F$99,G99=1),$J$113,IF(AND($J$113=$F$100,G100=1),$J$113,"")))))</f>
        <v>KEVIN</v>
      </c>
      <c r="Q108" s="35"/>
      <c r="R108" s="11" t="str">
        <f ca="1">IF(AND($J$113=$F$96,I96=1),$J$113,IF(AND($J$113=$F$97,I97=1),$J$113,IF(AND($J$113=$F$98,I98=1),$J$113,IF(AND($J$113=$F$99,I99=1),$J$113,IF(AND($J$113=$F$100,I100=1),$J$113,"")))))</f>
        <v>KEVIN</v>
      </c>
      <c r="S108" s="35"/>
      <c r="T108" s="11" t="str">
        <f ca="1">IF(AND($J$113=$F$96,K96=1),$J$113,IF(AND($J$113=$F$97,K97=1),$J$113,IF(AND($J$113=$F$98,K98=1),$J$113,IF(AND($J$113=$F$99,K99=1),$J$113,IF(AND($J$113=$F$100,K100=1),$J$113,"")))))</f>
        <v/>
      </c>
      <c r="U108" s="35"/>
      <c r="V108" s="11" t="str">
        <f ca="1">IF(AND($J$113=$F$96,M96=1),$J$113,IF(AND($J$113=$F$97,M97=1),$J$113,IF(AND($J$113=$F$98,M98=1),$J$113,IF(AND($J$113=$F$99,M99=1),$J$113,IF(AND($J$113=$F$100,M100=1),$J$113,"")))))</f>
        <v>KEVIN</v>
      </c>
      <c r="W108" s="35"/>
      <c r="X108" s="11" t="str">
        <f ca="1">IF(AND($J$113=$F$96,O96=1),$J$113,IF(AND($J$113=$F$97,O97=1),$J$113,IF(AND($J$113=$F$98,O98=1),$J$113,IF(AND($J$113=$F$99,O99=1),$J$113,IF(AND($J$113=$F$100,O100=1),$J$113,"")))))</f>
        <v>KEVIN</v>
      </c>
      <c r="Y108" s="48"/>
    </row>
    <row r="109" spans="1:25" x14ac:dyDescent="0.25">
      <c r="A109" s="4"/>
      <c r="C109" s="53"/>
      <c r="D109" s="35"/>
      <c r="E109" s="35"/>
      <c r="F109" s="35"/>
      <c r="G109" s="35"/>
      <c r="H109" s="35"/>
      <c r="I109" s="35"/>
      <c r="J109" s="35"/>
      <c r="K109" s="35"/>
      <c r="L109" s="35"/>
      <c r="M109" s="54"/>
      <c r="O109" s="53"/>
      <c r="P109" s="35"/>
      <c r="Q109" s="35"/>
      <c r="R109" s="35"/>
      <c r="S109" s="35"/>
      <c r="T109" s="35"/>
      <c r="U109" s="35"/>
      <c r="V109" s="35"/>
      <c r="W109" s="35"/>
      <c r="X109" s="35"/>
      <c r="Y109" s="54"/>
    </row>
    <row r="110" spans="1:25" x14ac:dyDescent="0.25">
      <c r="A110" s="4"/>
    </row>
    <row r="111" spans="1:25" x14ac:dyDescent="0.25">
      <c r="A111" s="4"/>
      <c r="B111" s="51"/>
      <c r="C111" s="55" t="s">
        <v>43</v>
      </c>
      <c r="D111" s="56"/>
      <c r="E111" s="34"/>
      <c r="F111" s="34"/>
      <c r="G111" s="34" t="s">
        <v>146</v>
      </c>
      <c r="H111" s="34"/>
      <c r="I111" s="34"/>
      <c r="J111" s="34"/>
      <c r="K111" s="34"/>
      <c r="L111" s="34"/>
      <c r="M111" s="34"/>
      <c r="N111" s="56"/>
      <c r="O111" s="56"/>
      <c r="P111" s="34"/>
      <c r="Q111" s="34"/>
      <c r="R111" s="34"/>
      <c r="S111" s="46"/>
    </row>
    <row r="112" spans="1:25" x14ac:dyDescent="0.25">
      <c r="A112" s="4"/>
      <c r="B112" s="47"/>
      <c r="C112" s="99" t="s">
        <v>44</v>
      </c>
      <c r="D112" s="96"/>
      <c r="E112" s="96"/>
      <c r="F112" s="96"/>
      <c r="G112" s="96"/>
      <c r="H112" s="29" t="s">
        <v>132</v>
      </c>
      <c r="I112" s="27">
        <v>45</v>
      </c>
      <c r="J112" s="141" t="str">
        <f ca="1">IF(OR(AND($J$115=$F$96,$D$96="oui"),AND($J$115=$F$97,$D$97="oui"),AND($J$115=$F$98,$D$98="oui"),AND($J$115=$F$99,$D$99="oui"),AND($J$115=$F$100,$D$100="oui")),$J$115,IF(OR(AND($J$116=$F$96,$D$96="oui"),AND($J$116=$F$97,$D$97="oui"),AND($J$116=$F$98,$D$98="oui"),AND($J$116=$F$99,$D$99="oui"),AND($J$116=$F$100,$D$100="oui")),$J$116,IF(OR(AND($J$117=$F$96,$D$96="oui"),AND($J$117=$F$97,$D$97="oui"),AND($J$117=$F$98,$D$98="oui"),AND($J$117=$F$99,$D$99="oui"),AND($J$117=$F$100,$D$100="oui")),$J$117,IF(OR(AND($J$118=$F$96,$D$96="oui"),AND($J$118=$F$97,$D$97="oui"),AND($J$118=$F$98,$D$98="oui"),AND($J$118=$F$99,$D$99="oui"),AND($J$118=$F$100,$D$100="oui")),$J$118,""))))</f>
        <v>AURELIE</v>
      </c>
      <c r="K112" s="96" t="s">
        <v>147</v>
      </c>
      <c r="L112" s="96"/>
      <c r="M112" s="96"/>
      <c r="N112" s="96"/>
      <c r="O112" s="96"/>
      <c r="P112" s="96"/>
      <c r="Q112" s="96"/>
      <c r="R112" s="101"/>
      <c r="S112" s="48"/>
    </row>
    <row r="113" spans="1:26" x14ac:dyDescent="0.25">
      <c r="A113" s="4"/>
      <c r="B113" s="47"/>
      <c r="C113" s="96" t="s">
        <v>16</v>
      </c>
      <c r="D113" s="96"/>
      <c r="E113" s="96"/>
      <c r="F113" s="96"/>
      <c r="G113" s="96"/>
      <c r="H113" s="29" t="s">
        <v>133</v>
      </c>
      <c r="I113" s="27">
        <v>46</v>
      </c>
      <c r="J113" s="141" t="str">
        <f ca="1">IF(OR(AND($J$115=$F$96,$D$96="NON"),AND($J$115=$F$97,$D$97="NON"),AND($J$115=$F$98,$D$98="NON"),AND($J$115=$F$99,$D$99="NON"),AND($J$115=$F$100,$D$100="NON")),$J$115,IF(OR(AND($J$116=$F$96,$D$96="NON"),AND($J$116=$F$97,$D$97="NON"),AND($J$116=$F$98,$D$98="NON"),AND($J$116=$F$99,$D$99="NON"),AND($J$116=$F$100,$D$100="NON")),$J$116,IF(OR(AND($J$117=$F$96,$D$96="NON"),AND($J$117=$F$97,$D$97="NON"),AND($J$117=$F$98,$D$98="NON"),AND($J$117=$F$99,$D$99="NON"),AND($J$117=$F$100,$D$100="NON")),$J$117,IF(OR(AND($J$118=$F$96,$D$96="NON"),AND($J$118=$F$97,$D$97="NON"),AND($J$118=$F$98,$D$98="NON"),AND($J$118=$F$99,$D$99="NON"),AND($J$118=$F$100,$D$100="NON")),$J$118,""))))</f>
        <v>KEVIN</v>
      </c>
      <c r="K113" s="96" t="s">
        <v>148</v>
      </c>
      <c r="L113" s="96"/>
      <c r="M113" s="96"/>
      <c r="N113" s="99"/>
      <c r="O113" s="96"/>
      <c r="P113" s="96"/>
      <c r="Q113" s="96" t="s">
        <v>16</v>
      </c>
      <c r="R113" s="96"/>
      <c r="S113" s="48"/>
    </row>
    <row r="114" spans="1:26" ht="23.25" x14ac:dyDescent="0.25">
      <c r="A114" s="4"/>
      <c r="B114" s="126" t="s">
        <v>17</v>
      </c>
      <c r="C114" s="98">
        <v>46</v>
      </c>
      <c r="D114" s="96"/>
      <c r="E114" s="109" t="s">
        <v>134</v>
      </c>
      <c r="F114" s="96"/>
      <c r="G114" s="96" t="s">
        <v>136</v>
      </c>
      <c r="H114" s="96"/>
      <c r="I114" s="137"/>
      <c r="J114" s="96" t="s">
        <v>137</v>
      </c>
      <c r="K114" s="96"/>
      <c r="L114" s="96"/>
      <c r="M114" s="96"/>
      <c r="N114" s="127" t="s">
        <v>18</v>
      </c>
      <c r="O114" s="109" t="s">
        <v>19</v>
      </c>
      <c r="P114" s="65" t="s">
        <v>17</v>
      </c>
      <c r="Q114" s="98">
        <v>47</v>
      </c>
      <c r="R114" s="64" t="s">
        <v>20</v>
      </c>
      <c r="S114" s="48"/>
    </row>
    <row r="115" spans="1:26" x14ac:dyDescent="0.25">
      <c r="A115" s="4"/>
      <c r="B115" s="47"/>
      <c r="C115" s="27">
        <v>18</v>
      </c>
      <c r="D115" s="57" t="s">
        <v>51</v>
      </c>
      <c r="E115" s="78" t="str">
        <f>IF(P96&gt;3,F96,"")</f>
        <v/>
      </c>
      <c r="F115" s="96"/>
      <c r="G115" s="79" t="str">
        <f t="array" ref="G115">INDEX(E$115:E$119,MATCH(H115,C$115:C$119+ROW($B$115:$B$119)/100,0))</f>
        <v>AURELIE</v>
      </c>
      <c r="H115" s="80">
        <f t="array" ref="H115">SMALL($C$115:$C$119+ROW($C$115:$C$119)/100,ROWS($J$115:J115))</f>
        <v>18.16</v>
      </c>
      <c r="I115" s="96"/>
      <c r="J115" s="124" t="str">
        <f t="array" aca="1" ref="J115" ca="1">IFERROR(INDEX($G$115:$G$121,SMALL(IF($G$115:$G$121&lt;&gt;"",ROW(INDIRECT("1:"&amp;ROWS($G$115:$G$121)))),ROWS($1:1))),"")</f>
        <v>AURELIE</v>
      </c>
      <c r="K115" s="96" t="s">
        <v>126</v>
      </c>
      <c r="L115" s="128"/>
      <c r="M115" s="96"/>
      <c r="N115" s="99" t="s">
        <v>21</v>
      </c>
      <c r="O115" s="99">
        <v>1</v>
      </c>
      <c r="P115" s="63" t="s">
        <v>51</v>
      </c>
      <c r="Q115" s="28">
        <f ca="1">COUNTIF($P$107:$X$108,P115)</f>
        <v>0</v>
      </c>
      <c r="R115" s="29">
        <f ca="1">C115+Q115*O115</f>
        <v>18</v>
      </c>
      <c r="S115" s="48"/>
      <c r="Z115" s="4"/>
    </row>
    <row r="116" spans="1:26" x14ac:dyDescent="0.25">
      <c r="A116" s="4"/>
      <c r="B116" s="47"/>
      <c r="C116" s="27">
        <v>17</v>
      </c>
      <c r="D116" s="57" t="s">
        <v>52</v>
      </c>
      <c r="E116" s="78" t="str">
        <f>IF(P97&gt;3,F97,"")</f>
        <v>AURELIE</v>
      </c>
      <c r="F116" s="96"/>
      <c r="G116" s="79" t="str">
        <f t="array" ref="G116">INDEX(E$115:E$119,MATCH(H116,C$115:C$119+ROW($B$115:$B$119)/100,0))</f>
        <v/>
      </c>
      <c r="H116" s="80">
        <f t="array" ref="H116">SMALL($C$115:$C$119+ROW($C$115:$C$119)/100,ROWS($J$115:J116))</f>
        <v>19.149999999999999</v>
      </c>
      <c r="I116" s="96"/>
      <c r="J116" s="124" t="str">
        <f t="array" aca="1" ref="J116" ca="1">IFERROR(INDEX($G$115:$G$121,SMALL(IF($G$115:$G$121&lt;&gt;"",ROW(INDIRECT("1:"&amp;ROWS($G$115:$G$121)))),ROWS($1:2))),"")</f>
        <v>KEVIN</v>
      </c>
      <c r="K116" s="96" t="s">
        <v>127</v>
      </c>
      <c r="L116" s="99"/>
      <c r="M116" s="114"/>
      <c r="N116" s="129">
        <v>0.8</v>
      </c>
      <c r="O116" s="99">
        <v>1.25</v>
      </c>
      <c r="P116" s="57" t="s">
        <v>52</v>
      </c>
      <c r="Q116" s="28">
        <f t="shared" ref="Q116:Q118" ca="1" si="12">COUNTIF($P$107:$X$108,P116)</f>
        <v>4</v>
      </c>
      <c r="R116" s="29">
        <f ca="1">C116+Q116*O116</f>
        <v>22</v>
      </c>
      <c r="S116" s="48"/>
    </row>
    <row r="117" spans="1:26" x14ac:dyDescent="0.25">
      <c r="A117" s="4"/>
      <c r="B117" s="47"/>
      <c r="C117" s="27">
        <v>21</v>
      </c>
      <c r="D117" s="57" t="s">
        <v>49</v>
      </c>
      <c r="E117" s="78" t="str">
        <f>IF(P98&gt;3,F98,"")</f>
        <v/>
      </c>
      <c r="F117" s="96"/>
      <c r="G117" s="79" t="str">
        <f t="array" ref="G117">INDEX(E$115:E$119,MATCH(H117,C$115:C$119+ROW($B$115:$B$119)/100,0))</f>
        <v>KEVIN</v>
      </c>
      <c r="H117" s="80">
        <f t="array" ref="H117">SMALL($C$115:$C$119+ROW($C$115:$C$119)/100,ROWS($J$115:J117))</f>
        <v>20.190000000000001</v>
      </c>
      <c r="I117" s="96"/>
      <c r="J117" s="124" t="str">
        <f t="array" aca="1" ref="J117" ca="1">IFERROR(INDEX($G$115:$G$121,SMALL(IF($G$115:$G$121&lt;&gt;"",ROW(INDIRECT("1:"&amp;ROWS($G$115:$G$121)))),ROWS($1:3))),"")</f>
        <v>CLARISSE</v>
      </c>
      <c r="K117" s="96" t="s">
        <v>128</v>
      </c>
      <c r="L117" s="128"/>
      <c r="M117" s="114"/>
      <c r="N117" s="129">
        <v>0.8</v>
      </c>
      <c r="O117" s="99">
        <v>1.25</v>
      </c>
      <c r="P117" s="57" t="s">
        <v>49</v>
      </c>
      <c r="Q117" s="28">
        <f t="shared" ca="1" si="12"/>
        <v>0</v>
      </c>
      <c r="R117" s="29">
        <f ca="1">C117+Q117*O117</f>
        <v>21</v>
      </c>
      <c r="S117" s="48"/>
    </row>
    <row r="118" spans="1:26" x14ac:dyDescent="0.25">
      <c r="A118" s="4"/>
      <c r="B118" s="47"/>
      <c r="C118" s="27">
        <v>22</v>
      </c>
      <c r="D118" s="57" t="s">
        <v>50</v>
      </c>
      <c r="E118" s="78" t="str">
        <f>IF(P99&gt;3,F99,"")</f>
        <v>CLARISSE</v>
      </c>
      <c r="F118" s="96"/>
      <c r="G118" s="79" t="str">
        <f t="array" ref="G118">INDEX(E$115:E$119,MATCH(H118,C$115:C$119+ROW($B$115:$B$119)/100,0))</f>
        <v/>
      </c>
      <c r="H118" s="80">
        <f t="array" ref="H118">SMALL($C$115:$C$119+ROW($C$115:$C$119)/100,ROWS($J$115:J118))</f>
        <v>22.17</v>
      </c>
      <c r="I118" s="96"/>
      <c r="J118" s="124" t="str">
        <f t="array" aca="1" ref="J118" ca="1">IFERROR(INDEX($G$115:$G$121,SMALL(IF($G$115:$G$121&lt;&gt;"",ROW(INDIRECT("1:"&amp;ROWS($G$115:$G$121)))),ROWS($1:4))),"")</f>
        <v/>
      </c>
      <c r="K118" s="96" t="s">
        <v>129</v>
      </c>
      <c r="L118" s="128"/>
      <c r="M118" s="114"/>
      <c r="N118" s="99" t="s">
        <v>21</v>
      </c>
      <c r="O118" s="99">
        <v>1</v>
      </c>
      <c r="P118" s="57" t="s">
        <v>50</v>
      </c>
      <c r="Q118" s="28">
        <f t="shared" ca="1" si="12"/>
        <v>0</v>
      </c>
      <c r="R118" s="29">
        <f ca="1">C118+Q118*O118</f>
        <v>22</v>
      </c>
      <c r="S118" s="48"/>
    </row>
    <row r="119" spans="1:26" x14ac:dyDescent="0.25">
      <c r="A119" s="4"/>
      <c r="B119" s="47"/>
      <c r="C119" s="27">
        <v>19</v>
      </c>
      <c r="D119" s="57" t="s">
        <v>53</v>
      </c>
      <c r="E119" s="78" t="str">
        <f>IF(P100&gt;3,F100,"")</f>
        <v>KEVIN</v>
      </c>
      <c r="F119" s="96"/>
      <c r="G119" s="79" t="str">
        <f t="array" ref="G119">INDEX(E$115:E$119,MATCH(H119,C$115:C$119+ROW($B$115:$B$119)/100,0))</f>
        <v>CLARISSE</v>
      </c>
      <c r="H119" s="80">
        <f t="array" ref="H119">SMALL($C$115:$C$119+ROW($C$115:$C$119)/100,ROWS($J$115:J119))</f>
        <v>23.18</v>
      </c>
      <c r="I119" s="96"/>
      <c r="J119" s="125" t="str">
        <f ca="1">IFERROR(INDEX($G$115:$G$121,SMALL(IF($G$115:$G$121&lt;&gt;"",ROW(INDIRECT("1:"&amp;ROWS($G$115:$G$121)))),ROWS($1:5))),"")</f>
        <v/>
      </c>
      <c r="K119" s="96" t="s">
        <v>130</v>
      </c>
      <c r="L119" s="128"/>
      <c r="M119" s="114"/>
      <c r="N119" s="129">
        <v>0.8</v>
      </c>
      <c r="O119" s="99">
        <v>1.25</v>
      </c>
      <c r="P119" s="57" t="s">
        <v>53</v>
      </c>
      <c r="Q119" s="28">
        <f ca="1">COUNTIF($P$107:$X$108,P119)</f>
        <v>4</v>
      </c>
      <c r="R119" s="29">
        <f ca="1">C119+Q119*O119</f>
        <v>24</v>
      </c>
      <c r="S119" s="48"/>
    </row>
    <row r="120" spans="1:26" x14ac:dyDescent="0.25">
      <c r="A120" s="4"/>
      <c r="B120" s="47"/>
      <c r="C120" s="96"/>
      <c r="D120" s="96"/>
      <c r="E120" s="96"/>
      <c r="F120" s="96"/>
      <c r="G120" s="96"/>
      <c r="H120" s="96"/>
      <c r="I120" s="96"/>
      <c r="J120" s="96"/>
      <c r="K120" s="96"/>
      <c r="L120" s="96"/>
      <c r="M120" s="96"/>
      <c r="N120" s="96"/>
      <c r="O120" s="96"/>
      <c r="P120" s="96"/>
      <c r="Q120" s="96"/>
      <c r="R120" s="96"/>
      <c r="S120" s="48"/>
      <c r="Y120" s="9"/>
    </row>
    <row r="121" spans="1:26" x14ac:dyDescent="0.25">
      <c r="A121" s="4"/>
      <c r="B121" s="53"/>
      <c r="C121" s="35"/>
      <c r="D121" s="58"/>
      <c r="E121" s="35"/>
      <c r="F121" s="35"/>
      <c r="G121" s="35"/>
      <c r="H121" s="35"/>
      <c r="I121" s="35"/>
      <c r="J121" s="35"/>
      <c r="K121" s="35"/>
      <c r="L121" s="35"/>
      <c r="M121" s="35"/>
      <c r="N121" s="58"/>
      <c r="O121" s="58"/>
      <c r="P121" s="35"/>
      <c r="Q121" s="35"/>
      <c r="R121" s="35"/>
      <c r="S121" s="54"/>
    </row>
    <row r="122" spans="1:26" x14ac:dyDescent="0.25">
      <c r="A122" s="4"/>
    </row>
    <row r="123" spans="1:26" x14ac:dyDescent="0.25">
      <c r="A123" s="4"/>
    </row>
    <row r="124" spans="1:26" x14ac:dyDescent="0.25">
      <c r="A124" s="4"/>
    </row>
    <row r="125" spans="1:26" x14ac:dyDescent="0.25">
      <c r="A125" s="4"/>
    </row>
    <row r="126" spans="1:26" x14ac:dyDescent="0.25">
      <c r="A126" s="4"/>
      <c r="B126" s="144"/>
      <c r="C126" s="144"/>
      <c r="D126" s="6" t="s">
        <v>45</v>
      </c>
      <c r="K126" s="9"/>
      <c r="L126" s="9"/>
      <c r="M126" s="9"/>
    </row>
    <row r="127" spans="1:26" x14ac:dyDescent="0.25">
      <c r="A127" s="4"/>
      <c r="D127" s="4">
        <v>1</v>
      </c>
      <c r="E127" s="6" t="s">
        <v>46</v>
      </c>
      <c r="G127" s="4"/>
      <c r="H127" s="4"/>
      <c r="I127" s="4"/>
      <c r="K127" s="9"/>
      <c r="L127" s="9"/>
      <c r="M127" s="9"/>
    </row>
    <row r="128" spans="1:26" x14ac:dyDescent="0.25">
      <c r="A128" s="4"/>
      <c r="D128" s="4">
        <v>2</v>
      </c>
      <c r="E128" t="s">
        <v>47</v>
      </c>
      <c r="I128" s="4"/>
      <c r="L128" s="9"/>
      <c r="M128" s="9"/>
    </row>
    <row r="129" spans="1:18" x14ac:dyDescent="0.25">
      <c r="A129" s="4"/>
      <c r="K129" s="9"/>
      <c r="L129" s="9"/>
      <c r="M129" s="9"/>
    </row>
    <row r="130" spans="1:18" x14ac:dyDescent="0.25">
      <c r="A130" s="4"/>
      <c r="D130" s="4"/>
      <c r="E130" t="s">
        <v>48</v>
      </c>
      <c r="I130" s="4"/>
      <c r="K130" s="9"/>
      <c r="L130" s="9"/>
      <c r="M130" s="9"/>
      <c r="P130" s="9"/>
      <c r="Q130" s="9"/>
      <c r="R130" s="9"/>
    </row>
    <row r="131" spans="1:18" x14ac:dyDescent="0.25">
      <c r="A131" s="4"/>
      <c r="E131" t="s">
        <v>76</v>
      </c>
      <c r="I131" s="4"/>
      <c r="K131" s="9"/>
      <c r="L131" s="9"/>
      <c r="M131" s="9"/>
      <c r="P131" s="9"/>
      <c r="Q131" s="9"/>
      <c r="R131" s="9"/>
    </row>
    <row r="132" spans="1:18" x14ac:dyDescent="0.25">
      <c r="A132" s="4"/>
      <c r="K132" s="9"/>
      <c r="L132" s="9"/>
      <c r="M132" s="9"/>
      <c r="P132" s="9"/>
      <c r="Q132" s="9"/>
      <c r="R132" s="9"/>
    </row>
    <row r="133" spans="1:18" x14ac:dyDescent="0.25">
      <c r="D133" s="9"/>
      <c r="F133" s="9"/>
      <c r="J133" s="9"/>
      <c r="K133" s="9"/>
      <c r="L133" s="9"/>
      <c r="P133" s="9"/>
      <c r="Q133" s="9"/>
      <c r="R133" s="9"/>
    </row>
    <row r="134" spans="1:18" x14ac:dyDescent="0.25">
      <c r="C134" s="9"/>
      <c r="D134" s="9"/>
      <c r="E134" t="s">
        <v>61</v>
      </c>
      <c r="P134" s="9"/>
      <c r="Q134" s="9"/>
      <c r="R134" s="9"/>
    </row>
    <row r="135" spans="1:18" x14ac:dyDescent="0.25">
      <c r="C135" s="9"/>
      <c r="D135" s="9"/>
      <c r="E135" s="33" t="s">
        <v>23</v>
      </c>
      <c r="F135" s="41" t="s">
        <v>9</v>
      </c>
      <c r="G135" s="34"/>
      <c r="H135" s="8" t="s">
        <v>10</v>
      </c>
      <c r="I135" s="34"/>
      <c r="J135" s="8" t="s">
        <v>11</v>
      </c>
      <c r="K135" s="34"/>
      <c r="L135" s="8" t="s">
        <v>12</v>
      </c>
      <c r="M135" s="34"/>
      <c r="N135" s="8" t="s">
        <v>13</v>
      </c>
      <c r="P135" s="9"/>
      <c r="Q135" s="9"/>
      <c r="R135" s="9"/>
    </row>
    <row r="136" spans="1:18" x14ac:dyDescent="0.25">
      <c r="E136" s="27">
        <v>45</v>
      </c>
      <c r="F136" s="15" t="s">
        <v>52</v>
      </c>
      <c r="G136" s="35"/>
      <c r="H136" s="11" t="s">
        <v>52</v>
      </c>
      <c r="I136" s="35"/>
      <c r="J136" s="11"/>
      <c r="K136" s="35"/>
      <c r="L136" s="11" t="s">
        <v>52</v>
      </c>
      <c r="M136" s="35"/>
      <c r="N136" s="11" t="s">
        <v>52</v>
      </c>
    </row>
    <row r="137" spans="1:18" x14ac:dyDescent="0.25">
      <c r="E137" s="27">
        <v>46</v>
      </c>
      <c r="F137" s="15" t="s">
        <v>53</v>
      </c>
      <c r="G137" s="35"/>
      <c r="H137" s="11" t="s">
        <v>53</v>
      </c>
      <c r="I137" s="35"/>
      <c r="J137" s="11"/>
      <c r="K137" s="35"/>
      <c r="L137" s="11" t="s">
        <v>53</v>
      </c>
      <c r="M137" s="35"/>
      <c r="N137" s="11" t="s">
        <v>53</v>
      </c>
    </row>
    <row r="139" spans="1:18" x14ac:dyDescent="0.25">
      <c r="E139" t="s">
        <v>70</v>
      </c>
    </row>
    <row r="140" spans="1:18" x14ac:dyDescent="0.25">
      <c r="E140" t="s">
        <v>71</v>
      </c>
    </row>
    <row r="141" spans="1:18" x14ac:dyDescent="0.25">
      <c r="E141" t="s">
        <v>72</v>
      </c>
    </row>
    <row r="143" spans="1:18" x14ac:dyDescent="0.25">
      <c r="F143" t="s">
        <v>73</v>
      </c>
      <c r="G143" t="s">
        <v>74</v>
      </c>
    </row>
    <row r="152" spans="4:4" x14ac:dyDescent="0.25">
      <c r="D152" t="s">
        <v>77</v>
      </c>
    </row>
    <row r="153" spans="4:4" x14ac:dyDescent="0.25">
      <c r="D153" t="s">
        <v>79</v>
      </c>
    </row>
    <row r="154" spans="4:4" x14ac:dyDescent="0.25">
      <c r="D154" t="s">
        <v>78</v>
      </c>
    </row>
  </sheetData>
  <phoneticPr fontId="6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E7C3C1-7B51-488E-BE4E-628A87D1EC0B}">
  <dimension ref="M16:Q40"/>
  <sheetViews>
    <sheetView topLeftCell="B13" workbookViewId="0">
      <selection activeCell="N34" sqref="N34"/>
    </sheetView>
  </sheetViews>
  <sheetFormatPr baseColWidth="10" defaultRowHeight="15" x14ac:dyDescent="0.25"/>
  <sheetData>
    <row r="16" spans="13:15" x14ac:dyDescent="0.25">
      <c r="M16">
        <v>0</v>
      </c>
      <c r="N16">
        <v>1</v>
      </c>
      <c r="O16">
        <v>2</v>
      </c>
    </row>
    <row r="24" spans="13:13" x14ac:dyDescent="0.25">
      <c r="M24" s="11" t="s">
        <v>89</v>
      </c>
    </row>
    <row r="25" spans="13:13" x14ac:dyDescent="0.25">
      <c r="M25" s="11" t="s">
        <v>91</v>
      </c>
    </row>
    <row r="26" spans="13:13" x14ac:dyDescent="0.25">
      <c r="M26" s="11" t="s">
        <v>94</v>
      </c>
    </row>
    <row r="27" spans="13:13" x14ac:dyDescent="0.25">
      <c r="M27" s="11" t="s">
        <v>95</v>
      </c>
    </row>
    <row r="28" spans="13:13" x14ac:dyDescent="0.25">
      <c r="M28" s="11" t="s">
        <v>97</v>
      </c>
    </row>
    <row r="29" spans="13:13" x14ac:dyDescent="0.25">
      <c r="M29" s="11" t="s">
        <v>98</v>
      </c>
    </row>
    <row r="30" spans="13:13" x14ac:dyDescent="0.25">
      <c r="M30" s="11" t="s">
        <v>100</v>
      </c>
    </row>
    <row r="33" spans="13:17" x14ac:dyDescent="0.25">
      <c r="M33" s="77">
        <v>8</v>
      </c>
      <c r="N33" s="78" t="s">
        <v>54</v>
      </c>
      <c r="O33" s="6">
        <v>0</v>
      </c>
      <c r="P33" s="102" t="str">
        <f t="array" ref="P33">INDEX(N$33:N$40,MATCH(Q33,M$33:M$40+ROW($K$33:$K$40)/100,0))</f>
        <v>NOEMIE</v>
      </c>
      <c r="Q33" s="80">
        <f t="array" ref="Q33">SMALL($M$33:$M$40+ROW($M$33:$M$40)/100,ROWS($S$33:S33))</f>
        <v>8.33</v>
      </c>
    </row>
    <row r="34" spans="13:17" x14ac:dyDescent="0.25">
      <c r="M34" s="77">
        <v>12</v>
      </c>
      <c r="N34" s="78" t="s">
        <v>55</v>
      </c>
      <c r="O34" s="6">
        <v>0</v>
      </c>
      <c r="P34" s="102" t="str">
        <f t="array" ref="P34">INDEX(N$33:N$40,MATCH(Q34,M$33:M$40+ROW($K$33:$K$40)/100,0))</f>
        <v>FLORENCE</v>
      </c>
      <c r="Q34" s="80">
        <f t="array" ref="Q34">SMALL($M$33:$M$40+ROW($M$33:$M$40)/100,ROWS($S$33:S34))</f>
        <v>9.3800000000000008</v>
      </c>
    </row>
    <row r="35" spans="13:17" x14ac:dyDescent="0.25">
      <c r="M35" s="77">
        <v>11</v>
      </c>
      <c r="N35" s="78" t="s">
        <v>56</v>
      </c>
      <c r="O35" s="6">
        <v>1</v>
      </c>
      <c r="P35" s="102" t="str">
        <f t="array" ref="P35">INDEX(N$33:N$40,MATCH(Q35,M$33:M$40+ROW($K$33:$K$40)/100,0))</f>
        <v>PAULINE</v>
      </c>
      <c r="Q35" s="80">
        <f t="array" ref="Q35">SMALL($M$33:$M$40+ROW($M$33:$M$40)/100,ROWS($S$33:S35))</f>
        <v>11.35</v>
      </c>
    </row>
    <row r="36" spans="13:17" x14ac:dyDescent="0.25">
      <c r="M36" s="77">
        <v>19</v>
      </c>
      <c r="N36" s="78" t="s">
        <v>57</v>
      </c>
      <c r="O36" s="6">
        <v>1</v>
      </c>
      <c r="P36" s="102" t="str">
        <f t="array" ref="P36">INDEX(N$33:N$40,MATCH(Q36,M$33:M$40+ROW($K$33:$K$40)/100,0))</f>
        <v>NICOLAS</v>
      </c>
      <c r="Q36" s="80">
        <f t="array" ref="Q36">SMALL($M$33:$M$40+ROW($M$33:$M$40)/100,ROWS($S$33:S36))</f>
        <v>11.39</v>
      </c>
    </row>
    <row r="37" spans="13:17" x14ac:dyDescent="0.25">
      <c r="M37" s="77">
        <v>21</v>
      </c>
      <c r="N37" s="78" t="s">
        <v>58</v>
      </c>
      <c r="O37" s="6">
        <v>1</v>
      </c>
      <c r="P37" s="102" t="str">
        <f t="array" ref="P37">INDEX(N$33:N$40,MATCH(Q37,M$33:M$40+ROW($K$33:$K$40)/100,0))</f>
        <v>VINCENT</v>
      </c>
      <c r="Q37" s="80">
        <f t="array" ref="Q37">SMALL($M$33:$M$40+ROW($M$33:$M$40)/100,ROWS($S$33:S37))</f>
        <v>12.34</v>
      </c>
    </row>
    <row r="38" spans="13:17" x14ac:dyDescent="0.25">
      <c r="M38" s="77">
        <v>9</v>
      </c>
      <c r="N38" s="78" t="s">
        <v>60</v>
      </c>
      <c r="O38" s="6">
        <v>2</v>
      </c>
      <c r="P38" s="102" t="str">
        <f t="array" ref="P38">INDEX(N$33:N$40,MATCH(Q38,M$33:M$40+ROW($K$33:$K$40)/100,0))</f>
        <v>PIERRE</v>
      </c>
      <c r="Q38" s="80">
        <f t="array" ref="Q38">SMALL($M$33:$M$40+ROW($M$33:$M$40)/100,ROWS($S$33:S38))</f>
        <v>14.4</v>
      </c>
    </row>
    <row r="39" spans="13:17" x14ac:dyDescent="0.25">
      <c r="M39" s="77">
        <v>11</v>
      </c>
      <c r="N39" s="78" t="s">
        <v>59</v>
      </c>
      <c r="O39" s="6">
        <v>2</v>
      </c>
      <c r="P39" s="102" t="str">
        <f t="array" ref="P39">INDEX(N$33:N$40,MATCH(Q39,M$33:M$40+ROW($K$33:$K$40)/100,0))</f>
        <v>DAVID</v>
      </c>
      <c r="Q39" s="80">
        <f t="array" ref="Q39">SMALL($M$33:$M$40+ROW($M$33:$M$40)/100,ROWS($S$33:S39))</f>
        <v>19.36</v>
      </c>
    </row>
    <row r="40" spans="13:17" x14ac:dyDescent="0.25">
      <c r="M40" s="77">
        <v>14</v>
      </c>
      <c r="N40" s="26" t="s">
        <v>64</v>
      </c>
      <c r="O40" s="6">
        <v>2</v>
      </c>
      <c r="P40" s="102" t="str">
        <f t="array" ref="P40">INDEX(N$33:N$40,MATCH(Q40,M$33:M$40+ROW($K$33:$K$40)/100,0))</f>
        <v>JACQUES</v>
      </c>
      <c r="Q40" s="80">
        <f t="array" ref="Q40">SMALL($M$33:$M$40+ROW($M$33:$M$40)/100,ROWS($S$33:S40))</f>
        <v>21.37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9706E-E6B0-4A72-90A6-04AE98365F74}">
  <dimension ref="A1:Z68"/>
  <sheetViews>
    <sheetView topLeftCell="A28" workbookViewId="0">
      <selection activeCell="Q56" sqref="Q56"/>
    </sheetView>
  </sheetViews>
  <sheetFormatPr baseColWidth="10" defaultRowHeight="15" x14ac:dyDescent="0.25"/>
  <sheetData>
    <row r="1" spans="2:15" ht="15.75" thickBot="1" x14ac:dyDescent="0.3"/>
    <row r="2" spans="2:15" x14ac:dyDescent="0.25">
      <c r="B2" s="94" t="s">
        <v>80</v>
      </c>
      <c r="C2" s="95" t="s">
        <v>0</v>
      </c>
      <c r="D2" s="18"/>
      <c r="E2" s="18"/>
      <c r="F2" s="18"/>
      <c r="G2" s="18"/>
      <c r="H2" s="18"/>
      <c r="I2" s="18"/>
      <c r="J2" s="18"/>
      <c r="K2" s="18"/>
      <c r="L2" s="18"/>
      <c r="M2" s="18"/>
      <c r="N2" s="20"/>
    </row>
    <row r="3" spans="2:15" x14ac:dyDescent="0.25">
      <c r="B3" s="21"/>
      <c r="C3" s="96"/>
      <c r="D3" s="96"/>
      <c r="E3" s="96" t="s">
        <v>2</v>
      </c>
      <c r="F3" s="96"/>
      <c r="G3" s="96"/>
      <c r="H3" s="96"/>
      <c r="I3" s="96"/>
      <c r="J3" s="96" t="s">
        <v>1</v>
      </c>
      <c r="K3" s="96"/>
      <c r="L3" s="96"/>
      <c r="M3" s="96"/>
      <c r="N3" s="23"/>
    </row>
    <row r="4" spans="2:15" x14ac:dyDescent="0.25">
      <c r="B4" s="21" t="s">
        <v>3</v>
      </c>
      <c r="C4" s="96" t="s">
        <v>4</v>
      </c>
      <c r="D4" s="96"/>
      <c r="E4" s="96"/>
      <c r="F4" s="97">
        <v>1</v>
      </c>
      <c r="G4" s="96"/>
      <c r="H4" s="96"/>
      <c r="I4" s="96"/>
      <c r="J4" s="96"/>
      <c r="K4" s="97">
        <v>2</v>
      </c>
      <c r="L4" s="96"/>
      <c r="M4" s="96"/>
      <c r="N4" s="23"/>
    </row>
    <row r="5" spans="2:15" x14ac:dyDescent="0.25">
      <c r="B5" s="21" t="s">
        <v>5</v>
      </c>
      <c r="C5" s="98">
        <v>48</v>
      </c>
      <c r="D5" s="96"/>
      <c r="E5" s="96"/>
      <c r="F5" s="96" t="s">
        <v>6</v>
      </c>
      <c r="G5" s="96"/>
      <c r="H5" s="96"/>
      <c r="I5" s="96"/>
      <c r="J5" s="96"/>
      <c r="K5" s="96"/>
      <c r="L5" s="96"/>
      <c r="M5" s="96"/>
      <c r="N5" s="23"/>
    </row>
    <row r="6" spans="2:15" x14ac:dyDescent="0.25">
      <c r="B6" s="21"/>
      <c r="C6" s="96"/>
      <c r="D6" s="96"/>
      <c r="E6" s="96"/>
      <c r="F6" s="97">
        <v>2</v>
      </c>
      <c r="G6" s="96"/>
      <c r="H6" s="96"/>
      <c r="I6" s="96"/>
      <c r="J6" s="96"/>
      <c r="K6" s="96"/>
      <c r="L6" s="96"/>
      <c r="M6" s="96"/>
      <c r="N6" s="23"/>
    </row>
    <row r="7" spans="2:15" x14ac:dyDescent="0.25">
      <c r="B7" s="21"/>
      <c r="C7" s="96"/>
      <c r="D7" s="96"/>
      <c r="E7" s="96"/>
      <c r="F7" s="96"/>
      <c r="G7" s="96"/>
      <c r="H7" s="96"/>
      <c r="I7" s="96"/>
      <c r="J7" s="96"/>
      <c r="K7" s="96"/>
      <c r="L7" s="96"/>
      <c r="M7" s="96"/>
      <c r="N7" s="23"/>
    </row>
    <row r="8" spans="2:15" x14ac:dyDescent="0.25">
      <c r="B8" s="21"/>
      <c r="C8" s="96"/>
      <c r="D8" s="96"/>
      <c r="E8" s="96"/>
      <c r="F8" s="96"/>
      <c r="G8" s="96"/>
      <c r="H8" s="99"/>
      <c r="I8" s="96"/>
      <c r="J8" s="96"/>
      <c r="K8" s="96"/>
      <c r="L8" s="96"/>
      <c r="M8" s="96"/>
      <c r="N8" s="23"/>
    </row>
    <row r="9" spans="2:15" x14ac:dyDescent="0.25">
      <c r="B9" s="21"/>
      <c r="C9" s="5" t="s">
        <v>7</v>
      </c>
      <c r="D9" s="96"/>
      <c r="E9" s="100" t="s">
        <v>111</v>
      </c>
      <c r="F9" s="96"/>
      <c r="G9" s="96"/>
      <c r="H9" s="99"/>
      <c r="I9" s="96"/>
      <c r="J9" s="96"/>
      <c r="K9" s="96"/>
      <c r="L9" s="96"/>
      <c r="M9" s="96"/>
      <c r="N9" s="23"/>
    </row>
    <row r="10" spans="2:15" x14ac:dyDescent="0.25">
      <c r="B10" s="21"/>
      <c r="C10" s="7" t="s">
        <v>8</v>
      </c>
      <c r="D10" s="96"/>
      <c r="E10" s="8" t="s">
        <v>9</v>
      </c>
      <c r="F10" s="96"/>
      <c r="G10" s="8" t="s">
        <v>10</v>
      </c>
      <c r="H10" s="96"/>
      <c r="I10" s="8" t="s">
        <v>11</v>
      </c>
      <c r="J10" s="101"/>
      <c r="K10" s="8" t="s">
        <v>12</v>
      </c>
      <c r="L10" s="101"/>
      <c r="M10" s="8" t="s">
        <v>13</v>
      </c>
      <c r="N10" s="23"/>
    </row>
    <row r="11" spans="2:15" x14ac:dyDescent="0.25">
      <c r="B11" s="21"/>
      <c r="C11" s="10">
        <v>1</v>
      </c>
      <c r="D11" s="11" t="s">
        <v>89</v>
      </c>
      <c r="E11" s="11">
        <v>1</v>
      </c>
      <c r="F11" s="96"/>
      <c r="G11" s="11">
        <v>1</v>
      </c>
      <c r="H11" s="96"/>
      <c r="I11" s="11">
        <v>1</v>
      </c>
      <c r="J11" s="101"/>
      <c r="K11" s="11">
        <v>1</v>
      </c>
      <c r="L11" s="101"/>
      <c r="M11" s="11">
        <v>0</v>
      </c>
      <c r="N11" s="23"/>
      <c r="O11">
        <f t="shared" ref="O11:O19" si="0">SUM(E11:N11)</f>
        <v>4</v>
      </c>
    </row>
    <row r="12" spans="2:15" x14ac:dyDescent="0.25">
      <c r="B12" s="21"/>
      <c r="C12" s="10">
        <v>2</v>
      </c>
      <c r="D12" s="11" t="s">
        <v>112</v>
      </c>
      <c r="E12" s="11">
        <v>1</v>
      </c>
      <c r="F12" s="96"/>
      <c r="G12" s="11">
        <v>1</v>
      </c>
      <c r="H12" s="96"/>
      <c r="I12" s="11">
        <v>0</v>
      </c>
      <c r="J12" s="101"/>
      <c r="K12" s="11">
        <v>1</v>
      </c>
      <c r="L12" s="101"/>
      <c r="M12" s="11">
        <v>1</v>
      </c>
      <c r="N12" s="23"/>
      <c r="O12">
        <f t="shared" si="0"/>
        <v>4</v>
      </c>
    </row>
    <row r="13" spans="2:15" x14ac:dyDescent="0.25">
      <c r="B13" s="21"/>
      <c r="C13" s="10">
        <v>0</v>
      </c>
      <c r="D13" s="11" t="s">
        <v>91</v>
      </c>
      <c r="E13" s="11">
        <v>1</v>
      </c>
      <c r="F13" s="96"/>
      <c r="G13" s="11">
        <v>1</v>
      </c>
      <c r="H13" s="96"/>
      <c r="I13" s="11">
        <v>1</v>
      </c>
      <c r="J13" s="101"/>
      <c r="K13" s="11">
        <v>1</v>
      </c>
      <c r="L13" s="101"/>
      <c r="M13" s="11">
        <v>1</v>
      </c>
      <c r="N13" s="23"/>
      <c r="O13">
        <f t="shared" si="0"/>
        <v>5</v>
      </c>
    </row>
    <row r="14" spans="2:15" x14ac:dyDescent="0.25">
      <c r="B14" s="21"/>
      <c r="C14" s="10">
        <v>0</v>
      </c>
      <c r="D14" s="11" t="s">
        <v>97</v>
      </c>
      <c r="E14" s="12">
        <v>1</v>
      </c>
      <c r="F14" s="13"/>
      <c r="G14" s="14">
        <v>1</v>
      </c>
      <c r="H14" s="13"/>
      <c r="I14" s="14">
        <v>1</v>
      </c>
      <c r="J14" s="13"/>
      <c r="K14" s="14">
        <v>1</v>
      </c>
      <c r="L14" s="13"/>
      <c r="M14" s="15">
        <v>1</v>
      </c>
      <c r="N14" s="23"/>
      <c r="O14">
        <f t="shared" si="0"/>
        <v>5</v>
      </c>
    </row>
    <row r="15" spans="2:15" x14ac:dyDescent="0.25">
      <c r="B15" s="21"/>
      <c r="C15" s="10">
        <v>1</v>
      </c>
      <c r="D15" s="11" t="s">
        <v>100</v>
      </c>
      <c r="E15" s="11">
        <v>1</v>
      </c>
      <c r="F15" s="96"/>
      <c r="G15" s="11">
        <v>1</v>
      </c>
      <c r="H15" s="96"/>
      <c r="I15" s="11">
        <v>1</v>
      </c>
      <c r="J15" s="101"/>
      <c r="K15" s="11">
        <v>1</v>
      </c>
      <c r="L15" s="101"/>
      <c r="M15" s="11">
        <v>1</v>
      </c>
      <c r="N15" s="23"/>
      <c r="O15">
        <f t="shared" si="0"/>
        <v>5</v>
      </c>
    </row>
    <row r="16" spans="2:15" x14ac:dyDescent="0.25">
      <c r="B16" s="21"/>
      <c r="C16" s="10">
        <v>1</v>
      </c>
      <c r="D16" s="11" t="s">
        <v>95</v>
      </c>
      <c r="E16" s="11">
        <v>1</v>
      </c>
      <c r="F16" s="96"/>
      <c r="G16" s="11">
        <v>1</v>
      </c>
      <c r="H16" s="96"/>
      <c r="I16" s="11">
        <v>1</v>
      </c>
      <c r="J16" s="101"/>
      <c r="K16" s="11">
        <v>1</v>
      </c>
      <c r="L16" s="101"/>
      <c r="M16" s="11">
        <v>1</v>
      </c>
      <c r="N16" s="23"/>
      <c r="O16">
        <f t="shared" si="0"/>
        <v>5</v>
      </c>
    </row>
    <row r="17" spans="1:18" x14ac:dyDescent="0.25">
      <c r="B17" s="21"/>
      <c r="C17" s="10">
        <v>2</v>
      </c>
      <c r="D17" s="11" t="s">
        <v>94</v>
      </c>
      <c r="E17" s="12">
        <v>1</v>
      </c>
      <c r="F17" s="13"/>
      <c r="G17" s="14">
        <v>1</v>
      </c>
      <c r="H17" s="13"/>
      <c r="I17" s="14">
        <v>1</v>
      </c>
      <c r="J17" s="13"/>
      <c r="K17" s="14">
        <v>1</v>
      </c>
      <c r="L17" s="13"/>
      <c r="M17" s="15">
        <v>1</v>
      </c>
      <c r="N17" s="23"/>
      <c r="O17">
        <f t="shared" si="0"/>
        <v>5</v>
      </c>
    </row>
    <row r="18" spans="1:18" x14ac:dyDescent="0.25">
      <c r="B18" s="21"/>
      <c r="C18" s="10">
        <v>2</v>
      </c>
      <c r="D18" s="11" t="s">
        <v>64</v>
      </c>
      <c r="E18" s="11">
        <v>1</v>
      </c>
      <c r="F18" s="96"/>
      <c r="G18" s="11">
        <v>1</v>
      </c>
      <c r="H18" s="96"/>
      <c r="I18" s="11">
        <v>1</v>
      </c>
      <c r="J18" s="101"/>
      <c r="K18" s="11">
        <v>1</v>
      </c>
      <c r="L18" s="101"/>
      <c r="M18" s="11">
        <v>1</v>
      </c>
      <c r="N18" s="23"/>
      <c r="O18">
        <f t="shared" si="0"/>
        <v>5</v>
      </c>
    </row>
    <row r="19" spans="1:18" x14ac:dyDescent="0.25">
      <c r="B19" s="21"/>
      <c r="C19" s="10"/>
      <c r="D19" s="11"/>
      <c r="E19" s="11"/>
      <c r="F19" s="96"/>
      <c r="G19" s="11"/>
      <c r="H19" s="96"/>
      <c r="I19" s="11"/>
      <c r="J19" s="101"/>
      <c r="K19" s="11"/>
      <c r="L19" s="101"/>
      <c r="M19" s="11"/>
      <c r="N19" s="23"/>
      <c r="O19">
        <f t="shared" si="0"/>
        <v>0</v>
      </c>
    </row>
    <row r="20" spans="1:18" x14ac:dyDescent="0.25">
      <c r="B20" s="21"/>
      <c r="C20" s="16"/>
      <c r="D20" s="11"/>
      <c r="E20" s="11"/>
      <c r="F20" s="96"/>
      <c r="G20" s="11"/>
      <c r="H20" s="96"/>
      <c r="I20" s="11"/>
      <c r="J20" s="101"/>
      <c r="K20" s="11"/>
      <c r="L20" s="101"/>
      <c r="M20" s="11"/>
      <c r="N20" s="23"/>
    </row>
    <row r="21" spans="1:18" ht="15.75" thickBot="1" x14ac:dyDescent="0.3">
      <c r="B21" s="86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9"/>
    </row>
    <row r="24" spans="1:18" x14ac:dyDescent="0.25">
      <c r="A24" s="3" t="s">
        <v>80</v>
      </c>
      <c r="B24" s="66" t="s">
        <v>0</v>
      </c>
      <c r="P24" s="9"/>
      <c r="Q24" s="9"/>
      <c r="R24" s="9"/>
    </row>
    <row r="25" spans="1:18" x14ac:dyDescent="0.25">
      <c r="A25" s="3"/>
      <c r="B25" s="67" t="s">
        <v>81</v>
      </c>
    </row>
    <row r="26" spans="1:18" x14ac:dyDescent="0.25">
      <c r="A26" s="4"/>
    </row>
    <row r="27" spans="1:18" x14ac:dyDescent="0.25">
      <c r="A27" s="4"/>
    </row>
    <row r="28" spans="1:18" x14ac:dyDescent="0.25">
      <c r="A28" s="4"/>
    </row>
    <row r="29" spans="1:18" x14ac:dyDescent="0.25">
      <c r="A29" s="4"/>
    </row>
    <row r="30" spans="1:18" ht="15.75" thickBot="1" x14ac:dyDescent="0.3">
      <c r="A30" s="4"/>
    </row>
    <row r="31" spans="1:18" x14ac:dyDescent="0.25">
      <c r="A31" s="71"/>
      <c r="B31" s="69" t="s">
        <v>84</v>
      </c>
      <c r="C31" s="69"/>
      <c r="D31" s="69"/>
      <c r="E31" s="69"/>
      <c r="F31" s="69" t="s">
        <v>85</v>
      </c>
      <c r="G31" s="69"/>
      <c r="H31" s="69"/>
      <c r="I31" s="72"/>
    </row>
    <row r="32" spans="1:18" x14ac:dyDescent="0.25">
      <c r="A32" s="74"/>
      <c r="B32" s="30"/>
      <c r="D32" s="30"/>
      <c r="E32" s="30"/>
      <c r="F32" s="30"/>
      <c r="G32" s="30"/>
      <c r="H32" s="30"/>
      <c r="I32" s="75"/>
    </row>
    <row r="33" spans="1:26" x14ac:dyDescent="0.25">
      <c r="A33" s="74"/>
      <c r="B33" s="30" t="s">
        <v>88</v>
      </c>
      <c r="D33" s="30"/>
      <c r="E33" s="30"/>
      <c r="I33" s="75"/>
    </row>
    <row r="34" spans="1:26" x14ac:dyDescent="0.25">
      <c r="A34" s="74"/>
      <c r="D34" s="30"/>
      <c r="E34" s="30"/>
      <c r="I34" s="75"/>
    </row>
    <row r="35" spans="1:26" x14ac:dyDescent="0.25">
      <c r="A35" s="74"/>
      <c r="B35" s="30" t="s">
        <v>92</v>
      </c>
      <c r="D35" s="30"/>
      <c r="E35" s="30"/>
      <c r="I35" s="75"/>
    </row>
    <row r="36" spans="1:26" x14ac:dyDescent="0.25">
      <c r="A36" s="74"/>
      <c r="B36" s="30"/>
      <c r="C36" s="30"/>
      <c r="D36" s="30"/>
      <c r="E36" s="30"/>
      <c r="I36" s="75"/>
    </row>
    <row r="37" spans="1:26" x14ac:dyDescent="0.25">
      <c r="A37" s="74"/>
      <c r="B37" s="30" t="s">
        <v>96</v>
      </c>
      <c r="C37" s="30"/>
      <c r="D37" s="30"/>
      <c r="E37" s="30"/>
      <c r="I37" s="75"/>
    </row>
    <row r="38" spans="1:26" x14ac:dyDescent="0.25">
      <c r="A38" s="74"/>
      <c r="B38" s="30"/>
      <c r="C38" s="30"/>
      <c r="E38" s="30"/>
      <c r="F38" s="30"/>
      <c r="G38" s="30"/>
      <c r="H38" s="30"/>
      <c r="I38" s="75"/>
    </row>
    <row r="39" spans="1:26" x14ac:dyDescent="0.25">
      <c r="A39" s="74"/>
      <c r="C39" s="30"/>
      <c r="D39" s="30"/>
      <c r="E39" s="30"/>
      <c r="F39" s="30" t="s">
        <v>99</v>
      </c>
      <c r="G39" s="30"/>
      <c r="H39" s="30"/>
      <c r="I39" s="75"/>
    </row>
    <row r="40" spans="1:26" x14ac:dyDescent="0.25">
      <c r="A40" s="81"/>
      <c r="I40" s="23"/>
    </row>
    <row r="41" spans="1:26" x14ac:dyDescent="0.25">
      <c r="A41" s="21"/>
      <c r="B41" s="30"/>
      <c r="C41" s="8" t="s">
        <v>9</v>
      </c>
      <c r="D41" s="8" t="s">
        <v>10</v>
      </c>
      <c r="E41" s="8" t="s">
        <v>11</v>
      </c>
      <c r="F41" s="8" t="s">
        <v>12</v>
      </c>
      <c r="G41" s="8" t="s">
        <v>13</v>
      </c>
      <c r="I41" s="23"/>
    </row>
    <row r="42" spans="1:26" x14ac:dyDescent="0.25">
      <c r="A42" s="21"/>
      <c r="B42" s="83" t="s">
        <v>103</v>
      </c>
      <c r="C42" s="11" t="e">
        <f>IF('Attribution postes'!#REF!&lt;&gt;"",'Attribution postes'!#REF!,C54)</f>
        <v>#REF!</v>
      </c>
      <c r="D42" s="11" t="e">
        <f>IF('Attribution postes'!#REF!&lt;&gt;"",'Attribution postes'!#REF!,D54)</f>
        <v>#REF!</v>
      </c>
      <c r="E42" s="11" t="e">
        <f>IF('Attribution postes'!#REF!&lt;&gt;"",'Attribution postes'!#REF!,E54)</f>
        <v>#REF!</v>
      </c>
      <c r="F42" s="11" t="e">
        <f>IF('Attribution postes'!#REF!&lt;&gt;"",'Attribution postes'!#REF!,F54)</f>
        <v>#REF!</v>
      </c>
      <c r="G42" s="11" t="e">
        <f>IF('Attribution postes'!#REF!&lt;&gt;"",'Attribution postes'!#REF!,G54)</f>
        <v>#REF!</v>
      </c>
      <c r="I42" s="23"/>
    </row>
    <row r="43" spans="1:26" x14ac:dyDescent="0.25">
      <c r="A43" s="21"/>
      <c r="I43" s="23"/>
    </row>
    <row r="44" spans="1:26" x14ac:dyDescent="0.25">
      <c r="A44" s="24"/>
      <c r="B44" s="28" t="s">
        <v>106</v>
      </c>
      <c r="C44" s="85"/>
      <c r="D44" s="85"/>
      <c r="E44" s="30"/>
      <c r="F44" s="30"/>
      <c r="G44" s="30"/>
      <c r="I44" s="23"/>
    </row>
    <row r="45" spans="1:26" x14ac:dyDescent="0.25">
      <c r="A45" s="24"/>
      <c r="B45" s="28" t="s">
        <v>103</v>
      </c>
      <c r="C45" s="11" t="e">
        <f>IF('[1]Présences-Absences'!Z17=1,$M$66,IF($P$64&lt;&gt;'Attribution postes'!#REF!,$P$64,IF($P$66&lt;&gt;"",$P$66,C57)))</f>
        <v>#REF!</v>
      </c>
      <c r="D45" s="11" t="e">
        <f>IF('[1]Présences-Absences'!AA17=1,$M$66,IF($P$64&lt;&gt;'Attribution postes'!#REF!,$P$64,IF($P$66&lt;&gt;"",$P$66,D57)))</f>
        <v>#REF!</v>
      </c>
      <c r="E45" s="11" t="e">
        <f>IF('[1]Présences-Absences'!AB17=1,$M$66,IF($P$64&lt;&gt;'Attribution postes'!#REF!,$P$64,IF($P$66&lt;&gt;"",$P$66,E57)))</f>
        <v>#REF!</v>
      </c>
      <c r="F45" s="11" t="e">
        <f>IF('[1]Présences-Absences'!AC17=1,$M$66,IF($P$64&lt;&gt;'Attribution postes'!#REF!,$P$64,IF($P$66&lt;&gt;"",$P$66,F57)))</f>
        <v>#REF!</v>
      </c>
      <c r="G45" s="11" t="e">
        <f>IF('[1]Présences-Absences'!AD17=1,$M$66,IF($P$64&lt;&gt;'Attribution postes'!#REF!,$P$64,IF($P$66&lt;&gt;"",$P$66,G57)))</f>
        <v>#REF!</v>
      </c>
      <c r="I45" s="23"/>
    </row>
    <row r="46" spans="1:26" ht="15.75" thickBot="1" x14ac:dyDescent="0.3">
      <c r="A46" s="36"/>
      <c r="B46" s="37"/>
      <c r="C46" s="37"/>
      <c r="D46" s="37"/>
      <c r="E46" s="37"/>
      <c r="F46" s="37"/>
      <c r="G46" s="37"/>
      <c r="H46" s="37"/>
      <c r="I46" s="39"/>
    </row>
    <row r="47" spans="1:26" ht="15.75" thickBot="1" x14ac:dyDescent="0.3">
      <c r="A47" s="17"/>
      <c r="B47" s="18"/>
      <c r="C47" s="18"/>
      <c r="D47" s="18"/>
      <c r="E47" s="18"/>
      <c r="F47" s="18"/>
      <c r="G47" s="18"/>
      <c r="H47" s="18"/>
      <c r="I47" s="20"/>
      <c r="P47" s="9"/>
      <c r="Q47" s="9"/>
      <c r="R47" s="9"/>
    </row>
    <row r="48" spans="1:26" x14ac:dyDescent="0.25">
      <c r="A48" s="24"/>
      <c r="I48" s="23"/>
      <c r="K48" s="68" t="s">
        <v>107</v>
      </c>
      <c r="L48" s="88"/>
      <c r="M48" s="18"/>
      <c r="N48" s="18"/>
      <c r="O48" s="18"/>
      <c r="P48" s="18"/>
      <c r="Q48" s="18"/>
      <c r="R48" s="69"/>
      <c r="S48" s="69"/>
      <c r="T48" s="69"/>
      <c r="U48" s="69"/>
      <c r="V48" s="18"/>
      <c r="W48" s="18"/>
      <c r="X48" s="18"/>
      <c r="Y48" s="18"/>
      <c r="Z48" s="20"/>
    </row>
    <row r="49" spans="1:26" x14ac:dyDescent="0.25">
      <c r="A49" s="24"/>
      <c r="I49" s="23"/>
      <c r="K49" s="21"/>
      <c r="Z49" s="23"/>
    </row>
    <row r="50" spans="1:26" x14ac:dyDescent="0.25">
      <c r="A50" s="21"/>
      <c r="I50" s="23"/>
      <c r="K50" s="21"/>
      <c r="S50" s="30"/>
      <c r="T50" s="30"/>
      <c r="U50" s="30"/>
      <c r="V50" s="30"/>
      <c r="Z50" s="23"/>
    </row>
    <row r="51" spans="1:26" x14ac:dyDescent="0.25">
      <c r="A51" s="21"/>
      <c r="C51" s="89" t="s">
        <v>108</v>
      </c>
      <c r="I51" s="23"/>
      <c r="K51" s="21"/>
      <c r="S51" s="30"/>
      <c r="T51" s="30"/>
      <c r="U51" s="30"/>
      <c r="V51" s="30"/>
      <c r="Z51" s="23"/>
    </row>
    <row r="52" spans="1:26" x14ac:dyDescent="0.25">
      <c r="A52" s="21"/>
      <c r="I52" s="23"/>
      <c r="K52" s="21"/>
      <c r="S52" s="30"/>
      <c r="T52" s="30"/>
      <c r="U52" s="30"/>
      <c r="V52" s="30"/>
      <c r="Z52" s="23"/>
    </row>
    <row r="53" spans="1:26" x14ac:dyDescent="0.25">
      <c r="A53" s="21"/>
      <c r="B53" s="30"/>
      <c r="C53" s="8" t="s">
        <v>9</v>
      </c>
      <c r="D53" s="8" t="s">
        <v>10</v>
      </c>
      <c r="E53" s="8" t="s">
        <v>11</v>
      </c>
      <c r="F53" s="8" t="s">
        <v>12</v>
      </c>
      <c r="G53" s="8" t="s">
        <v>13</v>
      </c>
      <c r="I53" s="23"/>
      <c r="K53" s="21"/>
      <c r="L53" s="70" t="s">
        <v>82</v>
      </c>
      <c r="P53" s="51" t="s">
        <v>83</v>
      </c>
      <c r="Q53" s="46"/>
      <c r="S53" s="30"/>
      <c r="T53" s="70" t="s">
        <v>82</v>
      </c>
      <c r="U53" s="30"/>
      <c r="V53" s="30"/>
      <c r="Z53" s="23"/>
    </row>
    <row r="54" spans="1:26" x14ac:dyDescent="0.25">
      <c r="A54" s="21"/>
      <c r="B54" s="90" t="s">
        <v>103</v>
      </c>
      <c r="C54" s="11"/>
      <c r="D54" s="11" t="s">
        <v>95</v>
      </c>
      <c r="E54" s="11" t="s">
        <v>95</v>
      </c>
      <c r="F54" s="11" t="s">
        <v>95</v>
      </c>
      <c r="G54" s="11" t="s">
        <v>95</v>
      </c>
      <c r="I54" s="23"/>
      <c r="K54" s="21"/>
      <c r="L54" s="70" t="s">
        <v>5</v>
      </c>
      <c r="M54" s="6">
        <f>'[1]Présences-Absences'!AD27</f>
        <v>1</v>
      </c>
      <c r="P54" s="47" t="s">
        <v>86</v>
      </c>
      <c r="Q54" s="48"/>
      <c r="S54" s="30"/>
      <c r="T54" s="70" t="s">
        <v>5</v>
      </c>
      <c r="U54" s="73">
        <f>M54+1</f>
        <v>2</v>
      </c>
      <c r="V54" s="30"/>
      <c r="Z54" s="23"/>
    </row>
    <row r="55" spans="1:26" x14ac:dyDescent="0.25">
      <c r="A55" s="21"/>
      <c r="I55" s="23"/>
      <c r="K55" s="21"/>
      <c r="P55" s="76" t="s">
        <v>87</v>
      </c>
      <c r="Q55" s="48"/>
      <c r="S55" s="30"/>
      <c r="Z55" s="23"/>
    </row>
    <row r="56" spans="1:26" x14ac:dyDescent="0.25">
      <c r="A56" s="21"/>
      <c r="B56" s="91" t="s">
        <v>106</v>
      </c>
      <c r="C56" s="85"/>
      <c r="D56" s="85"/>
      <c r="E56" s="30"/>
      <c r="F56" s="30"/>
      <c r="G56" s="30"/>
      <c r="I56" s="23"/>
      <c r="K56" s="21"/>
      <c r="L56" s="92">
        <v>8</v>
      </c>
      <c r="M56" s="11" t="s">
        <v>89</v>
      </c>
      <c r="N56" s="78" t="str">
        <f>IF(AND('[1]Présences-Absences'!AJ71&gt;2,'[1]Présences-Absences'!Z58+'[1]Présences-Absences'!AB58+'[1]Présences-Absences'!AD58+'[1]Présences-Absences'!AF58+'[1]Présences-Absences'!AH58=4),M56,"")</f>
        <v/>
      </c>
      <c r="P56" s="79" t="str">
        <f t="array" ref="P56">INDEX(N$56:N$62,MATCH(Q56,L$56:L$62+ROW($K$56:$K$62)/100,0))</f>
        <v/>
      </c>
      <c r="Q56" s="80">
        <f t="array" ref="Q56">SMALL($L$56:$L$62+ROW($L$56:$L$62)/100,ROWS($S$56:S56))</f>
        <v>8.56</v>
      </c>
      <c r="S56" s="30"/>
      <c r="T56" s="30">
        <f t="shared" ref="T56:T62" si="1">L56+V56</f>
        <v>8</v>
      </c>
      <c r="U56" s="11" t="s">
        <v>89</v>
      </c>
      <c r="V56" s="30">
        <f t="shared" ref="V56:V62" si="2">COUNTIF($C$45:$G$45,U56)</f>
        <v>0</v>
      </c>
      <c r="Z56" s="23"/>
    </row>
    <row r="57" spans="1:26" x14ac:dyDescent="0.25">
      <c r="A57" s="21"/>
      <c r="B57" s="91" t="s">
        <v>103</v>
      </c>
      <c r="C57" s="11"/>
      <c r="D57" s="11"/>
      <c r="E57" s="11"/>
      <c r="F57" s="11"/>
      <c r="G57" s="11"/>
      <c r="I57" s="23"/>
      <c r="K57" s="21"/>
      <c r="L57" s="92">
        <v>12</v>
      </c>
      <c r="M57" s="11" t="s">
        <v>91</v>
      </c>
      <c r="N57" s="78" t="str">
        <f>IF('[1]Présences-Absences'!Z18+'[1]Présences-Absences'!AB18+'[1]Présences-Absences'!AD18+'[1]Présences-Absences'!AF18+'[1]Présences-Absences'!AH18=5,M57,"")</f>
        <v/>
      </c>
      <c r="P57" s="79" t="str">
        <f t="array" ref="P57">INDEX(N$56:N$62,MATCH(Q57,L$56:L$62+ROW($K$56:$K$62)/100,0))</f>
        <v/>
      </c>
      <c r="Q57" s="80">
        <f t="array" ref="Q57">SMALL($L$56:$L$62+ROW($L$56:$L$62)/100,ROWS($S$56:S57))</f>
        <v>9.61</v>
      </c>
      <c r="T57" s="30">
        <f t="shared" si="1"/>
        <v>12</v>
      </c>
      <c r="U57" s="11" t="s">
        <v>91</v>
      </c>
      <c r="V57" s="30">
        <f t="shared" si="2"/>
        <v>0</v>
      </c>
      <c r="Z57" s="23"/>
    </row>
    <row r="58" spans="1:26" x14ac:dyDescent="0.25">
      <c r="A58" s="21"/>
      <c r="B58" s="93" t="s">
        <v>109</v>
      </c>
      <c r="C58" s="30"/>
      <c r="E58" s="93" t="s">
        <v>110</v>
      </c>
      <c r="I58" s="23"/>
      <c r="K58" s="21" t="s">
        <v>90</v>
      </c>
      <c r="L58" s="92">
        <v>11</v>
      </c>
      <c r="M58" s="11" t="s">
        <v>94</v>
      </c>
      <c r="N58" s="78" t="str">
        <f>IF('[1]Présences-Absences'!Z19+'[1]Présences-Absences'!AB19+'[1]Présences-Absences'!AD19+'[1]Présences-Absences'!AF19+'[1]Présences-Absences'!AH19=5,M58,"")</f>
        <v/>
      </c>
      <c r="P58" s="79" t="str">
        <f t="array" ref="P58">INDEX(N$56:N$62,MATCH(Q58,L$56:L$62+ROW($K$56:$K$62)/100,0))</f>
        <v/>
      </c>
      <c r="Q58" s="80">
        <f t="array" ref="Q58">SMALL($L$56:$L$62+ROW($L$56:$L$62)/100,ROWS($S$56:S58))</f>
        <v>11.58</v>
      </c>
      <c r="S58" s="30"/>
      <c r="T58" s="30">
        <f t="shared" si="1"/>
        <v>11</v>
      </c>
      <c r="U58" s="11" t="s">
        <v>94</v>
      </c>
      <c r="V58" s="30">
        <f t="shared" si="2"/>
        <v>0</v>
      </c>
      <c r="Z58" s="23"/>
    </row>
    <row r="59" spans="1:26" x14ac:dyDescent="0.25">
      <c r="A59" s="21"/>
      <c r="C59" s="30"/>
      <c r="D59" s="30"/>
      <c r="I59" s="23"/>
      <c r="K59" s="21" t="s">
        <v>93</v>
      </c>
      <c r="L59" s="92">
        <v>19</v>
      </c>
      <c r="M59" s="11" t="s">
        <v>95</v>
      </c>
      <c r="N59" s="78" t="str">
        <f>IF('[1]Présences-Absences'!Z51+'[1]Présences-Absences'!AB51+'[1]Présences-Absences'!AD51+'[1]Présences-Absences'!AF51+'[1]Présences-Absences'!AH51=5,M59,"")</f>
        <v/>
      </c>
      <c r="P59" s="79" t="str">
        <f t="array" ref="P59">INDEX(N$56:N$62,MATCH(Q59,L$56:L$62+ROW($K$56:$K$62)/100,0))</f>
        <v>STRAZEL D</v>
      </c>
      <c r="Q59" s="80">
        <f t="array" ref="Q59">SMALL($L$56:$L$62+ROW($L$56:$L$62)/100,ROWS($S$56:S59))</f>
        <v>11.62</v>
      </c>
      <c r="S59" s="30"/>
      <c r="T59" s="30">
        <f t="shared" si="1"/>
        <v>19</v>
      </c>
      <c r="U59" s="11" t="s">
        <v>95</v>
      </c>
      <c r="V59" s="30">
        <f t="shared" si="2"/>
        <v>0</v>
      </c>
      <c r="Z59" s="23"/>
    </row>
    <row r="60" spans="1:26" x14ac:dyDescent="0.25">
      <c r="A60" s="24"/>
      <c r="I60" s="23"/>
      <c r="K60" s="21"/>
      <c r="L60" s="92">
        <v>21</v>
      </c>
      <c r="M60" s="11" t="s">
        <v>97</v>
      </c>
      <c r="N60" s="78" t="str">
        <f>IF('[1]Présences-Absences'!Z65+'[1]Présences-Absences'!AB65+'[1]Présences-Absences'!AD65+'[1]Présences-Absences'!AF65+'[1]Présences-Absences'!AH65=5,M60,"")</f>
        <v xml:space="preserve">MAILLARD V </v>
      </c>
      <c r="P60" s="79" t="str">
        <f t="array" ref="P60">INDEX(N$56:N$62,MATCH(Q60,L$56:L$62+ROW($K$56:$K$62)/100,0))</f>
        <v/>
      </c>
      <c r="Q60" s="80">
        <f t="array" ref="Q60">SMALL($L$56:$L$62+ROW($L$56:$L$62)/100,ROWS($S$56:S60))</f>
        <v>12.57</v>
      </c>
      <c r="S60" s="30"/>
      <c r="T60" s="30">
        <f t="shared" si="1"/>
        <v>21</v>
      </c>
      <c r="U60" s="11" t="s">
        <v>97</v>
      </c>
      <c r="V60" s="30">
        <f t="shared" si="2"/>
        <v>0</v>
      </c>
      <c r="Z60" s="23"/>
    </row>
    <row r="61" spans="1:26" ht="15.75" thickBot="1" x14ac:dyDescent="0.3">
      <c r="A61" s="36"/>
      <c r="B61" s="37"/>
      <c r="C61" s="37"/>
      <c r="D61" s="37"/>
      <c r="E61" s="37"/>
      <c r="F61" s="37"/>
      <c r="G61" s="37"/>
      <c r="H61" s="37"/>
      <c r="I61" s="39"/>
      <c r="K61" s="21"/>
      <c r="L61" s="92">
        <v>9</v>
      </c>
      <c r="M61" s="11" t="s">
        <v>98</v>
      </c>
      <c r="N61" s="78" t="str">
        <f>IF('[1]Présences-Absences'!Z39+'[1]Présences-Absences'!AB39+'[1]Présences-Absences'!AF39+'[1]Présences-Absences'!AH39=4,M61,"")</f>
        <v/>
      </c>
      <c r="P61" s="79" t="str">
        <f t="array" ref="P61">INDEX(N$56:N$62,MATCH(Q61,L$56:L$62+ROW($K$56:$K$62)/100,0))</f>
        <v/>
      </c>
      <c r="Q61" s="80">
        <f t="array" ref="Q61">SMALL($L$56:$L$62+ROW($L$56:$L$62)/100,ROWS($S$56:S61))</f>
        <v>19.59</v>
      </c>
      <c r="S61" s="30"/>
      <c r="T61" s="30">
        <f t="shared" si="1"/>
        <v>9</v>
      </c>
      <c r="U61" s="11" t="s">
        <v>98</v>
      </c>
      <c r="V61" s="30">
        <f t="shared" si="2"/>
        <v>0</v>
      </c>
      <c r="Z61" s="23"/>
    </row>
    <row r="62" spans="1:26" x14ac:dyDescent="0.25">
      <c r="A62" s="4"/>
      <c r="K62" s="21"/>
      <c r="L62" s="92">
        <v>11</v>
      </c>
      <c r="M62" s="11" t="s">
        <v>100</v>
      </c>
      <c r="N62" s="78" t="str">
        <f>IF(AND('[1]Présences-Absences'!AJ30=5,'[1]Présences-Absences'!AJ87=5),M62,"")</f>
        <v>STRAZEL D</v>
      </c>
      <c r="P62" s="79" t="str">
        <f t="array" ref="P62">INDEX(N$56:N$62,MATCH(Q62,L$56:L$62+ROW($K$56:$K$62)/100,0))</f>
        <v xml:space="preserve">MAILLARD V </v>
      </c>
      <c r="Q62" s="80">
        <f t="array" ref="Q62">SMALL($L$56:$L$62+ROW($L$56:$L$62)/100,ROWS($S$56:S62))</f>
        <v>21.6</v>
      </c>
      <c r="T62" s="30">
        <f t="shared" si="1"/>
        <v>11</v>
      </c>
      <c r="U62" s="11" t="s">
        <v>100</v>
      </c>
      <c r="V62" s="30">
        <f t="shared" si="2"/>
        <v>0</v>
      </c>
      <c r="Z62" s="23"/>
    </row>
    <row r="63" spans="1:26" ht="15.75" thickBot="1" x14ac:dyDescent="0.3">
      <c r="A63" s="4"/>
      <c r="K63" s="21"/>
      <c r="L63">
        <v>14</v>
      </c>
      <c r="Z63" s="23"/>
    </row>
    <row r="64" spans="1:26" ht="15.75" thickBot="1" x14ac:dyDescent="0.3">
      <c r="A64" s="4"/>
      <c r="K64" s="21" t="s">
        <v>101</v>
      </c>
      <c r="P64" s="82" t="str">
        <f>IF(P56="",IF(P57="",IF(P58="",IF(P59="",IF(P60="",IF(P61="",IF(P62="","",P62),P61),P60),P59),P58),P57),P56)</f>
        <v>STRAZEL D</v>
      </c>
      <c r="Q64" t="s">
        <v>102</v>
      </c>
      <c r="U64" s="30"/>
      <c r="V64" s="30"/>
      <c r="Z64" s="23"/>
    </row>
    <row r="65" spans="1:26" ht="15.75" thickBot="1" x14ac:dyDescent="0.3">
      <c r="A65" s="4"/>
      <c r="K65" s="84"/>
      <c r="L65" s="30"/>
      <c r="S65" s="30"/>
      <c r="T65" s="30"/>
      <c r="U65" s="30"/>
      <c r="V65" s="30"/>
      <c r="Z65" s="23"/>
    </row>
    <row r="66" spans="1:26" ht="15.75" thickBot="1" x14ac:dyDescent="0.3">
      <c r="A66" s="4"/>
      <c r="K66" s="21"/>
      <c r="M66" s="11" t="s">
        <v>104</v>
      </c>
      <c r="P66" s="82" t="str">
        <f>IF(AND(P56&lt;&gt;"",P56&lt;&gt;P64),P56,IF(AND(P57&lt;&gt;"",P57&lt;&gt;P64),P57,IF(AND(P58&lt;&gt;"",P58&lt;&gt;P64),P58,IF(AND(P59&lt;&gt;"",P59&lt;&gt;P64),P59,IF(AND(P60&lt;&gt;"",P60&lt;&gt;P64),P60,IF(AND(P61&lt;&gt;"",P61&lt;&gt;P64),P61,IF(AND(P62&lt;&gt;"",P62&lt;&gt;P64),P62,"")))))))</f>
        <v xml:space="preserve">MAILLARD V </v>
      </c>
      <c r="Q66" s="70" t="s">
        <v>105</v>
      </c>
      <c r="S66" s="30"/>
      <c r="T66" s="30"/>
      <c r="U66" s="30"/>
      <c r="V66" s="30"/>
      <c r="Z66" s="23"/>
    </row>
    <row r="67" spans="1:26" ht="15.75" thickBot="1" x14ac:dyDescent="0.3">
      <c r="A67" s="4"/>
      <c r="K67" s="86"/>
      <c r="L67" s="37"/>
      <c r="M67" s="87"/>
      <c r="N67" s="37"/>
      <c r="O67" s="37"/>
      <c r="P67" s="37"/>
      <c r="Q67" s="37"/>
      <c r="R67" s="37"/>
      <c r="S67" s="37"/>
      <c r="T67" s="37"/>
      <c r="U67" s="37"/>
      <c r="V67" s="37"/>
      <c r="W67" s="37"/>
      <c r="X67" s="37"/>
      <c r="Y67" s="37"/>
      <c r="Z67" s="39"/>
    </row>
    <row r="68" spans="1:26" x14ac:dyDescent="0.25">
      <c r="A68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Attribution postes</vt:lpstr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Acer RDC</dc:creator>
  <cp:lastModifiedBy>PC Acer RDC</cp:lastModifiedBy>
  <dcterms:created xsi:type="dcterms:W3CDTF">2019-11-11T06:49:21Z</dcterms:created>
  <dcterms:modified xsi:type="dcterms:W3CDTF">2019-11-16T11:31:01Z</dcterms:modified>
</cp:coreProperties>
</file>