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M\Downloads\"/>
    </mc:Choice>
  </mc:AlternateContent>
  <bookViews>
    <workbookView xWindow="0" yWindow="0" windowWidth="28800" windowHeight="12135" activeTab="2"/>
  </bookViews>
  <sheets>
    <sheet name="camions" sheetId="1" r:id="rId1"/>
    <sheet name="voitures" sheetId="2" r:id="rId2"/>
    <sheet name="info" sheetId="3" r:id="rId3"/>
    <sheet name="garage" sheetId="4" r:id="rId4"/>
  </sheets>
  <definedNames>
    <definedName name="immatriculation">garage!$F$1</definedName>
    <definedName name="Vehicules">info!$E$1:$E$2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3" i="2" l="1"/>
  <c r="U2" i="2"/>
  <c r="K3" i="2"/>
  <c r="K2" i="2"/>
  <c r="K3" i="1"/>
  <c r="U3" i="1"/>
  <c r="U2" i="1"/>
  <c r="C6" i="3"/>
  <c r="C5" i="3"/>
  <c r="C4" i="3"/>
  <c r="K2" i="1"/>
  <c r="A1" i="3" l="1"/>
  <c r="T2" i="2" l="1"/>
  <c r="T3" i="2"/>
  <c r="H3" i="2"/>
  <c r="L3" i="2" s="1"/>
  <c r="I3" i="2"/>
  <c r="H2" i="2"/>
  <c r="L2" i="2" s="1"/>
  <c r="N2" i="2" s="1"/>
  <c r="I2" i="2"/>
  <c r="T2" i="1"/>
  <c r="I3" i="1"/>
  <c r="T3" i="1"/>
  <c r="H3" i="1"/>
  <c r="L3" i="1" s="1"/>
  <c r="H2" i="1"/>
  <c r="L2" i="1" s="1"/>
  <c r="N2" i="1" s="1"/>
  <c r="M3" i="2" l="1"/>
  <c r="P3" i="2" s="1"/>
  <c r="N3" i="2"/>
  <c r="M2" i="2"/>
  <c r="P2" i="2" s="1"/>
  <c r="Q2" i="2" s="1"/>
  <c r="N3" i="1"/>
  <c r="M3" i="1"/>
  <c r="M2" i="1"/>
  <c r="Q3" i="2" l="1"/>
  <c r="O3" i="2"/>
  <c r="O2" i="2"/>
  <c r="O3" i="1"/>
  <c r="P3" i="1"/>
  <c r="Q3" i="1" s="1"/>
  <c r="O2" i="1"/>
  <c r="P2" i="1"/>
  <c r="Q2" i="1" s="1"/>
</calcChain>
</file>

<file path=xl/sharedStrings.xml><?xml version="1.0" encoding="utf-8"?>
<sst xmlns="http://schemas.openxmlformats.org/spreadsheetml/2006/main" count="80" uniqueCount="55">
  <si>
    <t>immat</t>
  </si>
  <si>
    <t>modele</t>
  </si>
  <si>
    <t>marque</t>
  </si>
  <si>
    <t>date entre</t>
  </si>
  <si>
    <t>date sortie</t>
  </si>
  <si>
    <t>duree contrat</t>
  </si>
  <si>
    <t>km contrat</t>
  </si>
  <si>
    <t>EV-355-NG</t>
  </si>
  <si>
    <t>11M3</t>
  </si>
  <si>
    <t>Peugeot</t>
  </si>
  <si>
    <t>EY-997-KY</t>
  </si>
  <si>
    <t>20M3</t>
  </si>
  <si>
    <t>Renault</t>
  </si>
  <si>
    <t>EP-415-PM</t>
  </si>
  <si>
    <t>Vivaro</t>
  </si>
  <si>
    <t>Opel</t>
  </si>
  <si>
    <t>ES-471-PT</t>
  </si>
  <si>
    <t>Twingo</t>
  </si>
  <si>
    <t>voitures</t>
  </si>
  <si>
    <t>camions</t>
  </si>
  <si>
    <t>loué en jours</t>
  </si>
  <si>
    <t>restant en jours</t>
  </si>
  <si>
    <t>km restant</t>
  </si>
  <si>
    <t>km moy / jour</t>
  </si>
  <si>
    <t>estimation en jours</t>
  </si>
  <si>
    <t>previon km</t>
  </si>
  <si>
    <t>date limite</t>
  </si>
  <si>
    <t>limite atteinte</t>
  </si>
  <si>
    <t>info</t>
  </si>
  <si>
    <t>visite mag</t>
  </si>
  <si>
    <t>visite garage</t>
  </si>
  <si>
    <t>nb jour entretien</t>
  </si>
  <si>
    <t>recherche date</t>
  </si>
  <si>
    <t>loueur</t>
  </si>
  <si>
    <t>durée</t>
  </si>
  <si>
    <t>mois</t>
  </si>
  <si>
    <t>jours</t>
  </si>
  <si>
    <t>louée en jour</t>
  </si>
  <si>
    <t>km moy/jour</t>
  </si>
  <si>
    <t>estimation jours</t>
  </si>
  <si>
    <t>prevision km</t>
  </si>
  <si>
    <t>limite atteint</t>
  </si>
  <si>
    <t>km relevé</t>
  </si>
  <si>
    <t>jour relevé</t>
  </si>
  <si>
    <t>22/01/2020</t>
  </si>
  <si>
    <t>Immat</t>
  </si>
  <si>
    <t>raison</t>
  </si>
  <si>
    <t>date</t>
  </si>
  <si>
    <t>km</t>
  </si>
  <si>
    <t>1ere vidange</t>
  </si>
  <si>
    <t>probleme jauge</t>
  </si>
  <si>
    <t>22/01/2019</t>
  </si>
  <si>
    <t>22/09/2020</t>
  </si>
  <si>
    <t>2ème vidange</t>
  </si>
  <si>
    <t>3ème vidange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</si>
</sst>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  <font>
      <sz val="11"/>
      <color theme="1"/>
      <name val="Calibri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0" fontId="0" fillId="0" borderId="1" xfId="0" applyFont="1" applyBorder="1"/>
    <xf numFmtId="14" fontId="0" fillId="0" borderId="1" xfId="0" applyNumberFormat="1" applyFont="1" applyBorder="1"/>
    <xf numFmtId="164" fontId="0" fillId="0" borderId="1" xfId="1" applyNumberFormat="1" applyFont="1" applyBorder="1"/>
    <xf numFmtId="0" fontId="2" fillId="2" borderId="0" xfId="0" applyFont="1" applyFill="1" applyBorder="1"/>
    <xf numFmtId="164" fontId="2" fillId="2" borderId="0" xfId="1" applyNumberFormat="1" applyFont="1" applyFill="1" applyBorder="1"/>
    <xf numFmtId="0" fontId="2" fillId="2" borderId="0" xfId="0" applyFont="1" applyFill="1"/>
    <xf numFmtId="0" fontId="3" fillId="2" borderId="0" xfId="0" applyFont="1" applyFill="1"/>
    <xf numFmtId="14" fontId="3" fillId="2" borderId="0" xfId="0" applyNumberFormat="1" applyFont="1" applyFill="1"/>
    <xf numFmtId="43" fontId="0" fillId="0" borderId="0" xfId="1" applyFont="1"/>
    <xf numFmtId="43" fontId="3" fillId="2" borderId="0" xfId="1" applyFont="1" applyFill="1"/>
    <xf numFmtId="17" fontId="0" fillId="0" borderId="0" xfId="0" applyNumberFormat="1"/>
    <xf numFmtId="0" fontId="4" fillId="0" borderId="0" xfId="0" applyFont="1" applyBorder="1"/>
    <xf numFmtId="0" fontId="3" fillId="2" borderId="0" xfId="0" applyFont="1" applyFill="1" applyBorder="1"/>
  </cellXfs>
  <cellStyles count="2">
    <cellStyle name="Milliers" xfId="1" builtinId="3"/>
    <cellStyle name="Normal" xfId="0" builtinId="0"/>
  </cellStyles>
  <dxfs count="19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361950</xdr:colOff>
          <xdr:row>9</xdr:row>
          <xdr:rowOff>38100</xdr:rowOff>
        </xdr:from>
        <xdr:to>
          <xdr:col>4</xdr:col>
          <xdr:colOff>142875</xdr:colOff>
          <xdr:row>13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W3" totalsRowShown="0" headerRowDxfId="18" tableBorderDxfId="17">
  <autoFilter ref="A1:W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</autoFilter>
  <tableColumns count="23">
    <tableColumn id="1" name="immat" dataDxfId="16"/>
    <tableColumn id="2" name="modele" dataDxfId="15"/>
    <tableColumn id="3" name="marque" dataDxfId="14"/>
    <tableColumn id="4" name="date entre" dataDxfId="13"/>
    <tableColumn id="5" name="date sortie" dataDxfId="12"/>
    <tableColumn id="6" name="duree contrat" dataDxfId="11"/>
    <tableColumn id="7" name="km contrat" dataDxfId="10" dataCellStyle="Milliers"/>
    <tableColumn id="8" name="loué en jours">
      <calculatedColumnFormula>_xlfn.DAYS(info!$A$1,D2)</calculatedColumnFormula>
    </tableColumn>
    <tableColumn id="9" name="restant en jours">
      <calculatedColumnFormula>_xlfn.DAYS(E2,info!$A$1)</calculatedColumnFormula>
    </tableColumn>
    <tableColumn id="10" name="km relevé"/>
    <tableColumn id="11" name="km restant">
      <calculatedColumnFormula>(Tableau2[[#This Row],[km contrat]]-Tableau2[[#This Row],[km relevé]])</calculatedColumnFormula>
    </tableColumn>
    <tableColumn id="12" name="km moy / jour" dataCellStyle="Milliers">
      <calculatedColumnFormula>J2/H2</calculatedColumnFormula>
    </tableColumn>
    <tableColumn id="13" name="estimation en jours">
      <calculatedColumnFormula>G2/L2</calculatedColumnFormula>
    </tableColumn>
    <tableColumn id="14" name="previon km">
      <calculatedColumnFormula>L2*info!$C$4</calculatedColumnFormula>
    </tableColumn>
    <tableColumn id="15" name="date limite">
      <calculatedColumnFormula>D2+M2</calculatedColumnFormula>
    </tableColumn>
    <tableColumn id="16" name="limite atteinte">
      <calculatedColumnFormula>(info!$C$4-M2)/-30</calculatedColumnFormula>
    </tableColumn>
    <tableColumn id="17" name="info">
      <calculatedColumnFormula>IF(P2&gt;0,"mois après la fin du contrat","mois avant la fin du contrat")</calculatedColumnFormula>
    </tableColumn>
    <tableColumn id="18" name="visite mag"/>
    <tableColumn id="19" name="visite garage"/>
    <tableColumn id="20" name="nb jour entretien">
      <calculatedColumnFormula>_xlfn.DAYS(info!$A$1,U2)</calculatedColumnFormula>
    </tableColumn>
    <tableColumn id="21" name="recherche date">
      <calculatedColumnFormula>MAX(R2:S2)</calculatedColumnFormula>
    </tableColumn>
    <tableColumn id="22" name="loueur"/>
    <tableColumn id="23" name="jour relev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W3" totalsRowShown="0" headerRowDxfId="9" tableBorderDxfId="8">
  <autoFilter ref="A1:W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</autoFilter>
  <tableColumns count="23">
    <tableColumn id="1" name="immat" dataDxfId="7"/>
    <tableColumn id="2" name="modele" dataDxfId="6"/>
    <tableColumn id="3" name="marque" dataDxfId="5"/>
    <tableColumn id="4" name="date entre" dataDxfId="4"/>
    <tableColumn id="5" name="date sortie" dataDxfId="3"/>
    <tableColumn id="6" name="duree contrat" dataDxfId="2"/>
    <tableColumn id="7" name="km contrat" dataDxfId="1" dataCellStyle="Milliers"/>
    <tableColumn id="8" name="louée en jour">
      <calculatedColumnFormula>_xlfn.DAYS(info!$A$1,D2)</calculatedColumnFormula>
    </tableColumn>
    <tableColumn id="9" name="restant en jours">
      <calculatedColumnFormula>_xlfn.DAYS(E2,info!$A$1)</calculatedColumnFormula>
    </tableColumn>
    <tableColumn id="10" name="km relevé"/>
    <tableColumn id="11" name="km restant">
      <calculatedColumnFormula>Tableau1[[#This Row],[km contrat]]-Tableau1[[#This Row],[km relevé]]</calculatedColumnFormula>
    </tableColumn>
    <tableColumn id="12" name="km moy/jour" dataCellStyle="Milliers">
      <calculatedColumnFormula>J2/H2</calculatedColumnFormula>
    </tableColumn>
    <tableColumn id="13" name="estimation jours" dataCellStyle="Milliers">
      <calculatedColumnFormula>G2/L2</calculatedColumnFormula>
    </tableColumn>
    <tableColumn id="14" name="prevision km">
      <calculatedColumnFormula>L2*info!$C$6</calculatedColumnFormula>
    </tableColumn>
    <tableColumn id="15" name="date limite">
      <calculatedColumnFormula>D2+M2</calculatedColumnFormula>
    </tableColumn>
    <tableColumn id="16" name="limite atteint">
      <calculatedColumnFormula>(info!$C$6-M2)/-30</calculatedColumnFormula>
    </tableColumn>
    <tableColumn id="17" name="info">
      <calculatedColumnFormula>IF(P2&gt;0,"mois après la fin du contrat","mois avant la fin du contrat")</calculatedColumnFormula>
    </tableColumn>
    <tableColumn id="18" name="visite mag"/>
    <tableColumn id="19" name="visite garage"/>
    <tableColumn id="20" name="nb jour entretien">
      <calculatedColumnFormula>_xlfn.DAYS(info!$A$1,U2)</calculatedColumnFormula>
    </tableColumn>
    <tableColumn id="21" name="recherche date">
      <calculatedColumnFormula>MAX(R2:S2)</calculatedColumnFormula>
    </tableColumn>
    <tableColumn id="22" name="loueur"/>
    <tableColumn id="23" name="jour relev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D6" totalsRowShown="0">
  <autoFilter ref="A1:D6">
    <filterColumn colId="0">
      <filters>
        <filter val="EY-997-KY"/>
      </filters>
    </filterColumn>
  </autoFilter>
  <tableColumns count="4">
    <tableColumn id="1" name="Immat"/>
    <tableColumn id="2" name="raison"/>
    <tableColumn id="3" name="date" dataDxfId="0"/>
    <tableColumn id="4" name="km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000"/>
  <sheetViews>
    <sheetView workbookViewId="0">
      <selection activeCell="M9" sqref="M9"/>
    </sheetView>
  </sheetViews>
  <sheetFormatPr baseColWidth="10" defaultRowHeight="15" x14ac:dyDescent="0.25"/>
  <cols>
    <col min="4" max="4" width="12.42578125" customWidth="1"/>
    <col min="5" max="5" width="12.7109375" customWidth="1"/>
    <col min="6" max="6" width="15.140625" customWidth="1"/>
    <col min="7" max="7" width="14" style="2" customWidth="1"/>
    <col min="9" max="9" width="17.140625" bestFit="1" customWidth="1"/>
    <col min="12" max="12" width="13.28515625" style="11" bestFit="1" customWidth="1"/>
    <col min="13" max="13" width="18.28515625" bestFit="1" customWidth="1"/>
    <col min="14" max="14" width="11.85546875" bestFit="1" customWidth="1"/>
    <col min="17" max="17" width="25.140625" bestFit="1" customWidth="1"/>
    <col min="20" max="20" width="16.28515625" bestFit="1" customWidth="1"/>
    <col min="21" max="21" width="14.28515625" bestFit="1" customWidth="1"/>
  </cols>
  <sheetData>
    <row r="1" spans="1:23" x14ac:dyDescent="0.25">
      <c r="A1" s="15" t="s">
        <v>0</v>
      </c>
      <c r="B1" s="15" t="s">
        <v>1</v>
      </c>
      <c r="C1" s="15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8" t="s">
        <v>20</v>
      </c>
      <c r="I1" s="9" t="s">
        <v>21</v>
      </c>
      <c r="J1" s="10" t="s">
        <v>42</v>
      </c>
      <c r="K1" s="9" t="s">
        <v>22</v>
      </c>
      <c r="L1" s="12" t="s">
        <v>23</v>
      </c>
      <c r="M1" s="9" t="s">
        <v>24</v>
      </c>
      <c r="N1" s="9" t="s">
        <v>25</v>
      </c>
      <c r="O1" s="9" t="s">
        <v>26</v>
      </c>
      <c r="P1" s="9" t="s">
        <v>27</v>
      </c>
      <c r="Q1" s="9" t="s">
        <v>28</v>
      </c>
      <c r="R1" s="9" t="s">
        <v>29</v>
      </c>
      <c r="S1" s="9" t="s">
        <v>30</v>
      </c>
      <c r="T1" s="9" t="s">
        <v>31</v>
      </c>
      <c r="U1" s="9" t="s">
        <v>32</v>
      </c>
      <c r="V1" s="9" t="s">
        <v>33</v>
      </c>
      <c r="W1" s="9" t="s">
        <v>43</v>
      </c>
    </row>
    <row r="2" spans="1:23" x14ac:dyDescent="0.25">
      <c r="A2" s="14" t="s">
        <v>7</v>
      </c>
      <c r="B2" s="14" t="s">
        <v>8</v>
      </c>
      <c r="C2" s="14" t="s">
        <v>9</v>
      </c>
      <c r="D2" s="4">
        <v>43222</v>
      </c>
      <c r="E2" s="4">
        <v>43952</v>
      </c>
      <c r="F2" s="3">
        <v>24</v>
      </c>
      <c r="G2" s="5">
        <v>70000</v>
      </c>
      <c r="H2">
        <f ca="1">_xlfn.DAYS(info!$A$1,D2)</f>
        <v>560</v>
      </c>
      <c r="I2">
        <v>47410</v>
      </c>
      <c r="J2">
        <v>45555</v>
      </c>
      <c r="K2">
        <f>(Tableau2[[#This Row],[km contrat]]-Tableau2[[#This Row],[km relevé]])</f>
        <v>24445</v>
      </c>
      <c r="L2" s="11">
        <f ca="1">J2/H2</f>
        <v>81.348214285714292</v>
      </c>
      <c r="M2" s="11">
        <f ca="1">G2/L2</f>
        <v>860.49829875974092</v>
      </c>
      <c r="N2" s="2">
        <f ca="1">L2*info!$C$4</f>
        <v>59384.196428571435</v>
      </c>
      <c r="O2" s="1">
        <f ca="1">D2+M2</f>
        <v>44082.49829875974</v>
      </c>
      <c r="P2" s="2">
        <f ca="1">(info!$C$4-M2)/-30</f>
        <v>4.3499432919913641</v>
      </c>
      <c r="Q2" t="str">
        <f ca="1">IF(P2&gt;0,"mois après la fin du contrat","mois avant la fin du contrat")</f>
        <v>mois après la fin du contrat</v>
      </c>
      <c r="R2" s="1">
        <v>43648</v>
      </c>
      <c r="T2">
        <f ca="1">_xlfn.DAYS(info!$A$1,U2)</f>
        <v>134</v>
      </c>
      <c r="U2" s="1">
        <f>MAX(R2:S2)</f>
        <v>43648</v>
      </c>
      <c r="W2" s="1" t="s">
        <v>52</v>
      </c>
    </row>
    <row r="3" spans="1:23" x14ac:dyDescent="0.25">
      <c r="A3" s="3" t="s">
        <v>10</v>
      </c>
      <c r="B3" s="3" t="s">
        <v>11</v>
      </c>
      <c r="C3" s="3" t="s">
        <v>12</v>
      </c>
      <c r="D3" s="4">
        <v>43283</v>
      </c>
      <c r="E3" s="4">
        <v>44013</v>
      </c>
      <c r="F3" s="3">
        <v>24</v>
      </c>
      <c r="G3" s="5">
        <v>70000</v>
      </c>
      <c r="H3">
        <f ca="1">_xlfn.DAYS(info!$A$1,D3)</f>
        <v>499</v>
      </c>
      <c r="I3">
        <f ca="1">_xlfn.DAYS(E3,info!$A$1)</f>
        <v>231</v>
      </c>
      <c r="J3">
        <v>14444</v>
      </c>
      <c r="K3">
        <f>(Tableau2[[#This Row],[km contrat]]-Tableau2[[#This Row],[km relevé]])</f>
        <v>55556</v>
      </c>
      <c r="L3" s="11">
        <f ca="1">J3/H3</f>
        <v>28.945891783567134</v>
      </c>
      <c r="M3" s="11">
        <f ca="1">G3/L3</f>
        <v>2418.3051786208807</v>
      </c>
      <c r="N3" s="2">
        <f ca="1">L3*info!$C$4</f>
        <v>21130.501002004006</v>
      </c>
      <c r="O3" s="1">
        <f ca="1">D3+M3</f>
        <v>45701.305178620882</v>
      </c>
      <c r="P3" s="2">
        <f ca="1">(info!$C$4-M3)/-30</f>
        <v>56.276839287362691</v>
      </c>
      <c r="Q3" t="str">
        <f ca="1">IF(P3&gt;0,"mois après la fin du contrat","mois avant la fin du contrat")</f>
        <v>mois après la fin du contrat</v>
      </c>
      <c r="R3" s="1">
        <v>43649</v>
      </c>
      <c r="T3">
        <f ca="1">_xlfn.DAYS(info!$A$1,U3)</f>
        <v>133</v>
      </c>
      <c r="U3" s="1">
        <f>MAX(R3:S3)</f>
        <v>43649</v>
      </c>
      <c r="W3" s="1">
        <v>43517</v>
      </c>
    </row>
    <row r="1000" spans="10:10" x14ac:dyDescent="0.25">
      <c r="J1000" s="13"/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3"/>
  <sheetViews>
    <sheetView workbookViewId="0">
      <selection activeCell="X1" sqref="X1:Z1048576"/>
    </sheetView>
  </sheetViews>
  <sheetFormatPr baseColWidth="10" defaultRowHeight="15" x14ac:dyDescent="0.25"/>
  <cols>
    <col min="4" max="4" width="12.42578125" customWidth="1"/>
    <col min="5" max="5" width="12.7109375" customWidth="1"/>
    <col min="6" max="6" width="15.140625" customWidth="1"/>
    <col min="7" max="7" width="14" style="2" customWidth="1"/>
    <col min="9" max="9" width="14.85546875" bestFit="1" customWidth="1"/>
    <col min="10" max="10" width="10.7109375" bestFit="1" customWidth="1"/>
    <col min="12" max="12" width="11.42578125" style="11"/>
    <col min="13" max="13" width="8.140625" style="11" customWidth="1"/>
    <col min="14" max="14" width="14.7109375" bestFit="1" customWidth="1"/>
    <col min="17" max="17" width="25.140625" bestFit="1" customWidth="1"/>
  </cols>
  <sheetData>
    <row r="1" spans="1:23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8" t="s">
        <v>37</v>
      </c>
      <c r="I1" s="9" t="s">
        <v>21</v>
      </c>
      <c r="J1" s="10" t="s">
        <v>42</v>
      </c>
      <c r="K1" s="9" t="s">
        <v>22</v>
      </c>
      <c r="L1" s="12" t="s">
        <v>38</v>
      </c>
      <c r="M1" s="12" t="s">
        <v>39</v>
      </c>
      <c r="N1" s="9" t="s">
        <v>40</v>
      </c>
      <c r="O1" s="9" t="s">
        <v>26</v>
      </c>
      <c r="P1" s="9" t="s">
        <v>41</v>
      </c>
      <c r="Q1" s="9" t="s">
        <v>28</v>
      </c>
      <c r="R1" s="9" t="s">
        <v>29</v>
      </c>
      <c r="S1" s="9" t="s">
        <v>30</v>
      </c>
      <c r="T1" s="9" t="s">
        <v>31</v>
      </c>
      <c r="U1" s="9" t="s">
        <v>32</v>
      </c>
      <c r="V1" s="9" t="s">
        <v>33</v>
      </c>
      <c r="W1" s="9" t="s">
        <v>43</v>
      </c>
    </row>
    <row r="2" spans="1:23" x14ac:dyDescent="0.25">
      <c r="A2" s="3" t="s">
        <v>13</v>
      </c>
      <c r="B2" s="3" t="s">
        <v>14</v>
      </c>
      <c r="C2" s="3" t="s">
        <v>15</v>
      </c>
      <c r="D2" s="4">
        <v>42948</v>
      </c>
      <c r="E2" s="4">
        <v>44043</v>
      </c>
      <c r="F2" s="3">
        <v>36</v>
      </c>
      <c r="G2" s="5">
        <v>120000</v>
      </c>
      <c r="H2">
        <f ca="1">_xlfn.DAYS(info!$A$1,D2)</f>
        <v>834</v>
      </c>
      <c r="I2">
        <f ca="1">_xlfn.DAYS(E2,info!$A$1)</f>
        <v>261</v>
      </c>
      <c r="J2">
        <v>46000</v>
      </c>
      <c r="K2">
        <f>Tableau1[[#This Row],[km contrat]]-Tableau1[[#This Row],[km relevé]]</f>
        <v>74000</v>
      </c>
      <c r="L2" s="11">
        <f ca="1">J2/H2</f>
        <v>55.15587529976019</v>
      </c>
      <c r="M2" s="2">
        <f ca="1">G2/L2</f>
        <v>2175.6521739130435</v>
      </c>
      <c r="N2" s="2">
        <f ca="1">L2*info!$C$6</f>
        <v>60395.683453237405</v>
      </c>
      <c r="O2" s="1">
        <f ca="1">D2+M2</f>
        <v>45123.65217391304</v>
      </c>
      <c r="P2" s="2">
        <f ca="1">(info!$C$6-M2)/-30</f>
        <v>36.021739130434781</v>
      </c>
      <c r="Q2" t="str">
        <f ca="1">IF(P2&gt;0,"mois après la fin du contrat","mois avant la fin du contrat")</f>
        <v>mois après la fin du contrat</v>
      </c>
      <c r="R2" s="1">
        <v>43648</v>
      </c>
      <c r="T2">
        <f ca="1">_xlfn.DAYS(info!$A$1,U2)</f>
        <v>134</v>
      </c>
      <c r="U2" s="1">
        <f>MAX(R2:S2)</f>
        <v>43648</v>
      </c>
      <c r="W2" s="1" t="s">
        <v>44</v>
      </c>
    </row>
    <row r="3" spans="1:23" x14ac:dyDescent="0.25">
      <c r="A3" s="3" t="s">
        <v>16</v>
      </c>
      <c r="B3" s="3" t="s">
        <v>17</v>
      </c>
      <c r="C3" s="3" t="s">
        <v>12</v>
      </c>
      <c r="D3" s="4">
        <v>43132</v>
      </c>
      <c r="E3" s="4">
        <v>43861</v>
      </c>
      <c r="F3" s="3">
        <v>24</v>
      </c>
      <c r="G3" s="5">
        <v>30000</v>
      </c>
      <c r="H3">
        <f ca="1">_xlfn.DAYS(info!$A$1,D3)</f>
        <v>650</v>
      </c>
      <c r="I3">
        <f ca="1">_xlfn.DAYS(E3,info!$A$1)</f>
        <v>79</v>
      </c>
      <c r="J3">
        <v>23227</v>
      </c>
      <c r="K3">
        <f>Tableau1[[#This Row],[km contrat]]-Tableau1[[#This Row],[km relevé]]</f>
        <v>6773</v>
      </c>
      <c r="L3" s="11">
        <f ca="1">J3/H3</f>
        <v>35.733846153846152</v>
      </c>
      <c r="M3" s="2">
        <f ca="1">G3/L3</f>
        <v>839.54019029577648</v>
      </c>
      <c r="N3" s="2">
        <f ca="1">L3*info!$C$6</f>
        <v>39128.561538461538</v>
      </c>
      <c r="O3" s="1">
        <f ca="1">D3+M3</f>
        <v>43971.540190295775</v>
      </c>
      <c r="P3" s="2">
        <f ca="1">(info!$C$4-M3)/-30</f>
        <v>3.651339676525883</v>
      </c>
      <c r="Q3" t="str">
        <f ca="1">IF(P3&gt;0,"mois après la fin du contrat","mois avant la fin du contrat")</f>
        <v>mois après la fin du contrat</v>
      </c>
      <c r="R3" s="1">
        <v>43649</v>
      </c>
      <c r="T3">
        <f ca="1">_xlfn.DAYS(info!$A$1,U3)</f>
        <v>133</v>
      </c>
      <c r="U3" s="1">
        <f>MAX(R3:S3)</f>
        <v>43649</v>
      </c>
      <c r="W3" s="1">
        <v>43517</v>
      </c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000"/>
  <sheetViews>
    <sheetView tabSelected="1" workbookViewId="0">
      <selection activeCell="F8" sqref="F8"/>
    </sheetView>
  </sheetViews>
  <sheetFormatPr baseColWidth="10" defaultRowHeight="15" x14ac:dyDescent="0.25"/>
  <sheetData>
    <row r="1" spans="1:5" x14ac:dyDescent="0.25">
      <c r="A1" s="1">
        <f ca="1">TODAY()</f>
        <v>43782</v>
      </c>
      <c r="E1" t="s">
        <v>18</v>
      </c>
    </row>
    <row r="2" spans="1:5" x14ac:dyDescent="0.25">
      <c r="E2" t="s">
        <v>19</v>
      </c>
    </row>
    <row r="3" spans="1:5" x14ac:dyDescent="0.25">
      <c r="A3" t="s">
        <v>34</v>
      </c>
      <c r="B3" t="s">
        <v>35</v>
      </c>
      <c r="C3" t="s">
        <v>36</v>
      </c>
    </row>
    <row r="4" spans="1:5" x14ac:dyDescent="0.25">
      <c r="B4">
        <v>24</v>
      </c>
      <c r="C4">
        <f>365*2</f>
        <v>730</v>
      </c>
    </row>
    <row r="5" spans="1:5" x14ac:dyDescent="0.25">
      <c r="B5">
        <v>26</v>
      </c>
      <c r="C5">
        <f>365*2+60</f>
        <v>790</v>
      </c>
    </row>
    <row r="6" spans="1:5" x14ac:dyDescent="0.25">
      <c r="B6">
        <v>36</v>
      </c>
      <c r="C6">
        <f>365*3</f>
        <v>1095</v>
      </c>
    </row>
    <row r="1000" spans="10:11" x14ac:dyDescent="0.25">
      <c r="J1000" s="13" t="s">
        <v>51</v>
      </c>
      <c r="K1000">
        <v>54000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er">
                <anchor moveWithCells="1" sizeWithCells="1">
                  <from>
                    <xdr:col>1</xdr:col>
                    <xdr:colOff>361950</xdr:colOff>
                    <xdr:row>9</xdr:row>
                    <xdr:rowOff>38100</xdr:rowOff>
                  </from>
                  <to>
                    <xdr:col>4</xdr:col>
                    <xdr:colOff>142875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"/>
  <sheetViews>
    <sheetView workbookViewId="0">
      <selection activeCell="G11" sqref="G11"/>
    </sheetView>
  </sheetViews>
  <sheetFormatPr baseColWidth="10" defaultRowHeight="15" x14ac:dyDescent="0.25"/>
  <cols>
    <col min="1" max="1" width="13" customWidth="1"/>
    <col min="2" max="2" width="15" customWidth="1"/>
    <col min="3" max="3" width="13" customWidth="1"/>
  </cols>
  <sheetData>
    <row r="1" spans="1:4" x14ac:dyDescent="0.25">
      <c r="A1" t="s">
        <v>45</v>
      </c>
      <c r="B1" t="s">
        <v>46</v>
      </c>
      <c r="C1" t="s">
        <v>47</v>
      </c>
      <c r="D1" t="s">
        <v>48</v>
      </c>
    </row>
    <row r="2" spans="1:4" x14ac:dyDescent="0.25">
      <c r="A2" t="s">
        <v>10</v>
      </c>
      <c r="B2" t="s">
        <v>49</v>
      </c>
      <c r="C2" s="1">
        <v>43122</v>
      </c>
      <c r="D2">
        <v>20000</v>
      </c>
    </row>
    <row r="3" spans="1:4" hidden="1" x14ac:dyDescent="0.25">
      <c r="A3" t="s">
        <v>13</v>
      </c>
      <c r="B3" t="s">
        <v>50</v>
      </c>
      <c r="C3" s="1">
        <v>43160</v>
      </c>
      <c r="D3">
        <v>35000</v>
      </c>
    </row>
    <row r="4" spans="1:4" hidden="1" x14ac:dyDescent="0.25">
      <c r="A4" t="s">
        <v>7</v>
      </c>
      <c r="B4" t="s">
        <v>53</v>
      </c>
      <c r="C4" s="1">
        <v>43198</v>
      </c>
      <c r="D4">
        <v>50000</v>
      </c>
    </row>
    <row r="5" spans="1:4" hidden="1" x14ac:dyDescent="0.25">
      <c r="A5" t="s">
        <v>16</v>
      </c>
      <c r="B5" t="s">
        <v>50</v>
      </c>
      <c r="C5" s="1">
        <v>43236</v>
      </c>
      <c r="D5">
        <v>65000</v>
      </c>
    </row>
    <row r="6" spans="1:4" hidden="1" x14ac:dyDescent="0.25">
      <c r="A6" t="s">
        <v>7</v>
      </c>
      <c r="B6" t="s">
        <v>54</v>
      </c>
      <c r="C6" s="1">
        <v>43274</v>
      </c>
      <c r="D6">
        <v>80000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camions</vt:lpstr>
      <vt:lpstr>voitures</vt:lpstr>
      <vt:lpstr>info</vt:lpstr>
      <vt:lpstr>garage</vt:lpstr>
      <vt:lpstr>immatriculation</vt:lpstr>
      <vt:lpstr>Vehicules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2019-11-08T08:13:59Z</dcterms:created>
  <dcterms:modified xsi:type="dcterms:W3CDTF">2019-11-13T15:02:47Z</dcterms:modified>
</cp:coreProperties>
</file>