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10CD9394-227D-4910-BBF6-BD7C24C19A30}" xr6:coauthVersionLast="47" xr6:coauthVersionMax="47" xr10:uidLastSave="{00000000-0000-0000-0000-000000000000}"/>
  <bookViews>
    <workbookView xWindow="-110" yWindow="-110" windowWidth="38620" windowHeight="21820" xr2:uid="{18B5AA9D-D230-4707-9CCD-1B6232C3F56B}"/>
  </bookViews>
  <sheets>
    <sheet name="base de travail" sheetId="1" r:id="rId1"/>
    <sheet name="rem par age" sheetId="2" r:id="rId2"/>
    <sheet name="rem par ancienneté" sheetId="3" r:id="rId3"/>
  </sheets>
  <functionGroups builtInGroupCount="19"/>
  <definedNames>
    <definedName name="Age">OFFSET('base de travail'!$E$2,,,COUNTA('base de travail'!$E$2:$E$1029),1)</definedName>
    <definedName name="Ancienneté">OFFSET('base de travail'!$F$2,,,COUNTA('base de travail'!$F$2:$F$1029),1)</definedName>
    <definedName name="ChoixAbscisse">OFFSET('base de travail'!$M$2,,,COUNTA('base de travail'!$M$2:$M$1029),1)</definedName>
    <definedName name="ChoixEntité">OFFSET('base de travail'!$R$2,,,COUNTA('base de travail'!$R$2:$R$1029),1)</definedName>
    <definedName name="ChoixFemme">OFFSET('base de travail'!$O$2,,,COUNTA('base de travail'!$N$2:$N$1029),1)</definedName>
    <definedName name="ChoixHomme">OFFSET('base de travail'!$N$2,,,COUNTA('base de travail'!$N$2:$N$1029),1)</definedName>
    <definedName name="ChoixMixte">OFFSET('base de travail'!$P$2,,,COUNTA('base de travail'!$P$2:$P$1029),1)</definedName>
    <definedName name="Liste">'base de travail'!$A$2:$A$66</definedName>
    <definedName name="MesPointsIndex">'base de travail'!$V$2</definedName>
    <definedName name="Nom">OFFSET('base de travail'!$A$2,,,COUNTA('base de travail'!$A$2:$A$1029),1)</definedName>
    <definedName name="Noms">OFFSET('base de travail'!$AD$1,,,MAX(IF('base de travail'!$AD:$AD&lt;&gt;"",ROW('base de travail'!$AD:$AD))),)</definedName>
    <definedName name="Rémunération">OFFSET('base de travail'!$L$2,,,COUNTA('base de travail'!$L$2:$L$1029)-1,1)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5" i="1" l="1"/>
  <c r="K45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R2" i="1"/>
  <c r="Q2" i="1"/>
  <c r="P12" i="1"/>
  <c r="P14" i="1"/>
  <c r="P24" i="1"/>
  <c r="P26" i="1"/>
  <c r="P36" i="1"/>
  <c r="P38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3" i="1"/>
  <c r="O34" i="1"/>
  <c r="O35" i="1"/>
  <c r="O36" i="1"/>
  <c r="O37" i="1"/>
  <c r="O38" i="1"/>
  <c r="O40" i="1"/>
  <c r="O42" i="1"/>
  <c r="O2" i="1"/>
  <c r="N4" i="1"/>
  <c r="N14" i="1"/>
  <c r="N16" i="1"/>
  <c r="N26" i="1"/>
  <c r="N28" i="1"/>
  <c r="N32" i="1"/>
  <c r="N38" i="1"/>
  <c r="N39" i="1"/>
  <c r="N40" i="1"/>
  <c r="N41" i="1"/>
  <c r="L42" i="1"/>
  <c r="N42" i="1" s="1"/>
  <c r="L41" i="1"/>
  <c r="P41" i="1" s="1"/>
  <c r="L40" i="1"/>
  <c r="P40" i="1" s="1"/>
  <c r="L39" i="1"/>
  <c r="P39" i="1" s="1"/>
  <c r="L38" i="1"/>
  <c r="L37" i="1"/>
  <c r="N37" i="1" s="1"/>
  <c r="L36" i="1"/>
  <c r="N36" i="1" s="1"/>
  <c r="L35" i="1"/>
  <c r="N35" i="1" s="1"/>
  <c r="L34" i="1"/>
  <c r="N34" i="1" s="1"/>
  <c r="L33" i="1"/>
  <c r="N33" i="1" s="1"/>
  <c r="L32" i="1"/>
  <c r="P32" i="1" s="1"/>
  <c r="L31" i="1"/>
  <c r="N31" i="1" s="1"/>
  <c r="L30" i="1"/>
  <c r="N30" i="1" s="1"/>
  <c r="L29" i="1"/>
  <c r="N29" i="1" s="1"/>
  <c r="L28" i="1"/>
  <c r="P28" i="1" s="1"/>
  <c r="L27" i="1"/>
  <c r="P27" i="1" s="1"/>
  <c r="L26" i="1"/>
  <c r="L25" i="1"/>
  <c r="N25" i="1" s="1"/>
  <c r="L24" i="1"/>
  <c r="N24" i="1" s="1"/>
  <c r="L23" i="1"/>
  <c r="N23" i="1" s="1"/>
  <c r="L22" i="1"/>
  <c r="N22" i="1" s="1"/>
  <c r="L21" i="1"/>
  <c r="N21" i="1" s="1"/>
  <c r="L20" i="1"/>
  <c r="N20" i="1" s="1"/>
  <c r="L19" i="1"/>
  <c r="N19" i="1" s="1"/>
  <c r="L18" i="1"/>
  <c r="N18" i="1" s="1"/>
  <c r="L17" i="1"/>
  <c r="N17" i="1" s="1"/>
  <c r="L16" i="1"/>
  <c r="P16" i="1" s="1"/>
  <c r="L15" i="1"/>
  <c r="P15" i="1" s="1"/>
  <c r="L14" i="1"/>
  <c r="L13" i="1"/>
  <c r="N13" i="1" s="1"/>
  <c r="L12" i="1"/>
  <c r="N12" i="1" s="1"/>
  <c r="L11" i="1"/>
  <c r="N11" i="1" s="1"/>
  <c r="L10" i="1"/>
  <c r="N10" i="1" s="1"/>
  <c r="L9" i="1"/>
  <c r="N9" i="1" s="1"/>
  <c r="L8" i="1"/>
  <c r="N8" i="1" s="1"/>
  <c r="L7" i="1"/>
  <c r="N7" i="1" s="1"/>
  <c r="L6" i="1"/>
  <c r="N6" i="1" s="1"/>
  <c r="L5" i="1"/>
  <c r="N5" i="1" s="1"/>
  <c r="L4" i="1"/>
  <c r="P4" i="1" s="1"/>
  <c r="L3" i="1"/>
  <c r="P3" i="1" s="1"/>
  <c r="L2" i="1"/>
  <c r="N2" i="1" s="1"/>
  <c r="M2" i="1"/>
  <c r="M14" i="1"/>
  <c r="M26" i="1"/>
  <c r="M38" i="1"/>
  <c r="M3" i="1"/>
  <c r="M15" i="1"/>
  <c r="M27" i="1"/>
  <c r="M39" i="1"/>
  <c r="M23" i="1"/>
  <c r="M4" i="1"/>
  <c r="M16" i="1"/>
  <c r="M28" i="1"/>
  <c r="M40" i="1"/>
  <c r="M24" i="1"/>
  <c r="M5" i="1"/>
  <c r="M17" i="1"/>
  <c r="M29" i="1"/>
  <c r="M41" i="1"/>
  <c r="M37" i="1"/>
  <c r="M6" i="1"/>
  <c r="M18" i="1"/>
  <c r="M30" i="1"/>
  <c r="M42" i="1"/>
  <c r="M35" i="1"/>
  <c r="M7" i="1"/>
  <c r="M19" i="1"/>
  <c r="M31" i="1"/>
  <c r="M25" i="1"/>
  <c r="M8" i="1"/>
  <c r="M20" i="1"/>
  <c r="M32" i="1"/>
  <c r="M13" i="1"/>
  <c r="M9" i="1"/>
  <c r="M21" i="1"/>
  <c r="M33" i="1"/>
  <c r="M34" i="1"/>
  <c r="M36" i="1"/>
  <c r="M10" i="1"/>
  <c r="M22" i="1"/>
  <c r="M12" i="1"/>
  <c r="M11" i="1"/>
  <c r="N27" i="1" l="1"/>
  <c r="N15" i="1"/>
  <c r="N3" i="1"/>
  <c r="O32" i="1"/>
  <c r="P37" i="1"/>
  <c r="P25" i="1"/>
  <c r="P13" i="1"/>
  <c r="P35" i="1"/>
  <c r="P23" i="1"/>
  <c r="P11" i="1"/>
  <c r="O41" i="1"/>
  <c r="P34" i="1"/>
  <c r="P22" i="1"/>
  <c r="P10" i="1"/>
  <c r="P33" i="1"/>
  <c r="P21" i="1"/>
  <c r="P9" i="1"/>
  <c r="O39" i="1"/>
  <c r="P20" i="1"/>
  <c r="P8" i="1"/>
  <c r="P2" i="1"/>
  <c r="P31" i="1"/>
  <c r="P19" i="1"/>
  <c r="P7" i="1"/>
  <c r="P42" i="1"/>
  <c r="P30" i="1"/>
  <c r="P18" i="1"/>
  <c r="P6" i="1"/>
  <c r="P29" i="1"/>
  <c r="P17" i="1"/>
  <c r="P5" i="1"/>
  <c r="S10" i="1"/>
  <c r="S9" i="1"/>
  <c r="T10" i="1"/>
  <c r="S29" i="1"/>
  <c r="S28" i="1"/>
  <c r="T28" i="1"/>
  <c r="T30" i="1"/>
  <c r="S31" i="1"/>
  <c r="S30" i="1"/>
  <c r="S4" i="1"/>
  <c r="T4" i="1"/>
  <c r="AD2" i="1" a="1"/>
  <c r="AD2" i="1" s="1"/>
  <c r="AD3" i="1" s="1" a="1"/>
  <c r="AD3" i="1" s="1"/>
  <c r="AD4" i="1" l="1" a="1"/>
  <c r="AD4" i="1" s="1"/>
  <c r="AD5" i="1" s="1" a="1"/>
  <c r="AD5" i="1" s="1"/>
  <c r="T9" i="1"/>
  <c r="T14" i="1"/>
  <c r="S14" i="1"/>
  <c r="S15" i="1"/>
  <c r="T15" i="1"/>
  <c r="T11" i="1"/>
  <c r="S11" i="1"/>
  <c r="T29" i="1"/>
  <c r="T12" i="1"/>
  <c r="S12" i="1"/>
  <c r="T16" i="1"/>
  <c r="S16" i="1"/>
  <c r="T13" i="1"/>
  <c r="S13" i="1"/>
  <c r="T23" i="1"/>
  <c r="S23" i="1"/>
  <c r="T20" i="1"/>
  <c r="S20" i="1"/>
  <c r="S21" i="1"/>
  <c r="T21" i="1"/>
  <c r="T22" i="1"/>
  <c r="S22" i="1"/>
  <c r="T24" i="1"/>
  <c r="S24" i="1"/>
  <c r="S19" i="1"/>
  <c r="T19" i="1"/>
  <c r="T17" i="1"/>
  <c r="S17" i="1"/>
  <c r="T18" i="1"/>
  <c r="S18" i="1"/>
  <c r="T31" i="1"/>
  <c r="S25" i="1"/>
  <c r="T25" i="1"/>
  <c r="T32" i="1"/>
  <c r="S32" i="1"/>
  <c r="T26" i="1"/>
  <c r="S26" i="1"/>
  <c r="T27" i="1"/>
  <c r="S27" i="1"/>
  <c r="T37" i="1"/>
  <c r="S37" i="1"/>
  <c r="T38" i="1"/>
  <c r="S38" i="1"/>
  <c r="T35" i="1"/>
  <c r="S35" i="1"/>
  <c r="T39" i="1"/>
  <c r="S39" i="1"/>
  <c r="T34" i="1"/>
  <c r="S34" i="1"/>
  <c r="T36" i="1"/>
  <c r="S36" i="1"/>
  <c r="T33" i="1"/>
  <c r="S33" i="1"/>
  <c r="T40" i="1"/>
  <c r="S40" i="1"/>
  <c r="T41" i="1"/>
  <c r="S41" i="1"/>
  <c r="T42" i="1"/>
  <c r="S42" i="1"/>
  <c r="S3" i="1"/>
  <c r="T3" i="1"/>
  <c r="S5" i="1"/>
  <c r="T5" i="1"/>
  <c r="S6" i="1"/>
  <c r="T6" i="1"/>
  <c r="S7" i="1"/>
  <c r="T7" i="1"/>
  <c r="S8" i="1"/>
  <c r="T8" i="1"/>
  <c r="AD6" i="1" l="1" a="1"/>
  <c r="AD6" i="1" s="1"/>
  <c r="AD7" i="1" l="1" a="1"/>
  <c r="AD7" i="1" s="1"/>
  <c r="AD8" i="1" s="1" a="1"/>
  <c r="AD8" i="1" s="1"/>
  <c r="K48" i="1"/>
  <c r="K47" i="1"/>
  <c r="AD9" i="1" l="1" a="1"/>
  <c r="AD9" i="1" s="1"/>
  <c r="AD10" i="1" s="1" a="1"/>
  <c r="AD10" i="1" s="1"/>
  <c r="AD11" i="1" s="1" a="1"/>
  <c r="AD11" i="1" s="1"/>
  <c r="AD12" i="1" s="1" a="1"/>
  <c r="AD12" i="1" s="1"/>
  <c r="AD13" i="1" s="1" a="1"/>
  <c r="AD13" i="1" s="1"/>
  <c r="AD14" i="1" s="1" a="1"/>
  <c r="AD14" i="1" s="1"/>
  <c r="AD15" i="1" s="1" a="1"/>
  <c r="AD15" i="1" s="1"/>
  <c r="AD16" i="1" s="1" a="1"/>
  <c r="AD16" i="1" s="1"/>
  <c r="AD17" i="1" s="1" a="1"/>
  <c r="AD17" i="1" s="1"/>
  <c r="AD18" i="1" s="1" a="1"/>
  <c r="AD18" i="1" s="1"/>
  <c r="AD19" i="1" s="1" a="1"/>
  <c r="AD19" i="1" s="1"/>
  <c r="AD20" i="1" s="1" a="1"/>
  <c r="AD20" i="1" s="1"/>
  <c r="AD21" i="1" s="1" a="1"/>
  <c r="AD21" i="1" s="1"/>
  <c r="AD22" i="1" s="1" a="1"/>
  <c r="AD22" i="1" s="1"/>
  <c r="AD23" i="1" s="1" a="1"/>
  <c r="AD23" i="1" s="1"/>
  <c r="AD24" i="1" s="1" a="1"/>
  <c r="AD24" i="1" s="1"/>
  <c r="AD25" i="1" s="1" a="1"/>
  <c r="AD25" i="1" s="1"/>
  <c r="AD26" i="1" s="1" a="1"/>
  <c r="AD26" i="1" s="1"/>
  <c r="AD27" i="1" s="1" a="1"/>
  <c r="AD27" i="1" s="1"/>
  <c r="AD28" i="1" s="1" a="1"/>
  <c r="AD28" i="1" s="1"/>
  <c r="AD29" i="1" s="1" a="1"/>
  <c r="AD29" i="1" s="1"/>
  <c r="AD30" i="1" s="1" a="1"/>
  <c r="AD30" i="1" s="1"/>
  <c r="AD31" i="1" s="1" a="1"/>
  <c r="AD31" i="1" s="1"/>
  <c r="AD32" i="1" s="1" a="1"/>
  <c r="AD32" i="1" s="1"/>
  <c r="AD33" i="1" s="1" a="1"/>
  <c r="AD33" i="1" s="1"/>
  <c r="AD34" i="1" s="1" a="1"/>
  <c r="AD34" i="1" s="1"/>
  <c r="AD35" i="1" s="1" a="1"/>
  <c r="AD35" i="1" s="1"/>
  <c r="AD36" i="1" s="1" a="1"/>
  <c r="AD36" i="1" s="1"/>
  <c r="AD37" i="1" s="1" a="1"/>
  <c r="AD37" i="1" s="1"/>
  <c r="AD38" i="1" s="1" a="1"/>
  <c r="AD38" i="1" s="1"/>
  <c r="AD39" i="1" s="1" a="1"/>
  <c r="AD39" i="1" s="1"/>
  <c r="AD40" i="1" s="1" a="1"/>
  <c r="AD40" i="1" s="1"/>
  <c r="AD41" i="1" s="1" a="1"/>
  <c r="AD41" i="1" s="1"/>
  <c r="AD42" i="1" s="1" a="1"/>
  <c r="AD42" i="1" s="1"/>
  <c r="AD43" i="1" s="1" a="1"/>
  <c r="AD43" i="1" s="1"/>
  <c r="AD44" i="1" s="1" a="1"/>
  <c r="AD44" i="1" s="1"/>
  <c r="AD45" i="1" s="1" a="1"/>
  <c r="AD45" i="1" s="1"/>
  <c r="AD46" i="1" s="1" a="1"/>
  <c r="AD46" i="1" s="1"/>
  <c r="AD47" i="1" s="1" a="1"/>
  <c r="AD47" i="1" s="1"/>
  <c r="T2" i="1"/>
  <c r="AD48" i="1" l="1" a="1"/>
  <c r="AD48" i="1" s="1"/>
  <c r="AD49" i="1" s="1" a="1"/>
  <c r="AD49" i="1" s="1"/>
  <c r="AD50" i="1" s="1" a="1"/>
  <c r="AD50" i="1" s="1"/>
  <c r="AD51" i="1" s="1" a="1"/>
  <c r="AD51" i="1" s="1"/>
  <c r="AD52" i="1" s="1" a="1"/>
  <c r="AD52" i="1" s="1"/>
  <c r="AD53" i="1" s="1" a="1"/>
  <c r="AD53" i="1" s="1"/>
  <c r="AD54" i="1" s="1" a="1"/>
  <c r="AD54" i="1" s="1"/>
  <c r="AD55" i="1" s="1" a="1"/>
  <c r="AD55" i="1" s="1"/>
  <c r="AD56" i="1" s="1" a="1"/>
  <c r="AD56" i="1" s="1"/>
  <c r="AD57" i="1" s="1" a="1"/>
  <c r="AD57" i="1" s="1"/>
  <c r="AD58" i="1" s="1" a="1"/>
  <c r="AD58" i="1" s="1"/>
  <c r="AD59" i="1" s="1" a="1"/>
  <c r="AD59" i="1" s="1"/>
  <c r="AD60" i="1" s="1" a="1"/>
  <c r="AD60" i="1" s="1"/>
  <c r="AD61" i="1" s="1" a="1"/>
  <c r="AD61" i="1" s="1"/>
  <c r="AD62" i="1" s="1" a="1"/>
  <c r="AD62" i="1" s="1"/>
  <c r="AD63" i="1" s="1" a="1"/>
  <c r="AD63" i="1" s="1"/>
  <c r="AD64" i="1" s="1" a="1"/>
  <c r="AD64" i="1" s="1"/>
  <c r="AD65" i="1" s="1" a="1"/>
  <c r="AD65" i="1" s="1"/>
  <c r="AD66" i="1" s="1" a="1"/>
  <c r="AD66" i="1" s="1"/>
  <c r="AD67" i="1" s="1" a="1"/>
  <c r="AD67" i="1" s="1"/>
  <c r="AD68" i="1" s="1" a="1"/>
  <c r="AD68" i="1" s="1"/>
  <c r="AD69" i="1" s="1" a="1"/>
  <c r="AD69" i="1" s="1"/>
  <c r="AD70" i="1" s="1" a="1"/>
  <c r="AD70" i="1" s="1"/>
  <c r="AD71" i="1" s="1" a="1"/>
  <c r="AD71" i="1" s="1"/>
  <c r="AD72" i="1" s="1" a="1"/>
  <c r="AD72" i="1" s="1"/>
  <c r="AD73" i="1" s="1" a="1"/>
  <c r="AD73" i="1" s="1"/>
  <c r="AD74" i="1" s="1" a="1"/>
  <c r="AD74" i="1" s="1"/>
  <c r="AD75" i="1" s="1" a="1"/>
  <c r="AD75" i="1" s="1"/>
  <c r="AD76" i="1" s="1" a="1"/>
  <c r="AD76" i="1" s="1"/>
  <c r="AD77" i="1" s="1" a="1"/>
  <c r="AD77" i="1" s="1"/>
  <c r="AD78" i="1" s="1" a="1"/>
  <c r="AD78" i="1" s="1"/>
  <c r="K2" i="2" a="1"/>
  <c r="K2" i="2" s="1"/>
  <c r="K3" i="3" a="1"/>
  <c r="K3" i="3" s="1"/>
  <c r="S2" i="1"/>
  <c r="X2" i="1" l="1"/>
  <c r="Y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<sst xmlns="http://schemas.openxmlformats.org/spreadsheetml/2006/main" count="226" uniqueCount="121">
  <si>
    <t>Directeur</t>
  </si>
  <si>
    <t>Entreprise</t>
  </si>
  <si>
    <t>Nom/prénom</t>
  </si>
  <si>
    <t>Sexe</t>
  </si>
  <si>
    <t>Age</t>
  </si>
  <si>
    <t>Anc.</t>
  </si>
  <si>
    <t>Position</t>
  </si>
  <si>
    <t>Intéressement</t>
  </si>
  <si>
    <t>Participation</t>
  </si>
  <si>
    <t>H</t>
  </si>
  <si>
    <t>Primes exc</t>
  </si>
  <si>
    <t>Points Index</t>
  </si>
  <si>
    <t>Rémunération par âge</t>
  </si>
  <si>
    <t>Ancienneté</t>
  </si>
  <si>
    <t>Rémunération par ancienneté</t>
  </si>
  <si>
    <t>Concat. Ancienneté</t>
  </si>
  <si>
    <t>Concat. Age</t>
  </si>
  <si>
    <t>F</t>
  </si>
  <si>
    <t>Homme</t>
  </si>
  <si>
    <t>Femme</t>
  </si>
  <si>
    <t>Entité</t>
  </si>
  <si>
    <t>Sexe2</t>
  </si>
  <si>
    <t>Mixte</t>
  </si>
  <si>
    <t>Brut mensuel 2025</t>
  </si>
  <si>
    <t>Rémuneration Brute 2025</t>
  </si>
  <si>
    <t>C1</t>
  </si>
  <si>
    <t>H15</t>
  </si>
  <si>
    <t>Grenoble</t>
  </si>
  <si>
    <t>Test1</t>
  </si>
  <si>
    <t>a</t>
  </si>
  <si>
    <t>Test2</t>
  </si>
  <si>
    <t>b</t>
  </si>
  <si>
    <t>Test3</t>
  </si>
  <si>
    <t>c</t>
  </si>
  <si>
    <t>Test4</t>
  </si>
  <si>
    <t>d</t>
  </si>
  <si>
    <t>Test5</t>
  </si>
  <si>
    <t>e</t>
  </si>
  <si>
    <t>Test6</t>
  </si>
  <si>
    <t>f</t>
  </si>
  <si>
    <t>Lyon</t>
  </si>
  <si>
    <t>Test7</t>
  </si>
  <si>
    <t>g</t>
  </si>
  <si>
    <t>H 15</t>
  </si>
  <si>
    <t>Test8</t>
  </si>
  <si>
    <t>h</t>
  </si>
  <si>
    <t>Test9</t>
  </si>
  <si>
    <t>i</t>
  </si>
  <si>
    <t>Test10</t>
  </si>
  <si>
    <t>j</t>
  </si>
  <si>
    <t>Test11</t>
  </si>
  <si>
    <t>k</t>
  </si>
  <si>
    <t>Test12</t>
  </si>
  <si>
    <t>l</t>
  </si>
  <si>
    <t>Marseille</t>
  </si>
  <si>
    <t>Test13</t>
  </si>
  <si>
    <t>m</t>
  </si>
  <si>
    <t>Test14</t>
  </si>
  <si>
    <t>n</t>
  </si>
  <si>
    <t>C2</t>
  </si>
  <si>
    <t>Test15</t>
  </si>
  <si>
    <t>o</t>
  </si>
  <si>
    <t>Test16</t>
  </si>
  <si>
    <t>p</t>
  </si>
  <si>
    <t>Test17</t>
  </si>
  <si>
    <t>q</t>
  </si>
  <si>
    <t>Test18</t>
  </si>
  <si>
    <t>r</t>
  </si>
  <si>
    <t>Paris</t>
  </si>
  <si>
    <t>Test19</t>
  </si>
  <si>
    <t>s</t>
  </si>
  <si>
    <t>Test20</t>
  </si>
  <si>
    <t>t</t>
  </si>
  <si>
    <t>Test21</t>
  </si>
  <si>
    <t>u</t>
  </si>
  <si>
    <t>Test22</t>
  </si>
  <si>
    <t>v</t>
  </si>
  <si>
    <t>Test23</t>
  </si>
  <si>
    <t>w</t>
  </si>
  <si>
    <t>Test24</t>
  </si>
  <si>
    <t>x</t>
  </si>
  <si>
    <t>Test25</t>
  </si>
  <si>
    <t>y</t>
  </si>
  <si>
    <t>Strasbourg</t>
  </si>
  <si>
    <t>Test26</t>
  </si>
  <si>
    <t>z</t>
  </si>
  <si>
    <t>Test27</t>
  </si>
  <si>
    <t>aa</t>
  </si>
  <si>
    <t>Test28</t>
  </si>
  <si>
    <t>bb</t>
  </si>
  <si>
    <t>Test29</t>
  </si>
  <si>
    <t>cc</t>
  </si>
  <si>
    <t>Test30</t>
  </si>
  <si>
    <t>dd</t>
  </si>
  <si>
    <t>Test31</t>
  </si>
  <si>
    <t>ee</t>
  </si>
  <si>
    <t>Nice</t>
  </si>
  <si>
    <t>Test32</t>
  </si>
  <si>
    <t>ff</t>
  </si>
  <si>
    <t>Test33</t>
  </si>
  <si>
    <t>gg</t>
  </si>
  <si>
    <t>C19</t>
  </si>
  <si>
    <t>Test34</t>
  </si>
  <si>
    <t>hh</t>
  </si>
  <si>
    <t>Toulouse</t>
  </si>
  <si>
    <t>Test35</t>
  </si>
  <si>
    <t>ii</t>
  </si>
  <si>
    <t>Test36</t>
  </si>
  <si>
    <t>jj</t>
  </si>
  <si>
    <t>Test37</t>
  </si>
  <si>
    <t>kk</t>
  </si>
  <si>
    <t>H 16</t>
  </si>
  <si>
    <t>Test38</t>
  </si>
  <si>
    <t>ll</t>
  </si>
  <si>
    <t>Test39</t>
  </si>
  <si>
    <t>mm</t>
  </si>
  <si>
    <t>Test40</t>
  </si>
  <si>
    <t>nn</t>
  </si>
  <si>
    <t>Test41</t>
  </si>
  <si>
    <t>oo</t>
  </si>
  <si>
    <t>Abscisse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</si>
</sst>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 tint="-4.9989318521683403E-2"/>
        <bgColor indexed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rgb="FFFFFFFF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indexed="9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9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indexed="9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5" tint="0.79998168889431442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indexed="9"/>
      </patternFill>
    </fill>
    <fill>
      <patternFill patternType="solid">
        <fgColor theme="2" tint="-9.9978637043366805E-2"/>
        <bgColor rgb="FFFFFFFF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9"/>
      </patternFill>
    </fill>
    <fill>
      <patternFill patternType="solid">
        <fgColor rgb="FFFFCCFF"/>
        <bgColor indexed="64"/>
      </patternFill>
    </fill>
    <fill>
      <patternFill patternType="solid">
        <fgColor rgb="FFFFCCFF"/>
        <bgColor rgb="FFFFFFFF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2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95">
    <xf numFmtId="0" fontId="0" fillId="0" borderId="0" xfId="0"/>
    <xf numFmtId="0" fontId="1" fillId="2" borderId="0" xfId="0" applyFont="1" applyFill="1" applyAlignment="1">
      <alignment horizontal="left" vertical="center"/>
    </xf>
    <xf numFmtId="0" fontId="1" fillId="3" borderId="2" xfId="0" applyFont="1" applyFill="1" applyBorder="1" applyAlignment="1">
      <alignment horizontal="center" vertical="center"/>
    </xf>
    <xf numFmtId="0" fontId="0" fillId="4" borderId="0" xfId="0" applyFill="1"/>
    <xf numFmtId="0" fontId="1" fillId="3" borderId="3" xfId="0" applyFont="1" applyFill="1" applyBorder="1" applyAlignment="1">
      <alignment horizontal="center" vertical="center"/>
    </xf>
    <xf numFmtId="0" fontId="0" fillId="4" borderId="1" xfId="0" applyFill="1" applyBorder="1"/>
    <xf numFmtId="0" fontId="1" fillId="3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0" fillId="0" borderId="0" xfId="0" quotePrefix="1"/>
    <xf numFmtId="44" fontId="8" fillId="5" borderId="0" xfId="2" applyFont="1" applyFill="1"/>
    <xf numFmtId="9" fontId="8" fillId="5" borderId="0" xfId="3" applyFont="1" applyFill="1"/>
    <xf numFmtId="4" fontId="0" fillId="0" borderId="0" xfId="0" applyNumberFormat="1"/>
    <xf numFmtId="4" fontId="0" fillId="0" borderId="0" xfId="0" quotePrefix="1" applyNumberFormat="1"/>
    <xf numFmtId="49" fontId="3" fillId="6" borderId="6" xfId="1" applyNumberFormat="1" applyFont="1" applyFill="1" applyBorder="1" applyAlignment="1">
      <alignment horizontal="left" vertical="center"/>
    </xf>
    <xf numFmtId="49" fontId="3" fillId="6" borderId="6" xfId="0" applyNumberFormat="1" applyFont="1" applyFill="1" applyBorder="1" applyAlignment="1">
      <alignment horizontal="left" vertical="center"/>
    </xf>
    <xf numFmtId="49" fontId="3" fillId="7" borderId="6" xfId="1" applyNumberFormat="1" applyFont="1" applyFill="1" applyBorder="1" applyAlignment="1">
      <alignment horizontal="left" vertical="center"/>
    </xf>
    <xf numFmtId="3" fontId="2" fillId="6" borderId="6" xfId="1" applyNumberFormat="1" applyFill="1" applyBorder="1" applyAlignment="1">
      <alignment horizontal="center" vertical="center"/>
    </xf>
    <xf numFmtId="4" fontId="5" fillId="7" borderId="7" xfId="0" applyNumberFormat="1" applyFont="1" applyFill="1" applyBorder="1" applyAlignment="1">
      <alignment horizontal="center" vertical="center"/>
    </xf>
    <xf numFmtId="4" fontId="6" fillId="8" borderId="7" xfId="0" applyNumberFormat="1" applyFont="1" applyFill="1" applyBorder="1" applyAlignment="1">
      <alignment horizontal="center" vertical="center"/>
    </xf>
    <xf numFmtId="49" fontId="3" fillId="9" borderId="6" xfId="1" applyNumberFormat="1" applyFont="1" applyFill="1" applyBorder="1" applyAlignment="1">
      <alignment horizontal="left" vertical="center"/>
    </xf>
    <xf numFmtId="49" fontId="4" fillId="10" borderId="6" xfId="1" applyNumberFormat="1" applyFont="1" applyFill="1" applyBorder="1" applyAlignment="1">
      <alignment horizontal="left" vertical="center"/>
    </xf>
    <xf numFmtId="3" fontId="2" fillId="9" borderId="6" xfId="1" applyNumberFormat="1" applyFill="1" applyBorder="1" applyAlignment="1">
      <alignment horizontal="center" vertical="center"/>
    </xf>
    <xf numFmtId="4" fontId="5" fillId="10" borderId="7" xfId="0" applyNumberFormat="1" applyFont="1" applyFill="1" applyBorder="1" applyAlignment="1">
      <alignment horizontal="center" vertical="center"/>
    </xf>
    <xf numFmtId="4" fontId="6" fillId="11" borderId="7" xfId="0" applyNumberFormat="1" applyFont="1" applyFill="1" applyBorder="1" applyAlignment="1">
      <alignment horizontal="center" vertical="center"/>
    </xf>
    <xf numFmtId="49" fontId="3" fillId="12" borderId="6" xfId="1" applyNumberFormat="1" applyFont="1" applyFill="1" applyBorder="1" applyAlignment="1">
      <alignment horizontal="left" vertical="center"/>
    </xf>
    <xf numFmtId="49" fontId="3" fillId="13" borderId="6" xfId="1" applyNumberFormat="1" applyFont="1" applyFill="1" applyBorder="1" applyAlignment="1">
      <alignment horizontal="left" vertical="center"/>
    </xf>
    <xf numFmtId="3" fontId="2" fillId="12" borderId="6" xfId="1" applyNumberFormat="1" applyFill="1" applyBorder="1" applyAlignment="1">
      <alignment horizontal="center" vertical="center"/>
    </xf>
    <xf numFmtId="4" fontId="5" fillId="13" borderId="7" xfId="0" applyNumberFormat="1" applyFont="1" applyFill="1" applyBorder="1" applyAlignment="1">
      <alignment horizontal="center" vertical="center"/>
    </xf>
    <xf numFmtId="4" fontId="6" fillId="14" borderId="7" xfId="0" applyNumberFormat="1" applyFont="1" applyFill="1" applyBorder="1" applyAlignment="1">
      <alignment horizontal="center" vertical="center"/>
    </xf>
    <xf numFmtId="49" fontId="4" fillId="13" borderId="6" xfId="1" applyNumberFormat="1" applyFont="1" applyFill="1" applyBorder="1" applyAlignment="1">
      <alignment horizontal="left" vertical="center"/>
    </xf>
    <xf numFmtId="3" fontId="6" fillId="13" borderId="6" xfId="1" applyNumberFormat="1" applyFont="1" applyFill="1" applyBorder="1" applyAlignment="1">
      <alignment horizontal="center" vertical="center"/>
    </xf>
    <xf numFmtId="4" fontId="6" fillId="13" borderId="7" xfId="0" applyNumberFormat="1" applyFont="1" applyFill="1" applyBorder="1" applyAlignment="1">
      <alignment horizontal="center" vertical="center"/>
    </xf>
    <xf numFmtId="49" fontId="3" fillId="15" borderId="6" xfId="1" applyNumberFormat="1" applyFont="1" applyFill="1" applyBorder="1" applyAlignment="1">
      <alignment horizontal="left" vertical="center"/>
    </xf>
    <xf numFmtId="49" fontId="4" fillId="16" borderId="6" xfId="1" applyNumberFormat="1" applyFont="1" applyFill="1" applyBorder="1" applyAlignment="1">
      <alignment horizontal="left" vertical="center"/>
    </xf>
    <xf numFmtId="3" fontId="2" fillId="15" borderId="6" xfId="1" applyNumberFormat="1" applyFill="1" applyBorder="1" applyAlignment="1">
      <alignment horizontal="center" vertical="center"/>
    </xf>
    <xf numFmtId="4" fontId="5" fillId="16" borderId="7" xfId="0" applyNumberFormat="1" applyFont="1" applyFill="1" applyBorder="1" applyAlignment="1">
      <alignment horizontal="center" vertical="center"/>
    </xf>
    <xf numFmtId="4" fontId="6" fillId="17" borderId="7" xfId="0" applyNumberFormat="1" applyFont="1" applyFill="1" applyBorder="1" applyAlignment="1">
      <alignment horizontal="center" vertical="center"/>
    </xf>
    <xf numFmtId="49" fontId="3" fillId="16" borderId="6" xfId="0" applyNumberFormat="1" applyFont="1" applyFill="1" applyBorder="1" applyAlignment="1">
      <alignment horizontal="left" vertical="center"/>
    </xf>
    <xf numFmtId="49" fontId="9" fillId="16" borderId="6" xfId="1" applyNumberFormat="1" applyFont="1" applyFill="1" applyBorder="1" applyAlignment="1">
      <alignment horizontal="left" vertical="center"/>
    </xf>
    <xf numFmtId="4" fontId="5" fillId="17" borderId="7" xfId="0" applyNumberFormat="1" applyFont="1" applyFill="1" applyBorder="1" applyAlignment="1">
      <alignment horizontal="center" vertical="center"/>
    </xf>
    <xf numFmtId="3" fontId="6" fillId="15" borderId="6" xfId="1" applyNumberFormat="1" applyFont="1" applyFill="1" applyBorder="1" applyAlignment="1">
      <alignment horizontal="center" vertical="center"/>
    </xf>
    <xf numFmtId="4" fontId="6" fillId="16" borderId="7" xfId="0" applyNumberFormat="1" applyFont="1" applyFill="1" applyBorder="1" applyAlignment="1">
      <alignment horizontal="center" vertical="center"/>
    </xf>
    <xf numFmtId="49" fontId="3" fillId="16" borderId="6" xfId="1" applyNumberFormat="1" applyFont="1" applyFill="1" applyBorder="1" applyAlignment="1">
      <alignment horizontal="left" vertical="center"/>
    </xf>
    <xf numFmtId="49" fontId="3" fillId="18" borderId="6" xfId="1" applyNumberFormat="1" applyFont="1" applyFill="1" applyBorder="1" applyAlignment="1">
      <alignment horizontal="left" vertical="center"/>
    </xf>
    <xf numFmtId="3" fontId="2" fillId="18" borderId="6" xfId="1" applyNumberFormat="1" applyFill="1" applyBorder="1" applyAlignment="1">
      <alignment horizontal="center" vertical="center"/>
    </xf>
    <xf numFmtId="4" fontId="5" fillId="19" borderId="7" xfId="0" applyNumberFormat="1" applyFont="1" applyFill="1" applyBorder="1" applyAlignment="1">
      <alignment horizontal="center" vertical="center"/>
    </xf>
    <xf numFmtId="4" fontId="6" fillId="20" borderId="7" xfId="0" applyNumberFormat="1" applyFont="1" applyFill="1" applyBorder="1" applyAlignment="1">
      <alignment horizontal="center" vertical="center"/>
    </xf>
    <xf numFmtId="49" fontId="3" fillId="19" borderId="6" xfId="1" applyNumberFormat="1" applyFont="1" applyFill="1" applyBorder="1" applyAlignment="1">
      <alignment horizontal="left" vertical="center"/>
    </xf>
    <xf numFmtId="49" fontId="3" fillId="21" borderId="6" xfId="1" applyNumberFormat="1" applyFont="1" applyFill="1" applyBorder="1" applyAlignment="1">
      <alignment horizontal="left" vertical="center"/>
    </xf>
    <xf numFmtId="49" fontId="3" fillId="22" borderId="6" xfId="1" applyNumberFormat="1" applyFont="1" applyFill="1" applyBorder="1" applyAlignment="1">
      <alignment horizontal="left" vertical="center"/>
    </xf>
    <xf numFmtId="3" fontId="2" fillId="21" borderId="6" xfId="1" applyNumberFormat="1" applyFill="1" applyBorder="1" applyAlignment="1">
      <alignment horizontal="center" vertical="center"/>
    </xf>
    <xf numFmtId="4" fontId="5" fillId="22" borderId="7" xfId="0" applyNumberFormat="1" applyFont="1" applyFill="1" applyBorder="1" applyAlignment="1">
      <alignment horizontal="center" vertical="center"/>
    </xf>
    <xf numFmtId="4" fontId="6" fillId="23" borderId="7" xfId="0" applyNumberFormat="1" applyFont="1" applyFill="1" applyBorder="1" applyAlignment="1">
      <alignment horizontal="center" vertical="center"/>
    </xf>
    <xf numFmtId="49" fontId="9" fillId="24" borderId="6" xfId="1" applyNumberFormat="1" applyFont="1" applyFill="1" applyBorder="1" applyAlignment="1">
      <alignment horizontal="left" vertical="center"/>
    </xf>
    <xf numFmtId="49" fontId="3" fillId="24" borderId="6" xfId="1" applyNumberFormat="1" applyFont="1" applyFill="1" applyBorder="1" applyAlignment="1">
      <alignment horizontal="left" vertical="center"/>
    </xf>
    <xf numFmtId="3" fontId="2" fillId="24" borderId="6" xfId="1" applyNumberFormat="1" applyFill="1" applyBorder="1" applyAlignment="1">
      <alignment horizontal="center" vertical="center"/>
    </xf>
    <xf numFmtId="4" fontId="5" fillId="24" borderId="7" xfId="0" applyNumberFormat="1" applyFont="1" applyFill="1" applyBorder="1" applyAlignment="1">
      <alignment horizontal="center" vertical="center"/>
    </xf>
    <xf numFmtId="49" fontId="4" fillId="24" borderId="6" xfId="1" applyNumberFormat="1" applyFont="1" applyFill="1" applyBorder="1" applyAlignment="1">
      <alignment horizontal="left" vertical="center"/>
    </xf>
    <xf numFmtId="4" fontId="6" fillId="24" borderId="7" xfId="0" applyNumberFormat="1" applyFont="1" applyFill="1" applyBorder="1" applyAlignment="1">
      <alignment horizontal="center" vertical="center"/>
    </xf>
    <xf numFmtId="49" fontId="3" fillId="6" borderId="8" xfId="1" applyNumberFormat="1" applyFont="1" applyFill="1" applyBorder="1" applyAlignment="1">
      <alignment horizontal="center" vertical="center"/>
    </xf>
    <xf numFmtId="49" fontId="3" fillId="9" borderId="8" xfId="1" applyNumberFormat="1" applyFont="1" applyFill="1" applyBorder="1" applyAlignment="1">
      <alignment horizontal="center" vertical="center"/>
    </xf>
    <xf numFmtId="49" fontId="3" fillId="12" borderId="8" xfId="1" applyNumberFormat="1" applyFont="1" applyFill="1" applyBorder="1" applyAlignment="1">
      <alignment horizontal="center" vertical="center"/>
    </xf>
    <xf numFmtId="49" fontId="4" fillId="13" borderId="8" xfId="1" applyNumberFormat="1" applyFont="1" applyFill="1" applyBorder="1" applyAlignment="1">
      <alignment horizontal="center" vertical="center"/>
    </xf>
    <xf numFmtId="49" fontId="3" fillId="15" borderId="8" xfId="1" applyNumberFormat="1" applyFont="1" applyFill="1" applyBorder="1" applyAlignment="1">
      <alignment horizontal="center" vertical="center"/>
    </xf>
    <xf numFmtId="49" fontId="9" fillId="15" borderId="8" xfId="1" applyNumberFormat="1" applyFont="1" applyFill="1" applyBorder="1" applyAlignment="1">
      <alignment horizontal="center" vertical="center"/>
    </xf>
    <xf numFmtId="49" fontId="4" fillId="15" borderId="8" xfId="1" applyNumberFormat="1" applyFont="1" applyFill="1" applyBorder="1" applyAlignment="1">
      <alignment horizontal="center" vertical="center"/>
    </xf>
    <xf numFmtId="49" fontId="3" fillId="18" borderId="8" xfId="1" applyNumberFormat="1" applyFont="1" applyFill="1" applyBorder="1" applyAlignment="1">
      <alignment horizontal="center" vertical="center"/>
    </xf>
    <xf numFmtId="49" fontId="3" fillId="21" borderId="8" xfId="1" applyNumberFormat="1" applyFont="1" applyFill="1" applyBorder="1" applyAlignment="1">
      <alignment horizontal="center" vertical="center"/>
    </xf>
    <xf numFmtId="49" fontId="3" fillId="24" borderId="8" xfId="1" applyNumberFormat="1" applyFont="1" applyFill="1" applyBorder="1" applyAlignment="1">
      <alignment horizontal="center" vertical="center"/>
    </xf>
    <xf numFmtId="49" fontId="3" fillId="6" borderId="9" xfId="1" applyNumberFormat="1" applyFont="1" applyFill="1" applyBorder="1" applyAlignment="1">
      <alignment horizontal="center" vertical="center"/>
    </xf>
    <xf numFmtId="49" fontId="3" fillId="9" borderId="9" xfId="1" applyNumberFormat="1" applyFont="1" applyFill="1" applyBorder="1" applyAlignment="1">
      <alignment horizontal="center" vertical="center"/>
    </xf>
    <xf numFmtId="49" fontId="4" fillId="13" borderId="9" xfId="1" applyNumberFormat="1" applyFont="1" applyFill="1" applyBorder="1" applyAlignment="1">
      <alignment horizontal="center" vertical="center"/>
    </xf>
    <xf numFmtId="49" fontId="3" fillId="12" borderId="9" xfId="1" applyNumberFormat="1" applyFont="1" applyFill="1" applyBorder="1" applyAlignment="1">
      <alignment horizontal="center" vertical="center"/>
    </xf>
    <xf numFmtId="49" fontId="3" fillId="15" borderId="9" xfId="1" applyNumberFormat="1" applyFont="1" applyFill="1" applyBorder="1" applyAlignment="1">
      <alignment horizontal="center" vertical="center"/>
    </xf>
    <xf numFmtId="49" fontId="4" fillId="15" borderId="9" xfId="1" applyNumberFormat="1" applyFont="1" applyFill="1" applyBorder="1" applyAlignment="1">
      <alignment horizontal="center" vertical="center"/>
    </xf>
    <xf numFmtId="0" fontId="9" fillId="7" borderId="1" xfId="0" quotePrefix="1" applyFont="1" applyFill="1" applyBorder="1" applyAlignment="1">
      <alignment horizontal="center" vertical="center"/>
    </xf>
    <xf numFmtId="0" fontId="9" fillId="10" borderId="1" xfId="0" quotePrefix="1" applyFont="1" applyFill="1" applyBorder="1" applyAlignment="1">
      <alignment horizontal="center" vertical="center"/>
    </xf>
    <xf numFmtId="0" fontId="9" fillId="13" borderId="1" xfId="0" quotePrefix="1" applyFont="1" applyFill="1" applyBorder="1" applyAlignment="1">
      <alignment horizontal="center" vertical="center"/>
    </xf>
    <xf numFmtId="0" fontId="9" fillId="16" borderId="1" xfId="0" quotePrefix="1" applyFont="1" applyFill="1" applyBorder="1" applyAlignment="1">
      <alignment horizontal="center" vertical="center"/>
    </xf>
    <xf numFmtId="0" fontId="9" fillId="19" borderId="1" xfId="0" quotePrefix="1" applyFont="1" applyFill="1" applyBorder="1" applyAlignment="1">
      <alignment horizontal="center" vertical="center"/>
    </xf>
    <xf numFmtId="0" fontId="9" fillId="22" borderId="1" xfId="0" quotePrefix="1" applyFont="1" applyFill="1" applyBorder="1" applyAlignment="1">
      <alignment horizontal="center" vertical="center"/>
    </xf>
    <xf numFmtId="0" fontId="9" fillId="24" borderId="1" xfId="0" quotePrefix="1" applyFont="1" applyFill="1" applyBorder="1" applyAlignment="1">
      <alignment horizontal="center" vertical="center"/>
    </xf>
    <xf numFmtId="4" fontId="6" fillId="8" borderId="1" xfId="0" applyNumberFormat="1" applyFont="1" applyFill="1" applyBorder="1" applyAlignment="1">
      <alignment horizontal="center" vertical="center"/>
    </xf>
    <xf numFmtId="49" fontId="3" fillId="18" borderId="9" xfId="1" applyNumberFormat="1" applyFont="1" applyFill="1" applyBorder="1" applyAlignment="1">
      <alignment horizontal="center" vertical="center"/>
    </xf>
    <xf numFmtId="49" fontId="3" fillId="21" borderId="9" xfId="1" applyNumberFormat="1" applyFont="1" applyFill="1" applyBorder="1" applyAlignment="1">
      <alignment horizontal="center" vertical="center"/>
    </xf>
    <xf numFmtId="49" fontId="3" fillId="24" borderId="9" xfId="1" applyNumberFormat="1" applyFont="1" applyFill="1" applyBorder="1" applyAlignment="1">
      <alignment horizontal="center" vertical="center"/>
    </xf>
    <xf numFmtId="49" fontId="3" fillId="9" borderId="6" xfId="0" applyNumberFormat="1" applyFont="1" applyFill="1" applyBorder="1" applyAlignment="1">
      <alignment horizontal="left" vertical="center"/>
    </xf>
    <xf numFmtId="49" fontId="3" fillId="12" borderId="6" xfId="0" applyNumberFormat="1" applyFont="1" applyFill="1" applyBorder="1" applyAlignment="1">
      <alignment horizontal="left" vertical="center"/>
    </xf>
    <xf numFmtId="49" fontId="3" fillId="15" borderId="6" xfId="0" applyNumberFormat="1" applyFont="1" applyFill="1" applyBorder="1" applyAlignment="1">
      <alignment horizontal="left" vertical="center"/>
    </xf>
    <xf numFmtId="49" fontId="3" fillId="18" borderId="6" xfId="0" applyNumberFormat="1" applyFont="1" applyFill="1" applyBorder="1" applyAlignment="1">
      <alignment horizontal="left" vertical="center"/>
    </xf>
    <xf numFmtId="49" fontId="3" fillId="21" borderId="6" xfId="0" applyNumberFormat="1" applyFont="1" applyFill="1" applyBorder="1" applyAlignment="1">
      <alignment horizontal="left" vertical="center"/>
    </xf>
    <xf numFmtId="49" fontId="3" fillId="25" borderId="6" xfId="0" applyNumberFormat="1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 wrapText="1"/>
    </xf>
    <xf numFmtId="9" fontId="8" fillId="0" borderId="0" xfId="3" applyFont="1" applyFill="1"/>
    <xf numFmtId="44" fontId="8" fillId="0" borderId="0" xfId="2" applyFont="1" applyFill="1"/>
  </cellXfs>
  <cellStyles count="4">
    <cellStyle name="Monétaire" xfId="2" builtinId="4"/>
    <cellStyle name="Normal" xfId="0" builtinId="0"/>
    <cellStyle name="Normal 7" xfId="1" xr:uid="{80DC8763-A89F-4AE8-807E-D2DCBA48554A}"/>
    <cellStyle name="Pourcentage" xfId="3" builtinId="5"/>
  </cellStyles>
  <dxfs count="25"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solid">
          <fgColor indexed="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lightGray">
          <fgColor indexed="9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lightGray">
          <fgColor indexed="9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numFmt numFmtId="3" formatCode="#,##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family val="2"/>
        <scheme val="none"/>
      </font>
      <fill>
        <patternFill patternType="solid">
          <fgColor indexed="9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FFFF"/>
      <color rgb="FFCC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'base de travail'!$AA$1</c:f>
          <c:strCache>
            <c:ptCount val="1"/>
            <c:pt idx="0">
              <c:v>Rémunération par âge</c:v>
            </c:pt>
          </c:strCache>
        </c:strRef>
      </c:tx>
      <c:overlay val="0"/>
      <c:spPr>
        <a:solidFill>
          <a:srgbClr val="CCFFFF"/>
        </a:solidFill>
        <a:ln w="6350">
          <a:solidFill>
            <a:sysClr val="windowText" lastClr="000000"/>
          </a:solidFill>
        </a:ln>
        <a:effectLst>
          <a:outerShdw blurRad="63500" sx="98000" sy="98000" algn="ctr" rotWithShape="0">
            <a:prstClr val="black">
              <a:alpha val="40000"/>
            </a:prstClr>
          </a:outerShdw>
        </a:effectLst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073765432098766E-2"/>
          <c:y val="7.9626307189542472E-2"/>
          <c:w val="0.83488282411964021"/>
          <c:h val="0.84399885620915027"/>
        </c:manualLayout>
      </c:layout>
      <c:scatterChart>
        <c:scatterStyle val="lineMarker"/>
        <c:varyColors val="0"/>
        <c:ser>
          <c:idx val="0"/>
          <c:order val="0"/>
          <c:tx>
            <c:v>Homme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[0]!Age</c:f>
              <c:numCache>
                <c:formatCode>General</c:formatCode>
                <c:ptCount val="41"/>
                <c:pt idx="0">
                  <c:v>61</c:v>
                </c:pt>
                <c:pt idx="1">
                  <c:v>42</c:v>
                </c:pt>
                <c:pt idx="2">
                  <c:v>52</c:v>
                </c:pt>
                <c:pt idx="3">
                  <c:v>41</c:v>
                </c:pt>
                <c:pt idx="4">
                  <c:v>43</c:v>
                </c:pt>
                <c:pt idx="5">
                  <c:v>49</c:v>
                </c:pt>
                <c:pt idx="6">
                  <c:v>54</c:v>
                </c:pt>
                <c:pt idx="7">
                  <c:v>49</c:v>
                </c:pt>
                <c:pt idx="8">
                  <c:v>57</c:v>
                </c:pt>
                <c:pt idx="9">
                  <c:v>61</c:v>
                </c:pt>
                <c:pt idx="10">
                  <c:v>47</c:v>
                </c:pt>
                <c:pt idx="11">
                  <c:v>46</c:v>
                </c:pt>
                <c:pt idx="12">
                  <c:v>60</c:v>
                </c:pt>
                <c:pt idx="13">
                  <c:v>55</c:v>
                </c:pt>
                <c:pt idx="14">
                  <c:v>52</c:v>
                </c:pt>
                <c:pt idx="15">
                  <c:v>57</c:v>
                </c:pt>
                <c:pt idx="16">
                  <c:v>54</c:v>
                </c:pt>
                <c:pt idx="17">
                  <c:v>39</c:v>
                </c:pt>
                <c:pt idx="18">
                  <c:v>61</c:v>
                </c:pt>
                <c:pt idx="19">
                  <c:v>54</c:v>
                </c:pt>
                <c:pt idx="20">
                  <c:v>50</c:v>
                </c:pt>
                <c:pt idx="21">
                  <c:v>51</c:v>
                </c:pt>
                <c:pt idx="22">
                  <c:v>43</c:v>
                </c:pt>
                <c:pt idx="23">
                  <c:v>41</c:v>
                </c:pt>
                <c:pt idx="24">
                  <c:v>54</c:v>
                </c:pt>
                <c:pt idx="25">
                  <c:v>45</c:v>
                </c:pt>
                <c:pt idx="26">
                  <c:v>44</c:v>
                </c:pt>
                <c:pt idx="27">
                  <c:v>50</c:v>
                </c:pt>
                <c:pt idx="28">
                  <c:v>57</c:v>
                </c:pt>
                <c:pt idx="29">
                  <c:v>51</c:v>
                </c:pt>
                <c:pt idx="30">
                  <c:v>43</c:v>
                </c:pt>
                <c:pt idx="31">
                  <c:v>53</c:v>
                </c:pt>
                <c:pt idx="32">
                  <c:v>49</c:v>
                </c:pt>
                <c:pt idx="33">
                  <c:v>43</c:v>
                </c:pt>
                <c:pt idx="34">
                  <c:v>40</c:v>
                </c:pt>
                <c:pt idx="35">
                  <c:v>40</c:v>
                </c:pt>
                <c:pt idx="36">
                  <c:v>54</c:v>
                </c:pt>
                <c:pt idx="37">
                  <c:v>45</c:v>
                </c:pt>
                <c:pt idx="38">
                  <c:v>60</c:v>
                </c:pt>
                <c:pt idx="39">
                  <c:v>45</c:v>
                </c:pt>
                <c:pt idx="40">
                  <c:v>60</c:v>
                </c:pt>
              </c:numCache>
            </c:numRef>
          </c:xVal>
          <c:yVal>
            <c:numRef>
              <c:f>[0]!ChoixHomme</c:f>
              <c:numCache>
                <c:formatCode>General</c:formatCode>
                <c:ptCount val="41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94001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#N/A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#N/A</c:v>
                </c:pt>
                <c:pt idx="38">
                  <c:v>87822</c:v>
                </c:pt>
                <c:pt idx="39">
                  <c:v>#N/A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02A-457E-B337-8A4229FB8B79}"/>
            </c:ext>
          </c:extLst>
        </c:ser>
        <c:ser>
          <c:idx val="1"/>
          <c:order val="1"/>
          <c:tx>
            <c:v>Femme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[0]!Age</c:f>
              <c:numCache>
                <c:formatCode>General</c:formatCode>
                <c:ptCount val="41"/>
                <c:pt idx="0">
                  <c:v>61</c:v>
                </c:pt>
                <c:pt idx="1">
                  <c:v>42</c:v>
                </c:pt>
                <c:pt idx="2">
                  <c:v>52</c:v>
                </c:pt>
                <c:pt idx="3">
                  <c:v>41</c:v>
                </c:pt>
                <c:pt idx="4">
                  <c:v>43</c:v>
                </c:pt>
                <c:pt idx="5">
                  <c:v>49</c:v>
                </c:pt>
                <c:pt idx="6">
                  <c:v>54</c:v>
                </c:pt>
                <c:pt idx="7">
                  <c:v>49</c:v>
                </c:pt>
                <c:pt idx="8">
                  <c:v>57</c:v>
                </c:pt>
                <c:pt idx="9">
                  <c:v>61</c:v>
                </c:pt>
                <c:pt idx="10">
                  <c:v>47</c:v>
                </c:pt>
                <c:pt idx="11">
                  <c:v>46</c:v>
                </c:pt>
                <c:pt idx="12">
                  <c:v>60</c:v>
                </c:pt>
                <c:pt idx="13">
                  <c:v>55</c:v>
                </c:pt>
                <c:pt idx="14">
                  <c:v>52</c:v>
                </c:pt>
                <c:pt idx="15">
                  <c:v>57</c:v>
                </c:pt>
                <c:pt idx="16">
                  <c:v>54</c:v>
                </c:pt>
                <c:pt idx="17">
                  <c:v>39</c:v>
                </c:pt>
                <c:pt idx="18">
                  <c:v>61</c:v>
                </c:pt>
                <c:pt idx="19">
                  <c:v>54</c:v>
                </c:pt>
                <c:pt idx="20">
                  <c:v>50</c:v>
                </c:pt>
                <c:pt idx="21">
                  <c:v>51</c:v>
                </c:pt>
                <c:pt idx="22">
                  <c:v>43</c:v>
                </c:pt>
                <c:pt idx="23">
                  <c:v>41</c:v>
                </c:pt>
                <c:pt idx="24">
                  <c:v>54</c:v>
                </c:pt>
                <c:pt idx="25">
                  <c:v>45</c:v>
                </c:pt>
                <c:pt idx="26">
                  <c:v>44</c:v>
                </c:pt>
                <c:pt idx="27">
                  <c:v>50</c:v>
                </c:pt>
                <c:pt idx="28">
                  <c:v>57</c:v>
                </c:pt>
                <c:pt idx="29">
                  <c:v>51</c:v>
                </c:pt>
                <c:pt idx="30">
                  <c:v>43</c:v>
                </c:pt>
                <c:pt idx="31">
                  <c:v>53</c:v>
                </c:pt>
                <c:pt idx="32">
                  <c:v>49</c:v>
                </c:pt>
                <c:pt idx="33">
                  <c:v>43</c:v>
                </c:pt>
                <c:pt idx="34">
                  <c:v>40</c:v>
                </c:pt>
                <c:pt idx="35">
                  <c:v>40</c:v>
                </c:pt>
                <c:pt idx="36">
                  <c:v>54</c:v>
                </c:pt>
                <c:pt idx="37">
                  <c:v>45</c:v>
                </c:pt>
                <c:pt idx="38">
                  <c:v>60</c:v>
                </c:pt>
                <c:pt idx="39">
                  <c:v>45</c:v>
                </c:pt>
                <c:pt idx="40">
                  <c:v>60</c:v>
                </c:pt>
              </c:numCache>
            </c:numRef>
          </c:xVal>
          <c:yVal>
            <c:numRef>
              <c:f>[0]!ChoixFemme</c:f>
              <c:numCache>
                <c:formatCode>General</c:formatCode>
                <c:ptCount val="4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68880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73800</c:v>
                </c:pt>
                <c:pt idx="38">
                  <c:v>#N/A</c:v>
                </c:pt>
                <c:pt idx="39">
                  <c:v>78390</c:v>
                </c:pt>
                <c:pt idx="4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B0E-4FEB-B71A-5322E1C4A27F}"/>
            </c:ext>
          </c:extLst>
        </c:ser>
        <c:ser>
          <c:idx val="2"/>
          <c:order val="2"/>
          <c:tx>
            <c:v>Mixte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[0]!Age</c:f>
              <c:numCache>
                <c:formatCode>General</c:formatCode>
                <c:ptCount val="41"/>
                <c:pt idx="0">
                  <c:v>61</c:v>
                </c:pt>
                <c:pt idx="1">
                  <c:v>42</c:v>
                </c:pt>
                <c:pt idx="2">
                  <c:v>52</c:v>
                </c:pt>
                <c:pt idx="3">
                  <c:v>41</c:v>
                </c:pt>
                <c:pt idx="4">
                  <c:v>43</c:v>
                </c:pt>
                <c:pt idx="5">
                  <c:v>49</c:v>
                </c:pt>
                <c:pt idx="6">
                  <c:v>54</c:v>
                </c:pt>
                <c:pt idx="7">
                  <c:v>49</c:v>
                </c:pt>
                <c:pt idx="8">
                  <c:v>57</c:v>
                </c:pt>
                <c:pt idx="9">
                  <c:v>61</c:v>
                </c:pt>
                <c:pt idx="10">
                  <c:v>47</c:v>
                </c:pt>
                <c:pt idx="11">
                  <c:v>46</c:v>
                </c:pt>
                <c:pt idx="12">
                  <c:v>60</c:v>
                </c:pt>
                <c:pt idx="13">
                  <c:v>55</c:v>
                </c:pt>
                <c:pt idx="14">
                  <c:v>52</c:v>
                </c:pt>
                <c:pt idx="15">
                  <c:v>57</c:v>
                </c:pt>
                <c:pt idx="16">
                  <c:v>54</c:v>
                </c:pt>
                <c:pt idx="17">
                  <c:v>39</c:v>
                </c:pt>
                <c:pt idx="18">
                  <c:v>61</c:v>
                </c:pt>
                <c:pt idx="19">
                  <c:v>54</c:v>
                </c:pt>
                <c:pt idx="20">
                  <c:v>50</c:v>
                </c:pt>
                <c:pt idx="21">
                  <c:v>51</c:v>
                </c:pt>
                <c:pt idx="22">
                  <c:v>43</c:v>
                </c:pt>
                <c:pt idx="23">
                  <c:v>41</c:v>
                </c:pt>
                <c:pt idx="24">
                  <c:v>54</c:v>
                </c:pt>
                <c:pt idx="25">
                  <c:v>45</c:v>
                </c:pt>
                <c:pt idx="26">
                  <c:v>44</c:v>
                </c:pt>
                <c:pt idx="27">
                  <c:v>50</c:v>
                </c:pt>
                <c:pt idx="28">
                  <c:v>57</c:v>
                </c:pt>
                <c:pt idx="29">
                  <c:v>51</c:v>
                </c:pt>
                <c:pt idx="30">
                  <c:v>43</c:v>
                </c:pt>
                <c:pt idx="31">
                  <c:v>53</c:v>
                </c:pt>
                <c:pt idx="32">
                  <c:v>49</c:v>
                </c:pt>
                <c:pt idx="33">
                  <c:v>43</c:v>
                </c:pt>
                <c:pt idx="34">
                  <c:v>40</c:v>
                </c:pt>
                <c:pt idx="35">
                  <c:v>40</c:v>
                </c:pt>
                <c:pt idx="36">
                  <c:v>54</c:v>
                </c:pt>
                <c:pt idx="37">
                  <c:v>45</c:v>
                </c:pt>
                <c:pt idx="38">
                  <c:v>60</c:v>
                </c:pt>
                <c:pt idx="39">
                  <c:v>45</c:v>
                </c:pt>
                <c:pt idx="40">
                  <c:v>60</c:v>
                </c:pt>
              </c:numCache>
            </c:numRef>
          </c:xVal>
          <c:yVal>
            <c:numRef>
              <c:f>[0]!Rémunération</c:f>
              <c:numCache>
                <c:formatCode>#,##0.00</c:formatCode>
                <c:ptCount val="41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94001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68880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73800</c:v>
                </c:pt>
                <c:pt idx="38">
                  <c:v>87822</c:v>
                </c:pt>
                <c:pt idx="39">
                  <c:v>78390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DAF-4543-A4EC-91FB81AD05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0281992"/>
        <c:axId val="520282712"/>
      </c:scatterChart>
      <c:valAx>
        <c:axId val="520281992"/>
        <c:scaling>
          <c:orientation val="minMax"/>
          <c:max val="65"/>
          <c:min val="3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2712"/>
        <c:crosses val="autoZero"/>
        <c:crossBetween val="midCat"/>
      </c:valAx>
      <c:valAx>
        <c:axId val="520282712"/>
        <c:scaling>
          <c:orientation val="minMax"/>
          <c:max val="100000"/>
          <c:min val="65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1992"/>
        <c:crosses val="autoZero"/>
        <c:crossBetween val="midCat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'base de travail'!$AB$1</c:f>
          <c:strCache>
            <c:ptCount val="1"/>
            <c:pt idx="0">
              <c:v>Rémunération par ancienneté</c:v>
            </c:pt>
          </c:strCache>
        </c:strRef>
      </c:tx>
      <c:overlay val="0"/>
      <c:spPr>
        <a:solidFill>
          <a:srgbClr val="CCFFCC"/>
        </a:solidFill>
        <a:ln w="6350">
          <a:solidFill>
            <a:sysClr val="windowText" lastClr="000000"/>
          </a:solidFill>
        </a:ln>
        <a:effectLst>
          <a:outerShdw blurRad="63500" sx="98000" sy="98000" algn="ctr" rotWithShape="0">
            <a:prstClr val="black">
              <a:alpha val="40000"/>
            </a:prstClr>
          </a:outerShdw>
        </a:effectLst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432253086419756E-2"/>
          <c:y val="8.0414052287581694E-2"/>
          <c:w val="0.8322719531014805"/>
          <c:h val="0.84234885620915045"/>
        </c:manualLayout>
      </c:layout>
      <c:scatterChart>
        <c:scatterStyle val="lineMarker"/>
        <c:varyColors val="0"/>
        <c:ser>
          <c:idx val="0"/>
          <c:order val="0"/>
          <c:tx>
            <c:v>Homme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[0]!Ancienneté</c:f>
              <c:numCache>
                <c:formatCode>General</c:formatCode>
                <c:ptCount val="41"/>
                <c:pt idx="0">
                  <c:v>34</c:v>
                </c:pt>
                <c:pt idx="1">
                  <c:v>17</c:v>
                </c:pt>
                <c:pt idx="2">
                  <c:v>0</c:v>
                </c:pt>
                <c:pt idx="3">
                  <c:v>10</c:v>
                </c:pt>
                <c:pt idx="4">
                  <c:v>12</c:v>
                </c:pt>
                <c:pt idx="5">
                  <c:v>25</c:v>
                </c:pt>
                <c:pt idx="6">
                  <c:v>13</c:v>
                </c:pt>
                <c:pt idx="7">
                  <c:v>22</c:v>
                </c:pt>
                <c:pt idx="8">
                  <c:v>29</c:v>
                </c:pt>
                <c:pt idx="9">
                  <c:v>21</c:v>
                </c:pt>
                <c:pt idx="10">
                  <c:v>6</c:v>
                </c:pt>
                <c:pt idx="11">
                  <c:v>3</c:v>
                </c:pt>
                <c:pt idx="12">
                  <c:v>2</c:v>
                </c:pt>
                <c:pt idx="13">
                  <c:v>26</c:v>
                </c:pt>
                <c:pt idx="14">
                  <c:v>1</c:v>
                </c:pt>
                <c:pt idx="15">
                  <c:v>34</c:v>
                </c:pt>
                <c:pt idx="16">
                  <c:v>0</c:v>
                </c:pt>
                <c:pt idx="17">
                  <c:v>7</c:v>
                </c:pt>
                <c:pt idx="18">
                  <c:v>17</c:v>
                </c:pt>
                <c:pt idx="19">
                  <c:v>27</c:v>
                </c:pt>
                <c:pt idx="20">
                  <c:v>0</c:v>
                </c:pt>
                <c:pt idx="21">
                  <c:v>23</c:v>
                </c:pt>
                <c:pt idx="22">
                  <c:v>17</c:v>
                </c:pt>
                <c:pt idx="23">
                  <c:v>13</c:v>
                </c:pt>
                <c:pt idx="24">
                  <c:v>27</c:v>
                </c:pt>
                <c:pt idx="25">
                  <c:v>22</c:v>
                </c:pt>
                <c:pt idx="26">
                  <c:v>21</c:v>
                </c:pt>
                <c:pt idx="27">
                  <c:v>23</c:v>
                </c:pt>
                <c:pt idx="28">
                  <c:v>12</c:v>
                </c:pt>
                <c:pt idx="29">
                  <c:v>10</c:v>
                </c:pt>
                <c:pt idx="30">
                  <c:v>0</c:v>
                </c:pt>
                <c:pt idx="31">
                  <c:v>4</c:v>
                </c:pt>
                <c:pt idx="32">
                  <c:v>1</c:v>
                </c:pt>
                <c:pt idx="33">
                  <c:v>16</c:v>
                </c:pt>
                <c:pt idx="34">
                  <c:v>15</c:v>
                </c:pt>
                <c:pt idx="35">
                  <c:v>16</c:v>
                </c:pt>
                <c:pt idx="36">
                  <c:v>10</c:v>
                </c:pt>
                <c:pt idx="37">
                  <c:v>11</c:v>
                </c:pt>
                <c:pt idx="38">
                  <c:v>0</c:v>
                </c:pt>
                <c:pt idx="39">
                  <c:v>19</c:v>
                </c:pt>
                <c:pt idx="40">
                  <c:v>36</c:v>
                </c:pt>
              </c:numCache>
            </c:numRef>
          </c:xVal>
          <c:yVal>
            <c:numRef>
              <c:f>[0]!ChoixHomme</c:f>
              <c:numCache>
                <c:formatCode>General</c:formatCode>
                <c:ptCount val="41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94001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#N/A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#N/A</c:v>
                </c:pt>
                <c:pt idx="38">
                  <c:v>87822</c:v>
                </c:pt>
                <c:pt idx="39">
                  <c:v>#N/A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1A4-4513-AD99-9C7A88BD3DD6}"/>
            </c:ext>
          </c:extLst>
        </c:ser>
        <c:ser>
          <c:idx val="1"/>
          <c:order val="1"/>
          <c:tx>
            <c:v>Femme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[0]!Ancienneté</c:f>
              <c:numCache>
                <c:formatCode>General</c:formatCode>
                <c:ptCount val="41"/>
                <c:pt idx="0">
                  <c:v>34</c:v>
                </c:pt>
                <c:pt idx="1">
                  <c:v>17</c:v>
                </c:pt>
                <c:pt idx="2">
                  <c:v>0</c:v>
                </c:pt>
                <c:pt idx="3">
                  <c:v>10</c:v>
                </c:pt>
                <c:pt idx="4">
                  <c:v>12</c:v>
                </c:pt>
                <c:pt idx="5">
                  <c:v>25</c:v>
                </c:pt>
                <c:pt idx="6">
                  <c:v>13</c:v>
                </c:pt>
                <c:pt idx="7">
                  <c:v>22</c:v>
                </c:pt>
                <c:pt idx="8">
                  <c:v>29</c:v>
                </c:pt>
                <c:pt idx="9">
                  <c:v>21</c:v>
                </c:pt>
                <c:pt idx="10">
                  <c:v>6</c:v>
                </c:pt>
                <c:pt idx="11">
                  <c:v>3</c:v>
                </c:pt>
                <c:pt idx="12">
                  <c:v>2</c:v>
                </c:pt>
                <c:pt idx="13">
                  <c:v>26</c:v>
                </c:pt>
                <c:pt idx="14">
                  <c:v>1</c:v>
                </c:pt>
                <c:pt idx="15">
                  <c:v>34</c:v>
                </c:pt>
                <c:pt idx="16">
                  <c:v>0</c:v>
                </c:pt>
                <c:pt idx="17">
                  <c:v>7</c:v>
                </c:pt>
                <c:pt idx="18">
                  <c:v>17</c:v>
                </c:pt>
                <c:pt idx="19">
                  <c:v>27</c:v>
                </c:pt>
                <c:pt idx="20">
                  <c:v>0</c:v>
                </c:pt>
                <c:pt idx="21">
                  <c:v>23</c:v>
                </c:pt>
                <c:pt idx="22">
                  <c:v>17</c:v>
                </c:pt>
                <c:pt idx="23">
                  <c:v>13</c:v>
                </c:pt>
                <c:pt idx="24">
                  <c:v>27</c:v>
                </c:pt>
                <c:pt idx="25">
                  <c:v>22</c:v>
                </c:pt>
                <c:pt idx="26">
                  <c:v>21</c:v>
                </c:pt>
                <c:pt idx="27">
                  <c:v>23</c:v>
                </c:pt>
                <c:pt idx="28">
                  <c:v>12</c:v>
                </c:pt>
                <c:pt idx="29">
                  <c:v>10</c:v>
                </c:pt>
                <c:pt idx="30">
                  <c:v>0</c:v>
                </c:pt>
                <c:pt idx="31">
                  <c:v>4</c:v>
                </c:pt>
                <c:pt idx="32">
                  <c:v>1</c:v>
                </c:pt>
                <c:pt idx="33">
                  <c:v>16</c:v>
                </c:pt>
                <c:pt idx="34">
                  <c:v>15</c:v>
                </c:pt>
                <c:pt idx="35">
                  <c:v>16</c:v>
                </c:pt>
                <c:pt idx="36">
                  <c:v>10</c:v>
                </c:pt>
                <c:pt idx="37">
                  <c:v>11</c:v>
                </c:pt>
                <c:pt idx="38">
                  <c:v>0</c:v>
                </c:pt>
                <c:pt idx="39">
                  <c:v>19</c:v>
                </c:pt>
                <c:pt idx="40">
                  <c:v>36</c:v>
                </c:pt>
              </c:numCache>
            </c:numRef>
          </c:xVal>
          <c:yVal>
            <c:numRef>
              <c:f>[0]!ChoixFemme</c:f>
              <c:numCache>
                <c:formatCode>General</c:formatCode>
                <c:ptCount val="4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68880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73800</c:v>
                </c:pt>
                <c:pt idx="38">
                  <c:v>#N/A</c:v>
                </c:pt>
                <c:pt idx="39">
                  <c:v>78390</c:v>
                </c:pt>
                <c:pt idx="4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D874-4C2B-B4AA-5AC81F06F329}"/>
            </c:ext>
          </c:extLst>
        </c:ser>
        <c:ser>
          <c:idx val="2"/>
          <c:order val="2"/>
          <c:tx>
            <c:v>Mixte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[0]!Ancienneté</c:f>
              <c:numCache>
                <c:formatCode>General</c:formatCode>
                <c:ptCount val="41"/>
                <c:pt idx="0">
                  <c:v>34</c:v>
                </c:pt>
                <c:pt idx="1">
                  <c:v>17</c:v>
                </c:pt>
                <c:pt idx="2">
                  <c:v>0</c:v>
                </c:pt>
                <c:pt idx="3">
                  <c:v>10</c:v>
                </c:pt>
                <c:pt idx="4">
                  <c:v>12</c:v>
                </c:pt>
                <c:pt idx="5">
                  <c:v>25</c:v>
                </c:pt>
                <c:pt idx="6">
                  <c:v>13</c:v>
                </c:pt>
                <c:pt idx="7">
                  <c:v>22</c:v>
                </c:pt>
                <c:pt idx="8">
                  <c:v>29</c:v>
                </c:pt>
                <c:pt idx="9">
                  <c:v>21</c:v>
                </c:pt>
                <c:pt idx="10">
                  <c:v>6</c:v>
                </c:pt>
                <c:pt idx="11">
                  <c:v>3</c:v>
                </c:pt>
                <c:pt idx="12">
                  <c:v>2</c:v>
                </c:pt>
                <c:pt idx="13">
                  <c:v>26</c:v>
                </c:pt>
                <c:pt idx="14">
                  <c:v>1</c:v>
                </c:pt>
                <c:pt idx="15">
                  <c:v>34</c:v>
                </c:pt>
                <c:pt idx="16">
                  <c:v>0</c:v>
                </c:pt>
                <c:pt idx="17">
                  <c:v>7</c:v>
                </c:pt>
                <c:pt idx="18">
                  <c:v>17</c:v>
                </c:pt>
                <c:pt idx="19">
                  <c:v>27</c:v>
                </c:pt>
                <c:pt idx="20">
                  <c:v>0</c:v>
                </c:pt>
                <c:pt idx="21">
                  <c:v>23</c:v>
                </c:pt>
                <c:pt idx="22">
                  <c:v>17</c:v>
                </c:pt>
                <c:pt idx="23">
                  <c:v>13</c:v>
                </c:pt>
                <c:pt idx="24">
                  <c:v>27</c:v>
                </c:pt>
                <c:pt idx="25">
                  <c:v>22</c:v>
                </c:pt>
                <c:pt idx="26">
                  <c:v>21</c:v>
                </c:pt>
                <c:pt idx="27">
                  <c:v>23</c:v>
                </c:pt>
                <c:pt idx="28">
                  <c:v>12</c:v>
                </c:pt>
                <c:pt idx="29">
                  <c:v>10</c:v>
                </c:pt>
                <c:pt idx="30">
                  <c:v>0</c:v>
                </c:pt>
                <c:pt idx="31">
                  <c:v>4</c:v>
                </c:pt>
                <c:pt idx="32">
                  <c:v>1</c:v>
                </c:pt>
                <c:pt idx="33">
                  <c:v>16</c:v>
                </c:pt>
                <c:pt idx="34">
                  <c:v>15</c:v>
                </c:pt>
                <c:pt idx="35">
                  <c:v>16</c:v>
                </c:pt>
                <c:pt idx="36">
                  <c:v>10</c:v>
                </c:pt>
                <c:pt idx="37">
                  <c:v>11</c:v>
                </c:pt>
                <c:pt idx="38">
                  <c:v>0</c:v>
                </c:pt>
                <c:pt idx="39">
                  <c:v>19</c:v>
                </c:pt>
                <c:pt idx="40">
                  <c:v>36</c:v>
                </c:pt>
              </c:numCache>
            </c:numRef>
          </c:xVal>
          <c:yVal>
            <c:numRef>
              <c:f>[0]!Rémunération</c:f>
              <c:numCache>
                <c:formatCode>#,##0.00</c:formatCode>
                <c:ptCount val="41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94001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68880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73800</c:v>
                </c:pt>
                <c:pt idx="38">
                  <c:v>87822</c:v>
                </c:pt>
                <c:pt idx="39">
                  <c:v>78390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56B-4023-96A3-E6ADB8106E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0281992"/>
        <c:axId val="520282712"/>
      </c:scatterChart>
      <c:valAx>
        <c:axId val="5202819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2712"/>
        <c:crosses val="autoZero"/>
        <c:crossBetween val="midCat"/>
      </c:valAx>
      <c:valAx>
        <c:axId val="520282712"/>
        <c:scaling>
          <c:orientation val="minMax"/>
          <c:max val="100000"/>
          <c:min val="65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1992"/>
        <c:crosses val="autoZero"/>
        <c:crossBetween val="midCat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9523</xdr:colOff>
      <xdr:row>1</xdr:row>
      <xdr:rowOff>6347</xdr:rowOff>
    </xdr:from>
    <xdr:to>
      <xdr:col>17</xdr:col>
      <xdr:colOff>136173</xdr:colOff>
      <xdr:row>34</xdr:row>
      <xdr:rowOff>49397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A797F56-6719-B5AC-5191-B1462B9C2A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771523</xdr:colOff>
      <xdr:row>21</xdr:row>
      <xdr:rowOff>107947</xdr:rowOff>
    </xdr:from>
    <xdr:to>
      <xdr:col>8</xdr:col>
      <xdr:colOff>768350</xdr:colOff>
      <xdr:row>25</xdr:row>
      <xdr:rowOff>152587</xdr:rowOff>
    </xdr:to>
    <xdr:sp macro="" textlink="'base de travail'!X2">
      <xdr:nvSpPr>
        <xdr:cNvPr id="3" name="Rectangle 1" hidden="1">
          <a:extLst>
            <a:ext uri="{FF2B5EF4-FFF2-40B4-BE49-F238E27FC236}">
              <a16:creationId xmlns:a16="http://schemas.microsoft.com/office/drawing/2014/main" id="{8C043008-BF5D-43C9-8953-F48DC68F23C2}"/>
            </a:ext>
          </a:extLst>
        </xdr:cNvPr>
        <xdr:cNvSpPr/>
      </xdr:nvSpPr>
      <xdr:spPr>
        <a:xfrm>
          <a:off x="5572123" y="3975097"/>
          <a:ext cx="1597027" cy="781240"/>
        </a:xfrm>
        <a:prstGeom prst="rect">
          <a:avLst/>
        </a:prstGeom>
        <a:solidFill>
          <a:srgbClr val="CCFFFF"/>
        </a:solidFill>
        <a:ln w="6350"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4B9F8958-4BE8-43C0-870F-A7C03265D612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Nom : s
Sexe : Homme
Âge : 61 ans
Rémunération : 95 940 €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6348</xdr:colOff>
      <xdr:row>1</xdr:row>
      <xdr:rowOff>6349</xdr:rowOff>
    </xdr:from>
    <xdr:to>
      <xdr:col>17</xdr:col>
      <xdr:colOff>132998</xdr:colOff>
      <xdr:row>34</xdr:row>
      <xdr:rowOff>49399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FE56705-A1A9-4D8C-9E25-25E1389BF02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158748</xdr:colOff>
      <xdr:row>7</xdr:row>
      <xdr:rowOff>50799</xdr:rowOff>
    </xdr:from>
    <xdr:to>
      <xdr:col>10</xdr:col>
      <xdr:colOff>128401</xdr:colOff>
      <xdr:row>11</xdr:row>
      <xdr:rowOff>95439</xdr:rowOff>
    </xdr:to>
    <xdr:sp macro="" textlink="'base de travail'!Y2">
      <xdr:nvSpPr>
        <xdr:cNvPr id="3" name="Rectangle 1" hidden="1">
          <a:extLst>
            <a:ext uri="{FF2B5EF4-FFF2-40B4-BE49-F238E27FC236}">
              <a16:creationId xmlns:a16="http://schemas.microsoft.com/office/drawing/2014/main" id="{34C0C59D-F24E-4F6C-8B36-180626DC016D}"/>
            </a:ext>
          </a:extLst>
        </xdr:cNvPr>
        <xdr:cNvSpPr/>
      </xdr:nvSpPr>
      <xdr:spPr>
        <a:xfrm>
          <a:off x="6559548" y="1339849"/>
          <a:ext cx="1569853" cy="781240"/>
        </a:xfrm>
        <a:prstGeom prst="rect">
          <a:avLst/>
        </a:prstGeom>
        <a:solidFill>
          <a:srgbClr val="CCFFCC"/>
        </a:solidFill>
        <a:ln w="6350"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C36B1104-F6F5-4B14-A3F5-7ABBC6E1F2DF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s
Sexe : Homme
Ancienneté : 17 ans
Rémunération : 95940 €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A8C509-188F-438A-B3E1-2807E14A777A}" name="Tableau1" displayName="Tableau1" ref="A1:T42" totalsRowShown="0" headerRowDxfId="24" dataDxfId="22" headerRowBorderDxfId="23" tableBorderDxfId="21" totalsRowBorderDxfId="20">
  <autoFilter ref="A1:T42" xr:uid="{33A8C509-188F-438A-B3E1-2807E14A777A}"/>
  <tableColumns count="20">
    <tableColumn id="1" xr3:uid="{CD6B7A82-0068-49E7-9E4E-B338328EE710}" name="Directeur" dataDxfId="19" dataCellStyle="Normal 7"/>
    <tableColumn id="2" xr3:uid="{31190053-ACE7-4B0C-8C97-D0B909AADC10}" name="Entreprise" dataDxfId="18" dataCellStyle="Normal 7"/>
    <tableColumn id="3" xr3:uid="{B87B34F7-4FBD-47C9-A624-2BBDF5751C0C}" name="Nom/prénom" dataDxfId="17" dataCellStyle="Normal 7"/>
    <tableColumn id="4" xr3:uid="{DF33DDD6-FB32-48C5-AE86-F85A71A21DA2}" name="Sexe" dataDxfId="16" dataCellStyle="Normal 7"/>
    <tableColumn id="5" xr3:uid="{A6BF10E4-E4A1-49B5-BF90-60E5C256FE3B}" name="Age" dataDxfId="15" dataCellStyle="Normal 7"/>
    <tableColumn id="6" xr3:uid="{5C89ED99-C5BB-4C08-AD69-522742D8BEFD}" name="Anc." dataDxfId="14" dataCellStyle="Normal 7"/>
    <tableColumn id="7" xr3:uid="{E35E2F7F-BA78-4FE4-9A0F-C593CC74F8D4}" name="Position" dataDxfId="13" dataCellStyle="Normal 7"/>
    <tableColumn id="8" xr3:uid="{CE843E36-4828-4D6B-B9A4-2BCD667F422B}" name="Brut mensuel 2025" dataDxfId="12" dataCellStyle="Normal 7"/>
    <tableColumn id="9" xr3:uid="{E1E0F575-9AC9-4653-AC4C-091613D69DAC}" name="Intéressement" dataDxfId="11"/>
    <tableColumn id="10" xr3:uid="{953A501A-EF83-4D79-97B8-A57817C874CF}" name="Participation" dataDxfId="10"/>
    <tableColumn id="11" xr3:uid="{39A7DB8C-7C6F-48AE-8BAE-9FC2963EAE0E}" name="Primes exc" dataDxfId="9"/>
    <tableColumn id="12" xr3:uid="{83FE5881-6A4A-4432-8CD8-2FA8414438AE}" name="Rémuneration Brute 2025" dataDxfId="8">
      <calculatedColumnFormula>(H3*13.4)+I3+J3+K3</calculatedColumnFormula>
    </tableColumn>
    <tableColumn id="13" xr3:uid="{469C48A6-6484-44BA-9DA6-DF4FD71EEA4B}" name="Abscisse" dataDxfId="7">
      <calculatedColumnFormula>IF(A2="","",LignesVisibles($A$2:A2))</calculatedColumnFormula>
    </tableColumn>
    <tableColumn id="14" xr3:uid="{C0C87C69-66B6-44F1-8DFC-881388A9B867}" name="Homme" dataDxfId="6">
      <calculatedColumnFormula>IF(A2&lt;&gt;"",IF($D2="H",$L2,NA()),"")</calculatedColumnFormula>
    </tableColumn>
    <tableColumn id="15" xr3:uid="{6EA191D9-9FEC-46F1-8A4E-23D110F2B2EE}" name="Femme" dataDxfId="5">
      <calculatedColumnFormula>IF(A2&lt;&gt;"",IF(D2="F",L2,NA()),"")</calculatedColumnFormula>
    </tableColumn>
    <tableColumn id="22" xr3:uid="{FA1DC3CD-F325-45D1-B950-DB9632F5F0C8}" name="Mixte" dataDxfId="4">
      <calculatedColumnFormula>IF(A2&lt;&gt;"",$L2,NA())</calculatedColumnFormula>
    </tableColumn>
    <tableColumn id="16" xr3:uid="{E4AA568B-9623-4591-9835-D7D893899D66}" name="Sexe2" dataDxfId="3">
      <calculatedColumnFormula>IF(A2&lt;&gt;"",IF($D2="H","Homme","Femme"),"")</calculatedColumnFormula>
    </tableColumn>
    <tableColumn id="17" xr3:uid="{3E3C115E-3F88-4058-AC8F-7E3A5B996D77}" name="Entité" dataDxfId="2">
      <calculatedColumnFormula>IF(A2&lt;&gt;"",A2&amp;CHAR(10)&amp;B2,"")</calculatedColumnFormula>
    </tableColumn>
    <tableColumn id="18" xr3:uid="{5DA16219-0CE8-482E-BD00-D8A4861B1118}" name="Concat. Age" dataDxfId="1">
      <calculatedColumnFormula>"Nom : " &amp;'base de travail'!$C$2:$C$42&amp;CHAR(10)&amp;
"Sexe : "&amp;'base de travail'!$Q$2:$Q$42&amp;CHAR(10)&amp;
"Âge : "&amp;'base de travail'!$E$2:$E$42&amp;" ans"&amp;CHAR(10)&amp;
"Rémunération : "&amp;TEXT('base de travail'!$L$2:$L$42,"# ### €")</calculatedColumnFormula>
    </tableColumn>
    <tableColumn id="19" xr3:uid="{8E9DA591-2BB0-493A-9F65-45B807EA4CBB}" name="Concat. Ancienneté" dataDxfId="0">
      <calculatedColumnFormula>'base de travail'!$C$2:$C$42&amp;CHAR(10)&amp;
"Sexe : "&amp;'base de travail'!$Q$2:$Q$42&amp;CHAR(10)&amp;
"Ancienneté : "&amp;'base de travail'!$F$2:$F$42&amp;" ans"&amp;CHAR(10)&amp;
"Rémunération : "&amp;'base de travail'!$L$2:$L$42&amp;" €"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7A145-F1AD-40C2-AD1B-5ED17B5B8E0A}">
  <sheetPr codeName="Feuil1"/>
  <dimension ref="A1:AD78"/>
  <sheetViews>
    <sheetView tabSelected="1" workbookViewId="0"/>
  </sheetViews>
  <sheetFormatPr baseColWidth="10" defaultColWidth="11.453125" defaultRowHeight="14.5" x14ac:dyDescent="0.35"/>
  <cols>
    <col min="1" max="1" width="9.08984375" bestFit="1" customWidth="1"/>
    <col min="2" max="2" width="25.26953125" bestFit="1" customWidth="1"/>
    <col min="3" max="3" width="12.7265625" bestFit="1" customWidth="1"/>
    <col min="4" max="4" width="5.7265625" bestFit="1" customWidth="1"/>
    <col min="5" max="5" width="4.54296875" bestFit="1" customWidth="1"/>
    <col min="6" max="6" width="5" bestFit="1" customWidth="1"/>
    <col min="7" max="7" width="8.26953125" bestFit="1" customWidth="1"/>
    <col min="8" max="8" width="17.81640625" bestFit="1" customWidth="1"/>
    <col min="9" max="9" width="13.81640625" bestFit="1" customWidth="1"/>
    <col min="10" max="10" width="12.54296875" bestFit="1" customWidth="1"/>
    <col min="11" max="11" width="11.1796875" bestFit="1" customWidth="1"/>
    <col min="12" max="12" width="24.26953125" bestFit="1" customWidth="1"/>
    <col min="13" max="13" width="8.7265625" customWidth="1"/>
    <col min="14" max="14" width="8" customWidth="1"/>
    <col min="15" max="15" width="7.81640625" customWidth="1"/>
    <col min="16" max="16" width="9.1796875" customWidth="1"/>
    <col min="17" max="17" width="8" customWidth="1"/>
    <col min="18" max="18" width="14.7265625" customWidth="1"/>
    <col min="19" max="19" width="57.1796875" customWidth="1"/>
    <col min="20" max="20" width="69" customWidth="1"/>
    <col min="21" max="21" width="10.81640625" customWidth="1"/>
    <col min="22" max="22" width="12.26953125" customWidth="1"/>
    <col min="23" max="23" width="10.81640625" customWidth="1"/>
    <col min="24" max="24" width="50.81640625" customWidth="1"/>
    <col min="25" max="25" width="57.81640625" customWidth="1"/>
    <col min="26" max="26" width="10.81640625" customWidth="1"/>
    <col min="27" max="27" width="21.81640625" customWidth="1"/>
    <col min="28" max="28" width="28.7265625" customWidth="1"/>
    <col min="29" max="29" width="10.81640625" customWidth="1"/>
    <col min="30" max="30" width="7.26953125" customWidth="1"/>
    <col min="31" max="49" width="11.453125" customWidth="1"/>
  </cols>
  <sheetData>
    <row r="1" spans="1:30" x14ac:dyDescent="0.35">
      <c r="A1" s="92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23</v>
      </c>
      <c r="I1" s="6" t="s">
        <v>7</v>
      </c>
      <c r="J1" s="6" t="s">
        <v>8</v>
      </c>
      <c r="K1" s="6" t="s">
        <v>10</v>
      </c>
      <c r="L1" s="6" t="s">
        <v>24</v>
      </c>
      <c r="M1" s="6" t="s">
        <v>120</v>
      </c>
      <c r="N1" s="6" t="s">
        <v>18</v>
      </c>
      <c r="O1" s="6" t="s">
        <v>19</v>
      </c>
      <c r="P1" s="6" t="s">
        <v>22</v>
      </c>
      <c r="Q1" s="6" t="s">
        <v>21</v>
      </c>
      <c r="R1" s="6" t="s">
        <v>20</v>
      </c>
      <c r="S1" s="7" t="s">
        <v>16</v>
      </c>
      <c r="T1" s="7" t="s">
        <v>15</v>
      </c>
      <c r="V1" s="2" t="s">
        <v>11</v>
      </c>
      <c r="X1" s="4" t="s">
        <v>4</v>
      </c>
      <c r="Y1" s="4" t="s">
        <v>13</v>
      </c>
      <c r="AA1" s="1" t="s">
        <v>12</v>
      </c>
      <c r="AB1" s="1" t="s">
        <v>14</v>
      </c>
    </row>
    <row r="2" spans="1:30" x14ac:dyDescent="0.35">
      <c r="A2" s="13" t="s">
        <v>27</v>
      </c>
      <c r="B2" s="14" t="s">
        <v>28</v>
      </c>
      <c r="C2" s="15" t="s">
        <v>29</v>
      </c>
      <c r="D2" s="59" t="s">
        <v>9</v>
      </c>
      <c r="E2" s="75">
        <v>61</v>
      </c>
      <c r="F2" s="75">
        <v>34</v>
      </c>
      <c r="G2" s="69" t="s">
        <v>25</v>
      </c>
      <c r="H2" s="16">
        <v>7330</v>
      </c>
      <c r="I2" s="17"/>
      <c r="J2" s="17"/>
      <c r="K2" s="17"/>
      <c r="L2" s="82">
        <f>(H2*13)+I2+J2+K2</f>
        <v>95290</v>
      </c>
      <c r="M2" s="5">
        <f>IF(A2="","",LignesVisibles($A$2:A2))</f>
        <v>1</v>
      </c>
      <c r="N2" s="5">
        <f t="shared" ref="N2:N42" si="0">IF(A2&lt;&gt;"",IF($D2="H",$L2,NA()),"")</f>
        <v>95290</v>
      </c>
      <c r="O2" s="5" t="e">
        <f t="shared" ref="O2:O42" si="1">IF(A2&lt;&gt;"",IF(D2="F",L2,NA()),"")</f>
        <v>#N/A</v>
      </c>
      <c r="P2" s="5">
        <f>IF(A2&lt;&gt;"",$L2,NA())</f>
        <v>95290</v>
      </c>
      <c r="Q2" s="5" t="str">
        <f>IF(A2&lt;&gt;"",IF($D2="H","Homme","Femme"),"")</f>
        <v>Homme</v>
      </c>
      <c r="R2" s="5" t="str">
        <f>IF(A2&lt;&gt;"",A2&amp;CHAR(10)&amp;B2,"")</f>
        <v>Grenoble
Test1</v>
      </c>
      <c r="S2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a
Sexe : Homme
Âge : 61 ans
Rémunération : 95 290 €</v>
      </c>
      <c r="T2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a
Sexe : Homme
Ancienneté : 34 ans
Rémunération : 95290 €</v>
      </c>
      <c r="V2" s="3">
        <v>19</v>
      </c>
      <c r="X2" s="3" t="str">
        <f>INDEX('base de travail'!$S$2:$S$42,MesPointsIndex)</f>
        <v>Nom : s
Sexe : Homme
Âge : 61 ans
Rémunération : 95 940 €</v>
      </c>
      <c r="Y2" s="3" t="str">
        <f>INDEX('base de travail'!$T$2:$T$42,MesPointsIndex)</f>
        <v>s
Sexe : Homme
Ancienneté : 17 ans
Rémunération : 95940 €</v>
      </c>
      <c r="AD2" t="str">
        <f t="array" ref="AD2">IFERROR(INDEX(Liste,MATCH(SMALL(IF((COUNTIF(AD$1:AD1,Liste)=0)*(Liste&lt;&gt;""),COUNTIF(Liste,"&lt;"&amp;Liste)),1),IF(Liste&lt;&gt;"",COUNTIF(Liste,"&lt;"&amp;Liste)),0)),"")</f>
        <v>Grenoble</v>
      </c>
    </row>
    <row r="3" spans="1:30" x14ac:dyDescent="0.35">
      <c r="A3" s="13" t="s">
        <v>27</v>
      </c>
      <c r="B3" s="14" t="s">
        <v>30</v>
      </c>
      <c r="C3" s="15" t="s">
        <v>31</v>
      </c>
      <c r="D3" s="59" t="s">
        <v>9</v>
      </c>
      <c r="E3" s="75">
        <v>42</v>
      </c>
      <c r="F3" s="75">
        <v>17</v>
      </c>
      <c r="G3" s="69" t="s">
        <v>25</v>
      </c>
      <c r="H3" s="16">
        <v>6970</v>
      </c>
      <c r="I3" s="17"/>
      <c r="J3" s="17"/>
      <c r="K3" s="17"/>
      <c r="L3" s="18">
        <f>(H3*12.3)+I3+J3+K3</f>
        <v>85731</v>
      </c>
      <c r="M3" s="5">
        <f>IF(A3="","",LignesVisibles($A$2:A3))</f>
        <v>2</v>
      </c>
      <c r="N3" s="5">
        <f t="shared" si="0"/>
        <v>85731</v>
      </c>
      <c r="O3" s="5" t="e">
        <f t="shared" si="1"/>
        <v>#N/A</v>
      </c>
      <c r="P3" s="5">
        <f t="shared" ref="P3:P42" si="2">IF(A3&lt;&gt;"",$L3,NA())</f>
        <v>85731</v>
      </c>
      <c r="Q3" s="5" t="str">
        <f t="shared" ref="Q3:Q42" si="3">IF(A3&lt;&gt;"",IF($D3="H","Homme","Femme"),"")</f>
        <v>Homme</v>
      </c>
      <c r="R3" s="5" t="str">
        <f t="shared" ref="R3:R42" si="4">IF(A3&lt;&gt;"",A3&amp;CHAR(10)&amp;B3,"")</f>
        <v>Grenoble
Test2</v>
      </c>
      <c r="S3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b
Sexe : Homme
Âge : 42 ans
Rémunération : 85 731 €</v>
      </c>
      <c r="T3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b
Sexe : Homme
Ancienneté : 17 ans
Rémunération : 85731 €</v>
      </c>
      <c r="AD3" t="str">
        <f t="array" ref="AD3">IFERROR(INDEX(Liste,MATCH(SMALL(IF((COUNTIF(AD$1:AD2,Liste)=0)*(Liste&lt;&gt;""),COUNTIF(Liste,"&lt;"&amp;Liste)),1),IF(Liste&lt;&gt;"",COUNTIF(Liste,"&lt;"&amp;Liste)),0)),"")</f>
        <v>Lyon</v>
      </c>
    </row>
    <row r="4" spans="1:30" x14ac:dyDescent="0.35">
      <c r="A4" s="13" t="s">
        <v>27</v>
      </c>
      <c r="B4" s="14" t="s">
        <v>32</v>
      </c>
      <c r="C4" s="15" t="s">
        <v>33</v>
      </c>
      <c r="D4" s="59" t="s">
        <v>9</v>
      </c>
      <c r="E4" s="75">
        <v>52</v>
      </c>
      <c r="F4" s="75">
        <v>0</v>
      </c>
      <c r="G4" s="69"/>
      <c r="H4" s="16">
        <v>7250</v>
      </c>
      <c r="I4" s="17"/>
      <c r="J4" s="17"/>
      <c r="K4" s="17"/>
      <c r="L4" s="18">
        <f>(H4*12.3)+I4+J4+K4</f>
        <v>89175</v>
      </c>
      <c r="M4" s="5">
        <f>IF(A4="","",LignesVisibles($A$2:A4))</f>
        <v>3</v>
      </c>
      <c r="N4" s="5">
        <f t="shared" si="0"/>
        <v>89175</v>
      </c>
      <c r="O4" s="5" t="e">
        <f t="shared" si="1"/>
        <v>#N/A</v>
      </c>
      <c r="P4" s="5">
        <f t="shared" si="2"/>
        <v>89175</v>
      </c>
      <c r="Q4" s="5" t="str">
        <f t="shared" si="3"/>
        <v>Homme</v>
      </c>
      <c r="R4" s="5" t="str">
        <f t="shared" si="4"/>
        <v>Grenoble
Test3</v>
      </c>
      <c r="S4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c
Sexe : Homme
Âge : 52 ans
Rémunération : 89 175 €</v>
      </c>
      <c r="T4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c
Sexe : Homme
Ancienneté : 0 ans
Rémunération : 89175 €</v>
      </c>
      <c r="AD4" t="str">
        <f t="array" ref="AD4">IFERROR(INDEX(Liste,MATCH(SMALL(IF((COUNTIF(AD$1:AD3,Liste)=0)*(Liste&lt;&gt;""),COUNTIF(Liste,"&lt;"&amp;Liste)),1),IF(Liste&lt;&gt;"",COUNTIF(Liste,"&lt;"&amp;Liste)),0)),"")</f>
        <v>Marseille</v>
      </c>
    </row>
    <row r="5" spans="1:30" x14ac:dyDescent="0.35">
      <c r="A5" s="13" t="s">
        <v>27</v>
      </c>
      <c r="B5" s="14" t="s">
        <v>34</v>
      </c>
      <c r="C5" s="15" t="s">
        <v>35</v>
      </c>
      <c r="D5" s="59" t="s">
        <v>9</v>
      </c>
      <c r="E5" s="75">
        <v>41</v>
      </c>
      <c r="F5" s="75">
        <v>10</v>
      </c>
      <c r="G5" s="69" t="s">
        <v>25</v>
      </c>
      <c r="H5" s="16">
        <v>6020</v>
      </c>
      <c r="I5" s="17"/>
      <c r="J5" s="17"/>
      <c r="K5" s="17"/>
      <c r="L5" s="18">
        <f>(H5*13.4)+I5+J5+K5</f>
        <v>80668</v>
      </c>
      <c r="M5" s="5">
        <f>IF(A5="","",LignesVisibles($A$2:A5))</f>
        <v>4</v>
      </c>
      <c r="N5" s="5">
        <f t="shared" si="0"/>
        <v>80668</v>
      </c>
      <c r="O5" s="5" t="e">
        <f t="shared" si="1"/>
        <v>#N/A</v>
      </c>
      <c r="P5" s="5">
        <f t="shared" si="2"/>
        <v>80668</v>
      </c>
      <c r="Q5" s="5" t="str">
        <f t="shared" si="3"/>
        <v>Homme</v>
      </c>
      <c r="R5" s="5" t="str">
        <f t="shared" si="4"/>
        <v>Grenoble
Test4</v>
      </c>
      <c r="S5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d
Sexe : Homme
Âge : 41 ans
Rémunération : 80 668 €</v>
      </c>
      <c r="T5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d
Sexe : Homme
Ancienneté : 10 ans
Rémunération : 80668 €</v>
      </c>
      <c r="AD5" t="str">
        <f t="array" ref="AD5">IFERROR(INDEX(Liste,MATCH(SMALL(IF((COUNTIF(AD$1:AD4,Liste)=0)*(Liste&lt;&gt;""),COUNTIF(Liste,"&lt;"&amp;Liste)),1),IF(Liste&lt;&gt;"",COUNTIF(Liste,"&lt;"&amp;Liste)),0)),"")</f>
        <v>Nice</v>
      </c>
    </row>
    <row r="6" spans="1:30" x14ac:dyDescent="0.35">
      <c r="A6" s="13" t="s">
        <v>27</v>
      </c>
      <c r="B6" s="14" t="s">
        <v>36</v>
      </c>
      <c r="C6" s="15" t="s">
        <v>37</v>
      </c>
      <c r="D6" s="59" t="s">
        <v>9</v>
      </c>
      <c r="E6" s="75">
        <v>43</v>
      </c>
      <c r="F6" s="75">
        <v>12</v>
      </c>
      <c r="G6" s="69" t="s">
        <v>26</v>
      </c>
      <c r="H6" s="16">
        <v>5950</v>
      </c>
      <c r="I6" s="17"/>
      <c r="J6" s="17"/>
      <c r="K6" s="17"/>
      <c r="L6" s="18">
        <f>(H6*12.3)+I6+J6+K6</f>
        <v>73185</v>
      </c>
      <c r="M6" s="5">
        <f>IF(A6="","",LignesVisibles($A$2:A6))</f>
        <v>5</v>
      </c>
      <c r="N6" s="5">
        <f t="shared" si="0"/>
        <v>73185</v>
      </c>
      <c r="O6" s="5" t="e">
        <f t="shared" si="1"/>
        <v>#N/A</v>
      </c>
      <c r="P6" s="5">
        <f t="shared" si="2"/>
        <v>73185</v>
      </c>
      <c r="Q6" s="5" t="str">
        <f t="shared" si="3"/>
        <v>Homme</v>
      </c>
      <c r="R6" s="5" t="str">
        <f t="shared" si="4"/>
        <v>Grenoble
Test5</v>
      </c>
      <c r="S6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e
Sexe : Homme
Âge : 43 ans
Rémunération : 73 185 €</v>
      </c>
      <c r="T6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e
Sexe : Homme
Ancienneté : 12 ans
Rémunération : 73185 €</v>
      </c>
      <c r="AD6" t="str">
        <f t="array" ref="AD6">IFERROR(INDEX(Liste,MATCH(SMALL(IF((COUNTIF(AD$1:AD5,Liste)=0)*(Liste&lt;&gt;""),COUNTIF(Liste,"&lt;"&amp;Liste)),1),IF(Liste&lt;&gt;"",COUNTIF(Liste,"&lt;"&amp;Liste)),0)),"")</f>
        <v>Paris</v>
      </c>
    </row>
    <row r="7" spans="1:30" x14ac:dyDescent="0.35">
      <c r="A7" s="13" t="s">
        <v>27</v>
      </c>
      <c r="B7" s="14" t="s">
        <v>38</v>
      </c>
      <c r="C7" s="15" t="s">
        <v>39</v>
      </c>
      <c r="D7" s="59" t="s">
        <v>9</v>
      </c>
      <c r="E7" s="75">
        <v>49</v>
      </c>
      <c r="F7" s="75">
        <v>25</v>
      </c>
      <c r="G7" s="69" t="s">
        <v>25</v>
      </c>
      <c r="H7" s="16">
        <v>6800</v>
      </c>
      <c r="I7" s="17"/>
      <c r="J7" s="17"/>
      <c r="K7" s="17"/>
      <c r="L7" s="18">
        <f>(H7*13)+I7+J7+K7</f>
        <v>88400</v>
      </c>
      <c r="M7" s="5">
        <f>IF(A7="","",LignesVisibles($A$2:A7))</f>
        <v>6</v>
      </c>
      <c r="N7" s="5">
        <f t="shared" si="0"/>
        <v>88400</v>
      </c>
      <c r="O7" s="5" t="e">
        <f t="shared" si="1"/>
        <v>#N/A</v>
      </c>
      <c r="P7" s="5">
        <f t="shared" si="2"/>
        <v>88400</v>
      </c>
      <c r="Q7" s="5" t="str">
        <f t="shared" si="3"/>
        <v>Homme</v>
      </c>
      <c r="R7" s="5" t="str">
        <f t="shared" si="4"/>
        <v>Grenoble
Test6</v>
      </c>
      <c r="S7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f
Sexe : Homme
Âge : 49 ans
Rémunération : 88 400 €</v>
      </c>
      <c r="T7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f
Sexe : Homme
Ancienneté : 25 ans
Rémunération : 88400 €</v>
      </c>
      <c r="AD7" t="str">
        <f t="array" ref="AD7">IFERROR(INDEX(Liste,MATCH(SMALL(IF((COUNTIF(AD$1:AD6,Liste)=0)*(Liste&lt;&gt;""),COUNTIF(Liste,"&lt;"&amp;Liste)),1),IF(Liste&lt;&gt;"",COUNTIF(Liste,"&lt;"&amp;Liste)),0)),"")</f>
        <v>Strasbourg</v>
      </c>
    </row>
    <row r="8" spans="1:30" x14ac:dyDescent="0.35">
      <c r="A8" s="19" t="s">
        <v>40</v>
      </c>
      <c r="B8" s="86" t="s">
        <v>41</v>
      </c>
      <c r="C8" s="20" t="s">
        <v>42</v>
      </c>
      <c r="D8" s="60" t="s">
        <v>9</v>
      </c>
      <c r="E8" s="76">
        <v>54</v>
      </c>
      <c r="F8" s="76">
        <v>13</v>
      </c>
      <c r="G8" s="70" t="s">
        <v>43</v>
      </c>
      <c r="H8" s="21">
        <v>6070</v>
      </c>
      <c r="I8" s="22"/>
      <c r="J8" s="22"/>
      <c r="K8" s="22"/>
      <c r="L8" s="23">
        <f>(H8*13)+I8+J8+K8</f>
        <v>78910</v>
      </c>
      <c r="M8" s="5">
        <f>IF(A8="","",LignesVisibles($A$2:A8))</f>
        <v>7</v>
      </c>
      <c r="N8" s="5">
        <f t="shared" si="0"/>
        <v>78910</v>
      </c>
      <c r="O8" s="5" t="e">
        <f t="shared" si="1"/>
        <v>#N/A</v>
      </c>
      <c r="P8" s="5">
        <f t="shared" si="2"/>
        <v>78910</v>
      </c>
      <c r="Q8" s="5" t="str">
        <f t="shared" si="3"/>
        <v>Homme</v>
      </c>
      <c r="R8" s="5" t="str">
        <f t="shared" si="4"/>
        <v>Lyon
Test7</v>
      </c>
      <c r="S8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g
Sexe : Homme
Âge : 54 ans
Rémunération : 78 910 €</v>
      </c>
      <c r="T8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g
Sexe : Homme
Ancienneté : 13 ans
Rémunération : 78910 €</v>
      </c>
      <c r="AD8" t="str">
        <f t="array" ref="AD8">IFERROR(INDEX(Liste,MATCH(SMALL(IF((COUNTIF(AD$1:AD7,Liste)=0)*(Liste&lt;&gt;""),COUNTIF(Liste,"&lt;"&amp;Liste)),1),IF(Liste&lt;&gt;"",COUNTIF(Liste,"&lt;"&amp;Liste)),0)),"")</f>
        <v>Toulouse</v>
      </c>
    </row>
    <row r="9" spans="1:30" x14ac:dyDescent="0.35">
      <c r="A9" s="19" t="s">
        <v>40</v>
      </c>
      <c r="B9" s="86" t="s">
        <v>44</v>
      </c>
      <c r="C9" s="20" t="s">
        <v>45</v>
      </c>
      <c r="D9" s="60" t="s">
        <v>9</v>
      </c>
      <c r="E9" s="76">
        <v>49</v>
      </c>
      <c r="F9" s="76">
        <v>22</v>
      </c>
      <c r="G9" s="70" t="s">
        <v>25</v>
      </c>
      <c r="H9" s="21">
        <v>6480</v>
      </c>
      <c r="I9" s="22"/>
      <c r="J9" s="22"/>
      <c r="K9" s="22"/>
      <c r="L9" s="23">
        <f>(H9*13.4)+I9+J9+K9</f>
        <v>86832</v>
      </c>
      <c r="M9" s="5">
        <f>IF(A9="","",LignesVisibles($A$2:A9))</f>
        <v>8</v>
      </c>
      <c r="N9" s="5">
        <f t="shared" si="0"/>
        <v>86832</v>
      </c>
      <c r="O9" s="5" t="e">
        <f t="shared" si="1"/>
        <v>#N/A</v>
      </c>
      <c r="P9" s="5">
        <f t="shared" si="2"/>
        <v>86832</v>
      </c>
      <c r="Q9" s="5" t="str">
        <f t="shared" si="3"/>
        <v>Homme</v>
      </c>
      <c r="R9" s="5" t="str">
        <f t="shared" si="4"/>
        <v>Lyon
Test8</v>
      </c>
      <c r="S9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h
Sexe : Homme
Âge : 49 ans
Rémunération : 86 832 €</v>
      </c>
      <c r="T9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h
Sexe : Homme
Ancienneté : 22 ans
Rémunération : 86832 €</v>
      </c>
      <c r="AD9" t="str">
        <f t="array" ref="AD9">IFERROR(INDEX(Liste,MATCH(SMALL(IF((COUNTIF(AD$1:AD8,Liste)=0)*(Liste&lt;&gt;""),COUNTIF(Liste,"&lt;"&amp;Liste)),1),IF(Liste&lt;&gt;"",COUNTIF(Liste,"&lt;"&amp;Liste)),0)),"")</f>
        <v/>
      </c>
    </row>
    <row r="10" spans="1:30" x14ac:dyDescent="0.35">
      <c r="A10" s="19" t="s">
        <v>40</v>
      </c>
      <c r="B10" s="86" t="s">
        <v>46</v>
      </c>
      <c r="C10" s="20" t="s">
        <v>47</v>
      </c>
      <c r="D10" s="60" t="s">
        <v>9</v>
      </c>
      <c r="E10" s="76">
        <v>57</v>
      </c>
      <c r="F10" s="76">
        <v>29</v>
      </c>
      <c r="G10" s="70" t="s">
        <v>25</v>
      </c>
      <c r="H10" s="21">
        <v>6530</v>
      </c>
      <c r="I10" s="22"/>
      <c r="J10" s="22"/>
      <c r="K10" s="22"/>
      <c r="L10" s="23">
        <f>(H10*12.3)+I10+J10+K10</f>
        <v>80319</v>
      </c>
      <c r="M10" s="5">
        <f>IF(A10="","",LignesVisibles($A$2:A10))</f>
        <v>9</v>
      </c>
      <c r="N10" s="5">
        <f t="shared" si="0"/>
        <v>80319</v>
      </c>
      <c r="O10" s="5" t="e">
        <f t="shared" si="1"/>
        <v>#N/A</v>
      </c>
      <c r="P10" s="5">
        <f t="shared" si="2"/>
        <v>80319</v>
      </c>
      <c r="Q10" s="5" t="str">
        <f t="shared" si="3"/>
        <v>Homme</v>
      </c>
      <c r="R10" s="5" t="str">
        <f t="shared" si="4"/>
        <v>Lyon
Test9</v>
      </c>
      <c r="S10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i
Sexe : Homme
Âge : 57 ans
Rémunération : 80 319 €</v>
      </c>
      <c r="T10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i
Sexe : Homme
Ancienneté : 29 ans
Rémunération : 80319 €</v>
      </c>
      <c r="AD10" t="str">
        <f t="array" ref="AD10">IFERROR(INDEX(Liste,MATCH(SMALL(IF((COUNTIF(AD$1:AD9,Liste)=0)*(Liste&lt;&gt;""),COUNTIF(Liste,"&lt;"&amp;Liste)),1),IF(Liste&lt;&gt;"",COUNTIF(Liste,"&lt;"&amp;Liste)),0)),"")</f>
        <v/>
      </c>
    </row>
    <row r="11" spans="1:30" x14ac:dyDescent="0.35">
      <c r="A11" s="19" t="s">
        <v>40</v>
      </c>
      <c r="B11" s="86" t="s">
        <v>48</v>
      </c>
      <c r="C11" s="20" t="s">
        <v>49</v>
      </c>
      <c r="D11" s="60" t="s">
        <v>9</v>
      </c>
      <c r="E11" s="76">
        <v>61</v>
      </c>
      <c r="F11" s="76">
        <v>21</v>
      </c>
      <c r="G11" s="70" t="s">
        <v>26</v>
      </c>
      <c r="H11" s="21">
        <v>5750</v>
      </c>
      <c r="I11" s="22"/>
      <c r="J11" s="22"/>
      <c r="K11" s="22"/>
      <c r="L11" s="23">
        <f>(H11*13)+I11+J11+K11</f>
        <v>74750</v>
      </c>
      <c r="M11" s="5">
        <f>IF(A11="","",LignesVisibles($A$2:A11))</f>
        <v>10</v>
      </c>
      <c r="N11" s="5">
        <f t="shared" si="0"/>
        <v>74750</v>
      </c>
      <c r="O11" s="5" t="e">
        <f t="shared" si="1"/>
        <v>#N/A</v>
      </c>
      <c r="P11" s="5">
        <f t="shared" si="2"/>
        <v>74750</v>
      </c>
      <c r="Q11" s="5" t="str">
        <f t="shared" si="3"/>
        <v>Homme</v>
      </c>
      <c r="R11" s="5" t="str">
        <f t="shared" si="4"/>
        <v>Lyon
Test10</v>
      </c>
      <c r="S11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j
Sexe : Homme
Âge : 61 ans
Rémunération : 74 750 €</v>
      </c>
      <c r="T11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j
Sexe : Homme
Ancienneté : 21 ans
Rémunération : 74750 €</v>
      </c>
      <c r="AD11" t="str">
        <f t="array" ref="AD11">IFERROR(INDEX(Liste,MATCH(SMALL(IF((COUNTIF(AD$1:AD10,Liste)=0)*(Liste&lt;&gt;""),COUNTIF(Liste,"&lt;"&amp;Liste)),1),IF(Liste&lt;&gt;"",COUNTIF(Liste,"&lt;"&amp;Liste)),0)),"")</f>
        <v/>
      </c>
    </row>
    <row r="12" spans="1:30" x14ac:dyDescent="0.35">
      <c r="A12" s="19" t="s">
        <v>40</v>
      </c>
      <c r="B12" s="86" t="s">
        <v>50</v>
      </c>
      <c r="C12" s="20" t="s">
        <v>51</v>
      </c>
      <c r="D12" s="60" t="s">
        <v>9</v>
      </c>
      <c r="E12" s="76">
        <v>47</v>
      </c>
      <c r="F12" s="76">
        <v>6</v>
      </c>
      <c r="G12" s="70" t="s">
        <v>25</v>
      </c>
      <c r="H12" s="21">
        <v>5820</v>
      </c>
      <c r="I12" s="22"/>
      <c r="J12" s="22"/>
      <c r="K12" s="22"/>
      <c r="L12" s="23">
        <f>(H12*13.4)+I12+J12+K12</f>
        <v>77988</v>
      </c>
      <c r="M12" s="5">
        <f>IF(A12="","",LignesVisibles($A$2:A12))</f>
        <v>11</v>
      </c>
      <c r="N12" s="5">
        <f t="shared" si="0"/>
        <v>77988</v>
      </c>
      <c r="O12" s="5" t="e">
        <f t="shared" si="1"/>
        <v>#N/A</v>
      </c>
      <c r="P12" s="5">
        <f t="shared" si="2"/>
        <v>77988</v>
      </c>
      <c r="Q12" s="5" t="str">
        <f t="shared" si="3"/>
        <v>Homme</v>
      </c>
      <c r="R12" s="5" t="str">
        <f t="shared" si="4"/>
        <v>Lyon
Test11</v>
      </c>
      <c r="S12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k
Sexe : Homme
Âge : 47 ans
Rémunération : 77 988 €</v>
      </c>
      <c r="T12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k
Sexe : Homme
Ancienneté : 6 ans
Rémunération : 77988 €</v>
      </c>
      <c r="AD12" t="str">
        <f t="array" ref="AD12">IFERROR(INDEX(Liste,MATCH(SMALL(IF((COUNTIF(AD$1:AD11,Liste)=0)*(Liste&lt;&gt;""),COUNTIF(Liste,"&lt;"&amp;Liste)),1),IF(Liste&lt;&gt;"",COUNTIF(Liste,"&lt;"&amp;Liste)),0)),"")</f>
        <v/>
      </c>
    </row>
    <row r="13" spans="1:30" x14ac:dyDescent="0.35">
      <c r="A13" s="19" t="s">
        <v>40</v>
      </c>
      <c r="B13" s="86" t="s">
        <v>52</v>
      </c>
      <c r="C13" s="20" t="s">
        <v>53</v>
      </c>
      <c r="D13" s="60" t="s">
        <v>9</v>
      </c>
      <c r="E13" s="76">
        <v>46</v>
      </c>
      <c r="F13" s="76">
        <v>3</v>
      </c>
      <c r="G13" s="70" t="s">
        <v>25</v>
      </c>
      <c r="H13" s="21">
        <v>7015</v>
      </c>
      <c r="I13" s="22"/>
      <c r="J13" s="22"/>
      <c r="K13" s="22"/>
      <c r="L13" s="23">
        <f>(H13*13.4)+I13+J13+K13</f>
        <v>94001</v>
      </c>
      <c r="M13" s="5">
        <f>IF(A13="","",LignesVisibles($A$2:A13))</f>
        <v>12</v>
      </c>
      <c r="N13" s="5">
        <f t="shared" si="0"/>
        <v>94001</v>
      </c>
      <c r="O13" s="5" t="e">
        <f t="shared" si="1"/>
        <v>#N/A</v>
      </c>
      <c r="P13" s="5">
        <f t="shared" si="2"/>
        <v>94001</v>
      </c>
      <c r="Q13" s="5" t="str">
        <f t="shared" si="3"/>
        <v>Homme</v>
      </c>
      <c r="R13" s="5" t="str">
        <f t="shared" si="4"/>
        <v>Lyon
Test12</v>
      </c>
      <c r="S13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l
Sexe : Homme
Âge : 46 ans
Rémunération : 94 001 €</v>
      </c>
      <c r="T13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l
Sexe : Homme
Ancienneté : 3 ans
Rémunération : 94001 €</v>
      </c>
      <c r="AD13" t="str">
        <f t="array" ref="AD13">IFERROR(INDEX(Liste,MATCH(SMALL(IF((COUNTIF(AD$1:AD12,Liste)=0)*(Liste&lt;&gt;""),COUNTIF(Liste,"&lt;"&amp;Liste)),1),IF(Liste&lt;&gt;"",COUNTIF(Liste,"&lt;"&amp;Liste)),0)),"")</f>
        <v/>
      </c>
    </row>
    <row r="14" spans="1:30" x14ac:dyDescent="0.35">
      <c r="A14" s="24" t="s">
        <v>54</v>
      </c>
      <c r="B14" s="87" t="s">
        <v>55</v>
      </c>
      <c r="C14" s="25" t="s">
        <v>56</v>
      </c>
      <c r="D14" s="61" t="s">
        <v>9</v>
      </c>
      <c r="E14" s="77">
        <v>60</v>
      </c>
      <c r="F14" s="77">
        <v>2</v>
      </c>
      <c r="G14" s="72" t="s">
        <v>26</v>
      </c>
      <c r="H14" s="26">
        <v>6924</v>
      </c>
      <c r="I14" s="27"/>
      <c r="J14" s="27"/>
      <c r="K14" s="27"/>
      <c r="L14" s="28">
        <f>(H14*13.1)+I14+J14+K14</f>
        <v>90704.4</v>
      </c>
      <c r="M14" s="5">
        <f>IF(A14="","",LignesVisibles($A$2:A14))</f>
        <v>13</v>
      </c>
      <c r="N14" s="5">
        <f t="shared" si="0"/>
        <v>90704.4</v>
      </c>
      <c r="O14" s="5" t="e">
        <f t="shared" si="1"/>
        <v>#N/A</v>
      </c>
      <c r="P14" s="5">
        <f t="shared" si="2"/>
        <v>90704.4</v>
      </c>
      <c r="Q14" s="5" t="str">
        <f t="shared" si="3"/>
        <v>Homme</v>
      </c>
      <c r="R14" s="5" t="str">
        <f t="shared" si="4"/>
        <v>Marseille
Test13</v>
      </c>
      <c r="S14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m
Sexe : Homme
Âge : 60 ans
Rémunération : 90 704 €</v>
      </c>
      <c r="T14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m
Sexe : Homme
Ancienneté : 2 ans
Rémunération : 90704,4 €</v>
      </c>
      <c r="AD14" t="str">
        <f t="array" ref="AD14">IFERROR(INDEX(Liste,MATCH(SMALL(IF((COUNTIF(AD$1:AD13,Liste)=0)*(Liste&lt;&gt;""),COUNTIF(Liste,"&lt;"&amp;Liste)),1),IF(Liste&lt;&gt;"",COUNTIF(Liste,"&lt;"&amp;Liste)),0)),"")</f>
        <v/>
      </c>
    </row>
    <row r="15" spans="1:30" x14ac:dyDescent="0.35">
      <c r="A15" s="24" t="s">
        <v>54</v>
      </c>
      <c r="B15" s="87" t="s">
        <v>57</v>
      </c>
      <c r="C15" s="25" t="s">
        <v>58</v>
      </c>
      <c r="D15" s="61" t="s">
        <v>9</v>
      </c>
      <c r="E15" s="77">
        <v>55</v>
      </c>
      <c r="F15" s="77">
        <v>26</v>
      </c>
      <c r="G15" s="72" t="s">
        <v>59</v>
      </c>
      <c r="H15" s="26">
        <v>7100</v>
      </c>
      <c r="I15" s="27"/>
      <c r="J15" s="27"/>
      <c r="K15" s="27"/>
      <c r="L15" s="28">
        <f>(H15*13.1)+I15+J15+K15</f>
        <v>93010</v>
      </c>
      <c r="M15" s="5">
        <f>IF(A15="","",LignesVisibles($A$2:A15))</f>
        <v>14</v>
      </c>
      <c r="N15" s="5">
        <f t="shared" si="0"/>
        <v>93010</v>
      </c>
      <c r="O15" s="5" t="e">
        <f t="shared" si="1"/>
        <v>#N/A</v>
      </c>
      <c r="P15" s="5">
        <f t="shared" si="2"/>
        <v>93010</v>
      </c>
      <c r="Q15" s="5" t="str">
        <f t="shared" si="3"/>
        <v>Homme</v>
      </c>
      <c r="R15" s="5" t="str">
        <f t="shared" si="4"/>
        <v>Marseille
Test14</v>
      </c>
      <c r="S15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n
Sexe : Homme
Âge : 55 ans
Rémunération : 93 010 €</v>
      </c>
      <c r="T15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n
Sexe : Homme
Ancienneté : 26 ans
Rémunération : 93010 €</v>
      </c>
      <c r="AD15" t="str">
        <f t="array" ref="AD15">IFERROR(INDEX(Liste,MATCH(SMALL(IF((COUNTIF(AD$1:AD14,Liste)=0)*(Liste&lt;&gt;""),COUNTIF(Liste,"&lt;"&amp;Liste)),1),IF(Liste&lt;&gt;"",COUNTIF(Liste,"&lt;"&amp;Liste)),0)),"")</f>
        <v/>
      </c>
    </row>
    <row r="16" spans="1:30" x14ac:dyDescent="0.35">
      <c r="A16" s="24" t="s">
        <v>54</v>
      </c>
      <c r="B16" s="87" t="s">
        <v>60</v>
      </c>
      <c r="C16" s="29" t="s">
        <v>61</v>
      </c>
      <c r="D16" s="62" t="s">
        <v>9</v>
      </c>
      <c r="E16" s="77">
        <v>52</v>
      </c>
      <c r="F16" s="77">
        <v>1</v>
      </c>
      <c r="G16" s="71" t="s">
        <v>25</v>
      </c>
      <c r="H16" s="30">
        <v>6850</v>
      </c>
      <c r="I16" s="31"/>
      <c r="J16" s="31"/>
      <c r="K16" s="31"/>
      <c r="L16" s="28">
        <f>(H16*13.4)+I16+J16+K16</f>
        <v>91790</v>
      </c>
      <c r="M16" s="5">
        <f>IF(A16="","",LignesVisibles($A$2:A16))</f>
        <v>15</v>
      </c>
      <c r="N16" s="5">
        <f t="shared" si="0"/>
        <v>91790</v>
      </c>
      <c r="O16" s="5" t="e">
        <f t="shared" si="1"/>
        <v>#N/A</v>
      </c>
      <c r="P16" s="5">
        <f t="shared" si="2"/>
        <v>91790</v>
      </c>
      <c r="Q16" s="5" t="str">
        <f t="shared" si="3"/>
        <v>Homme</v>
      </c>
      <c r="R16" s="5" t="str">
        <f t="shared" si="4"/>
        <v>Marseille
Test15</v>
      </c>
      <c r="S16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o
Sexe : Homme
Âge : 52 ans
Rémunération : 91 790 €</v>
      </c>
      <c r="T16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o
Sexe : Homme
Ancienneté : 1 ans
Rémunération : 91790 €</v>
      </c>
      <c r="AD16" t="str">
        <f t="array" ref="AD16">IFERROR(INDEX(Liste,MATCH(SMALL(IF((COUNTIF(AD$1:AD15,Liste)=0)*(Liste&lt;&gt;""),COUNTIF(Liste,"&lt;"&amp;Liste)),1),IF(Liste&lt;&gt;"",COUNTIF(Liste,"&lt;"&amp;Liste)),0)),"")</f>
        <v/>
      </c>
    </row>
    <row r="17" spans="1:30" x14ac:dyDescent="0.35">
      <c r="A17" s="24" t="s">
        <v>54</v>
      </c>
      <c r="B17" s="87" t="s">
        <v>62</v>
      </c>
      <c r="C17" s="29" t="s">
        <v>63</v>
      </c>
      <c r="D17" s="61" t="s">
        <v>9</v>
      </c>
      <c r="E17" s="77">
        <v>57</v>
      </c>
      <c r="F17" s="77">
        <v>34</v>
      </c>
      <c r="G17" s="72" t="s">
        <v>26</v>
      </c>
      <c r="H17" s="26">
        <v>7600</v>
      </c>
      <c r="I17" s="27"/>
      <c r="J17" s="27"/>
      <c r="K17" s="27"/>
      <c r="L17" s="28">
        <f>(H17*12)+I17+J17+K17</f>
        <v>91200</v>
      </c>
      <c r="M17" s="5">
        <f>IF(A17="","",LignesVisibles($A$2:A17))</f>
        <v>16</v>
      </c>
      <c r="N17" s="5">
        <f t="shared" si="0"/>
        <v>91200</v>
      </c>
      <c r="O17" s="5" t="e">
        <f t="shared" si="1"/>
        <v>#N/A</v>
      </c>
      <c r="P17" s="5">
        <f t="shared" si="2"/>
        <v>91200</v>
      </c>
      <c r="Q17" s="5" t="str">
        <f t="shared" si="3"/>
        <v>Homme</v>
      </c>
      <c r="R17" s="5" t="str">
        <f t="shared" si="4"/>
        <v>Marseille
Test16</v>
      </c>
      <c r="S17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p
Sexe : Homme
Âge : 57 ans
Rémunération : 91 200 €</v>
      </c>
      <c r="T17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p
Sexe : Homme
Ancienneté : 34 ans
Rémunération : 91200 €</v>
      </c>
      <c r="AD17" t="str">
        <f t="array" ref="AD17">IFERROR(INDEX(Liste,MATCH(SMALL(IF((COUNTIF(AD$1:AD16,Liste)=0)*(Liste&lt;&gt;""),COUNTIF(Liste,"&lt;"&amp;Liste)),1),IF(Liste&lt;&gt;"",COUNTIF(Liste,"&lt;"&amp;Liste)),0)),"")</f>
        <v/>
      </c>
    </row>
    <row r="18" spans="1:30" x14ac:dyDescent="0.35">
      <c r="A18" s="24" t="s">
        <v>54</v>
      </c>
      <c r="B18" s="87" t="s">
        <v>64</v>
      </c>
      <c r="C18" s="25" t="s">
        <v>65</v>
      </c>
      <c r="D18" s="61" t="s">
        <v>9</v>
      </c>
      <c r="E18" s="77">
        <v>54</v>
      </c>
      <c r="F18" s="77">
        <v>0</v>
      </c>
      <c r="G18" s="72"/>
      <c r="H18" s="26">
        <v>7500</v>
      </c>
      <c r="I18" s="27"/>
      <c r="J18" s="27"/>
      <c r="K18" s="27"/>
      <c r="L18" s="28">
        <f>(H18*12)+I18+J18+K18</f>
        <v>90000</v>
      </c>
      <c r="M18" s="5">
        <f>IF(A18="","",LignesVisibles($A$2:A18))</f>
        <v>17</v>
      </c>
      <c r="N18" s="5">
        <f t="shared" si="0"/>
        <v>90000</v>
      </c>
      <c r="O18" s="5" t="e">
        <f t="shared" si="1"/>
        <v>#N/A</v>
      </c>
      <c r="P18" s="5">
        <f t="shared" si="2"/>
        <v>90000</v>
      </c>
      <c r="Q18" s="5" t="str">
        <f t="shared" si="3"/>
        <v>Homme</v>
      </c>
      <c r="R18" s="5" t="str">
        <f t="shared" si="4"/>
        <v>Marseille
Test17</v>
      </c>
      <c r="S18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q
Sexe : Homme
Âge : 54 ans
Rémunération : 90 000 €</v>
      </c>
      <c r="T18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q
Sexe : Homme
Ancienneté : 0 ans
Rémunération : 90000 €</v>
      </c>
      <c r="AD18" t="str">
        <f t="array" ref="AD18">IFERROR(INDEX(Liste,MATCH(SMALL(IF((COUNTIF(AD$1:AD17,Liste)=0)*(Liste&lt;&gt;""),COUNTIF(Liste,"&lt;"&amp;Liste)),1),IF(Liste&lt;&gt;"",COUNTIF(Liste,"&lt;"&amp;Liste)),0)),"")</f>
        <v/>
      </c>
    </row>
    <row r="19" spans="1:30" x14ac:dyDescent="0.35">
      <c r="A19" s="24" t="s">
        <v>54</v>
      </c>
      <c r="B19" s="87" t="s">
        <v>66</v>
      </c>
      <c r="C19" s="29" t="s">
        <v>67</v>
      </c>
      <c r="D19" s="61" t="s">
        <v>9</v>
      </c>
      <c r="E19" s="77">
        <v>39</v>
      </c>
      <c r="F19" s="77">
        <v>7</v>
      </c>
      <c r="G19" s="72" t="s">
        <v>25</v>
      </c>
      <c r="H19" s="26">
        <v>5675</v>
      </c>
      <c r="I19" s="27"/>
      <c r="J19" s="27"/>
      <c r="K19" s="27"/>
      <c r="L19" s="28">
        <f>(H19*13.4)+I19+J19+K19</f>
        <v>76045</v>
      </c>
      <c r="M19" s="5">
        <f>IF(A19="","",LignesVisibles($A$2:A19))</f>
        <v>18</v>
      </c>
      <c r="N19" s="5">
        <f t="shared" si="0"/>
        <v>76045</v>
      </c>
      <c r="O19" s="5" t="e">
        <f t="shared" si="1"/>
        <v>#N/A</v>
      </c>
      <c r="P19" s="5">
        <f t="shared" si="2"/>
        <v>76045</v>
      </c>
      <c r="Q19" s="5" t="str">
        <f t="shared" si="3"/>
        <v>Homme</v>
      </c>
      <c r="R19" s="5" t="str">
        <f t="shared" si="4"/>
        <v>Marseille
Test18</v>
      </c>
      <c r="S19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r
Sexe : Homme
Âge : 39 ans
Rémunération : 76 045 €</v>
      </c>
      <c r="T19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r
Sexe : Homme
Ancienneté : 7 ans
Rémunération : 76045 €</v>
      </c>
      <c r="AD19" t="str">
        <f t="array" ref="AD19">IFERROR(INDEX(Liste,MATCH(SMALL(IF((COUNTIF(AD$1:AD18,Liste)=0)*(Liste&lt;&gt;""),COUNTIF(Liste,"&lt;"&amp;Liste)),1),IF(Liste&lt;&gt;"",COUNTIF(Liste,"&lt;"&amp;Liste)),0)),"")</f>
        <v/>
      </c>
    </row>
    <row r="20" spans="1:30" x14ac:dyDescent="0.35">
      <c r="A20" s="32" t="s">
        <v>68</v>
      </c>
      <c r="B20" s="88" t="s">
        <v>69</v>
      </c>
      <c r="C20" s="33" t="s">
        <v>70</v>
      </c>
      <c r="D20" s="63" t="s">
        <v>9</v>
      </c>
      <c r="E20" s="78">
        <v>61</v>
      </c>
      <c r="F20" s="78">
        <v>17</v>
      </c>
      <c r="G20" s="73" t="s">
        <v>59</v>
      </c>
      <c r="H20" s="34">
        <v>7800</v>
      </c>
      <c r="I20" s="35"/>
      <c r="J20" s="35"/>
      <c r="K20" s="35"/>
      <c r="L20" s="36">
        <f>(H20*12.3)+I20+J20+K20</f>
        <v>95940</v>
      </c>
      <c r="M20" s="5">
        <f>IF(A20="","",LignesVisibles($A$2:A20))</f>
        <v>19</v>
      </c>
      <c r="N20" s="5">
        <f t="shared" si="0"/>
        <v>95940</v>
      </c>
      <c r="O20" s="5" t="e">
        <f t="shared" si="1"/>
        <v>#N/A</v>
      </c>
      <c r="P20" s="5">
        <f t="shared" si="2"/>
        <v>95940</v>
      </c>
      <c r="Q20" s="5" t="str">
        <f t="shared" si="3"/>
        <v>Homme</v>
      </c>
      <c r="R20" s="5" t="str">
        <f t="shared" si="4"/>
        <v>Paris
Test19</v>
      </c>
      <c r="S20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s
Sexe : Homme
Âge : 61 ans
Rémunération : 95 940 €</v>
      </c>
      <c r="T20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s
Sexe : Homme
Ancienneté : 17 ans
Rémunération : 95940 €</v>
      </c>
      <c r="AD20" t="str">
        <f t="array" ref="AD20">IFERROR(INDEX(Liste,MATCH(SMALL(IF((COUNTIF(AD$1:AD19,Liste)=0)*(Liste&lt;&gt;""),COUNTIF(Liste,"&lt;"&amp;Liste)),1),IF(Liste&lt;&gt;"",COUNTIF(Liste,"&lt;"&amp;Liste)),0)),"")</f>
        <v/>
      </c>
    </row>
    <row r="21" spans="1:30" x14ac:dyDescent="0.35">
      <c r="A21" s="32" t="s">
        <v>68</v>
      </c>
      <c r="B21" s="88" t="s">
        <v>71</v>
      </c>
      <c r="C21" s="37" t="s">
        <v>72</v>
      </c>
      <c r="D21" s="63" t="s">
        <v>9</v>
      </c>
      <c r="E21" s="78">
        <v>54</v>
      </c>
      <c r="F21" s="78">
        <v>27</v>
      </c>
      <c r="G21" s="73" t="s">
        <v>25</v>
      </c>
      <c r="H21" s="34">
        <v>6750</v>
      </c>
      <c r="I21" s="35"/>
      <c r="J21" s="35"/>
      <c r="K21" s="35"/>
      <c r="L21" s="36">
        <f>(H21*12.3)+I21+J21+K21</f>
        <v>83025</v>
      </c>
      <c r="M21" s="5">
        <f>IF(A21="","",LignesVisibles($A$2:A21))</f>
        <v>20</v>
      </c>
      <c r="N21" s="5">
        <f t="shared" si="0"/>
        <v>83025</v>
      </c>
      <c r="O21" s="5" t="e">
        <f t="shared" si="1"/>
        <v>#N/A</v>
      </c>
      <c r="P21" s="5">
        <f t="shared" si="2"/>
        <v>83025</v>
      </c>
      <c r="Q21" s="5" t="str">
        <f t="shared" si="3"/>
        <v>Homme</v>
      </c>
      <c r="R21" s="5" t="str">
        <f t="shared" si="4"/>
        <v>Paris
Test20</v>
      </c>
      <c r="S21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t
Sexe : Homme
Âge : 54 ans
Rémunération : 83 025 €</v>
      </c>
      <c r="T21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t
Sexe : Homme
Ancienneté : 27 ans
Rémunération : 83025 €</v>
      </c>
      <c r="AD21" t="str">
        <f t="array" ref="AD21">IFERROR(INDEX(Liste,MATCH(SMALL(IF((COUNTIF(AD$1:AD20,Liste)=0)*(Liste&lt;&gt;""),COUNTIF(Liste,"&lt;"&amp;Liste)),1),IF(Liste&lt;&gt;"",COUNTIF(Liste,"&lt;"&amp;Liste)),0)),"")</f>
        <v/>
      </c>
    </row>
    <row r="22" spans="1:30" x14ac:dyDescent="0.35">
      <c r="A22" s="32" t="s">
        <v>68</v>
      </c>
      <c r="B22" s="88" t="s">
        <v>73</v>
      </c>
      <c r="C22" s="38" t="s">
        <v>74</v>
      </c>
      <c r="D22" s="64" t="s">
        <v>9</v>
      </c>
      <c r="E22" s="78">
        <v>50</v>
      </c>
      <c r="F22" s="78">
        <v>0</v>
      </c>
      <c r="G22" s="73"/>
      <c r="H22" s="34">
        <v>5762</v>
      </c>
      <c r="I22" s="35"/>
      <c r="J22" s="35"/>
      <c r="K22" s="35"/>
      <c r="L22" s="39">
        <f>(H22*12.5)+I22+J22+K22</f>
        <v>72025</v>
      </c>
      <c r="M22" s="5">
        <f>IF(A22="","",LignesVisibles($A$2:A22))</f>
        <v>21</v>
      </c>
      <c r="N22" s="5">
        <f t="shared" si="0"/>
        <v>72025</v>
      </c>
      <c r="O22" s="5" t="e">
        <f t="shared" si="1"/>
        <v>#N/A</v>
      </c>
      <c r="P22" s="5">
        <f t="shared" si="2"/>
        <v>72025</v>
      </c>
      <c r="Q22" s="5" t="str">
        <f t="shared" si="3"/>
        <v>Homme</v>
      </c>
      <c r="R22" s="5" t="str">
        <f t="shared" si="4"/>
        <v>Paris
Test21</v>
      </c>
      <c r="S22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u
Sexe : Homme
Âge : 50 ans
Rémunération : 72 025 €</v>
      </c>
      <c r="T22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u
Sexe : Homme
Ancienneté : 0 ans
Rémunération : 72025 €</v>
      </c>
      <c r="AD22" t="str">
        <f t="array" ref="AD22">IFERROR(INDEX(Liste,MATCH(SMALL(IF((COUNTIF(AD$1:AD21,Liste)=0)*(Liste&lt;&gt;""),COUNTIF(Liste,"&lt;"&amp;Liste)),1),IF(Liste&lt;&gt;"",COUNTIF(Liste,"&lt;"&amp;Liste)),0)),"")</f>
        <v/>
      </c>
    </row>
    <row r="23" spans="1:30" x14ac:dyDescent="0.35">
      <c r="A23" s="32" t="s">
        <v>68</v>
      </c>
      <c r="B23" s="88" t="s">
        <v>75</v>
      </c>
      <c r="C23" s="38" t="s">
        <v>76</v>
      </c>
      <c r="D23" s="64" t="s">
        <v>9</v>
      </c>
      <c r="E23" s="78">
        <v>51</v>
      </c>
      <c r="F23" s="78">
        <v>23</v>
      </c>
      <c r="G23" s="73" t="s">
        <v>25</v>
      </c>
      <c r="H23" s="34">
        <v>7190</v>
      </c>
      <c r="I23" s="35"/>
      <c r="J23" s="35"/>
      <c r="K23" s="35"/>
      <c r="L23" s="36">
        <f>(H23*12.3)+I23+J23+K23</f>
        <v>88437</v>
      </c>
      <c r="M23" s="5">
        <f>IF(A23="","",LignesVisibles($A$2:A23))</f>
        <v>22</v>
      </c>
      <c r="N23" s="5">
        <f t="shared" si="0"/>
        <v>88437</v>
      </c>
      <c r="O23" s="5" t="e">
        <f t="shared" si="1"/>
        <v>#N/A</v>
      </c>
      <c r="P23" s="5">
        <f t="shared" si="2"/>
        <v>88437</v>
      </c>
      <c r="Q23" s="5" t="str">
        <f t="shared" si="3"/>
        <v>Homme</v>
      </c>
      <c r="R23" s="5" t="str">
        <f t="shared" si="4"/>
        <v>Paris
Test22</v>
      </c>
      <c r="S23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v
Sexe : Homme
Âge : 51 ans
Rémunération : 88 437 €</v>
      </c>
      <c r="T23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v
Sexe : Homme
Ancienneté : 23 ans
Rémunération : 88437 €</v>
      </c>
      <c r="AD23" t="str">
        <f t="array" ref="AD23">IFERROR(INDEX(Liste,MATCH(SMALL(IF((COUNTIF(AD$1:AD22,Liste)=0)*(Liste&lt;&gt;""),COUNTIF(Liste,"&lt;"&amp;Liste)),1),IF(Liste&lt;&gt;"",COUNTIF(Liste,"&lt;"&amp;Liste)),0)),"")</f>
        <v/>
      </c>
    </row>
    <row r="24" spans="1:30" x14ac:dyDescent="0.35">
      <c r="A24" s="32" t="s">
        <v>68</v>
      </c>
      <c r="B24" s="88" t="s">
        <v>77</v>
      </c>
      <c r="C24" s="33" t="s">
        <v>78</v>
      </c>
      <c r="D24" s="65" t="s">
        <v>9</v>
      </c>
      <c r="E24" s="78">
        <v>43</v>
      </c>
      <c r="F24" s="78">
        <v>17</v>
      </c>
      <c r="G24" s="74" t="s">
        <v>26</v>
      </c>
      <c r="H24" s="40">
        <v>6950</v>
      </c>
      <c r="I24" s="41"/>
      <c r="J24" s="41"/>
      <c r="K24" s="41"/>
      <c r="L24" s="36">
        <f>(H24*12)+I24+J24+K24</f>
        <v>83400</v>
      </c>
      <c r="M24" s="5">
        <f>IF(A24="","",LignesVisibles($A$2:A24))</f>
        <v>23</v>
      </c>
      <c r="N24" s="5">
        <f t="shared" si="0"/>
        <v>83400</v>
      </c>
      <c r="O24" s="5" t="e">
        <f t="shared" si="1"/>
        <v>#N/A</v>
      </c>
      <c r="P24" s="5">
        <f t="shared" si="2"/>
        <v>83400</v>
      </c>
      <c r="Q24" s="5" t="str">
        <f t="shared" si="3"/>
        <v>Homme</v>
      </c>
      <c r="R24" s="5" t="str">
        <f t="shared" si="4"/>
        <v>Paris
Test23</v>
      </c>
      <c r="S24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w
Sexe : Homme
Âge : 43 ans
Rémunération : 83 400 €</v>
      </c>
      <c r="T24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w
Sexe : Homme
Ancienneté : 17 ans
Rémunération : 83400 €</v>
      </c>
      <c r="AD24" t="str">
        <f t="array" ref="AD24">IFERROR(INDEX(Liste,MATCH(SMALL(IF((COUNTIF(AD$1:AD23,Liste)=0)*(Liste&lt;&gt;""),COUNTIF(Liste,"&lt;"&amp;Liste)),1),IF(Liste&lt;&gt;"",COUNTIF(Liste,"&lt;"&amp;Liste)),0)),"")</f>
        <v/>
      </c>
    </row>
    <row r="25" spans="1:30" x14ac:dyDescent="0.35">
      <c r="A25" s="32" t="s">
        <v>68</v>
      </c>
      <c r="B25" s="88" t="s">
        <v>79</v>
      </c>
      <c r="C25" s="42" t="s">
        <v>80</v>
      </c>
      <c r="D25" s="63" t="s">
        <v>9</v>
      </c>
      <c r="E25" s="78">
        <v>41</v>
      </c>
      <c r="F25" s="78">
        <v>13</v>
      </c>
      <c r="G25" s="73" t="s">
        <v>25</v>
      </c>
      <c r="H25" s="34">
        <v>6170</v>
      </c>
      <c r="I25" s="35"/>
      <c r="J25" s="35"/>
      <c r="K25" s="35"/>
      <c r="L25" s="36">
        <f>(H25*12.3)+I25+J25+K25</f>
        <v>75891</v>
      </c>
      <c r="M25" s="5">
        <f>IF(A25="","",LignesVisibles($A$2:A25))</f>
        <v>24</v>
      </c>
      <c r="N25" s="5">
        <f t="shared" si="0"/>
        <v>75891</v>
      </c>
      <c r="O25" s="5" t="e">
        <f t="shared" si="1"/>
        <v>#N/A</v>
      </c>
      <c r="P25" s="5">
        <f t="shared" si="2"/>
        <v>75891</v>
      </c>
      <c r="Q25" s="5" t="str">
        <f t="shared" si="3"/>
        <v>Homme</v>
      </c>
      <c r="R25" s="5" t="str">
        <f t="shared" si="4"/>
        <v>Paris
Test24</v>
      </c>
      <c r="S25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x
Sexe : Homme
Âge : 41 ans
Rémunération : 75 891 €</v>
      </c>
      <c r="T25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x
Sexe : Homme
Ancienneté : 13 ans
Rémunération : 75891 €</v>
      </c>
      <c r="AD25" t="str">
        <f t="array" ref="AD25">IFERROR(INDEX(Liste,MATCH(SMALL(IF((COUNTIF(AD$1:AD24,Liste)=0)*(Liste&lt;&gt;""),COUNTIF(Liste,"&lt;"&amp;Liste)),1),IF(Liste&lt;&gt;"",COUNTIF(Liste,"&lt;"&amp;Liste)),0)),"")</f>
        <v/>
      </c>
    </row>
    <row r="26" spans="1:30" x14ac:dyDescent="0.35">
      <c r="A26" s="32" t="s">
        <v>68</v>
      </c>
      <c r="B26" s="88" t="s">
        <v>81</v>
      </c>
      <c r="C26" s="42" t="s">
        <v>82</v>
      </c>
      <c r="D26" s="63" t="s">
        <v>9</v>
      </c>
      <c r="E26" s="78">
        <v>54</v>
      </c>
      <c r="F26" s="78">
        <v>27</v>
      </c>
      <c r="G26" s="73" t="s">
        <v>25</v>
      </c>
      <c r="H26" s="34">
        <v>7320</v>
      </c>
      <c r="I26" s="35"/>
      <c r="J26" s="35"/>
      <c r="K26" s="35"/>
      <c r="L26" s="36">
        <f>(H26*12.3)+I26+J26+K26</f>
        <v>90036</v>
      </c>
      <c r="M26" s="5">
        <f>IF(A26="","",LignesVisibles($A$2:A26))</f>
        <v>25</v>
      </c>
      <c r="N26" s="5">
        <f t="shared" si="0"/>
        <v>90036</v>
      </c>
      <c r="O26" s="5" t="e">
        <f t="shared" si="1"/>
        <v>#N/A</v>
      </c>
      <c r="P26" s="5">
        <f t="shared" si="2"/>
        <v>90036</v>
      </c>
      <c r="Q26" s="5" t="str">
        <f t="shared" si="3"/>
        <v>Homme</v>
      </c>
      <c r="R26" s="5" t="str">
        <f t="shared" si="4"/>
        <v>Paris
Test25</v>
      </c>
      <c r="S26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y
Sexe : Homme
Âge : 54 ans
Rémunération : 90 036 €</v>
      </c>
      <c r="T26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y
Sexe : Homme
Ancienneté : 27 ans
Rémunération : 90036 €</v>
      </c>
      <c r="AD26" t="str">
        <f t="array" ref="AD26">IFERROR(INDEX(Liste,MATCH(SMALL(IF((COUNTIF(AD$1:AD25,Liste)=0)*(Liste&lt;&gt;""),COUNTIF(Liste,"&lt;"&amp;Liste)),1),IF(Liste&lt;&gt;"",COUNTIF(Liste,"&lt;"&amp;Liste)),0)),"")</f>
        <v/>
      </c>
    </row>
    <row r="27" spans="1:30" x14ac:dyDescent="0.35">
      <c r="A27" s="43" t="s">
        <v>83</v>
      </c>
      <c r="B27" s="89" t="s">
        <v>84</v>
      </c>
      <c r="C27" s="43" t="s">
        <v>85</v>
      </c>
      <c r="D27" s="66" t="s">
        <v>9</v>
      </c>
      <c r="E27" s="79">
        <v>45</v>
      </c>
      <c r="F27" s="79">
        <v>22</v>
      </c>
      <c r="G27" s="83" t="s">
        <v>25</v>
      </c>
      <c r="H27" s="44">
        <v>6470</v>
      </c>
      <c r="I27" s="45"/>
      <c r="J27" s="45"/>
      <c r="K27" s="45"/>
      <c r="L27" s="46">
        <f>(H27*13.4)+I27+J27+K27</f>
        <v>86698</v>
      </c>
      <c r="M27" s="5">
        <f>IF(A27="","",LignesVisibles($A$2:A27))</f>
        <v>26</v>
      </c>
      <c r="N27" s="5">
        <f t="shared" si="0"/>
        <v>86698</v>
      </c>
      <c r="O27" s="5" t="e">
        <f t="shared" si="1"/>
        <v>#N/A</v>
      </c>
      <c r="P27" s="5">
        <f t="shared" si="2"/>
        <v>86698</v>
      </c>
      <c r="Q27" s="5" t="str">
        <f t="shared" si="3"/>
        <v>Homme</v>
      </c>
      <c r="R27" s="5" t="str">
        <f t="shared" si="4"/>
        <v>Strasbourg
Test26</v>
      </c>
      <c r="S27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z
Sexe : Homme
Âge : 45 ans
Rémunération : 86 698 €</v>
      </c>
      <c r="T27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z
Sexe : Homme
Ancienneté : 22 ans
Rémunération : 86698 €</v>
      </c>
      <c r="AD27" t="str">
        <f t="array" ref="AD27">IFERROR(INDEX(Liste,MATCH(SMALL(IF((COUNTIF(AD$1:AD26,Liste)=0)*(Liste&lt;&gt;""),COUNTIF(Liste,"&lt;"&amp;Liste)),1),IF(Liste&lt;&gt;"",COUNTIF(Liste,"&lt;"&amp;Liste)),0)),"")</f>
        <v/>
      </c>
    </row>
    <row r="28" spans="1:30" x14ac:dyDescent="0.35">
      <c r="A28" s="43" t="s">
        <v>83</v>
      </c>
      <c r="B28" s="89" t="s">
        <v>86</v>
      </c>
      <c r="C28" s="47" t="s">
        <v>87</v>
      </c>
      <c r="D28" s="66" t="s">
        <v>9</v>
      </c>
      <c r="E28" s="79">
        <v>44</v>
      </c>
      <c r="F28" s="79">
        <v>21</v>
      </c>
      <c r="G28" s="83" t="s">
        <v>25</v>
      </c>
      <c r="H28" s="44">
        <v>6140</v>
      </c>
      <c r="I28" s="45"/>
      <c r="J28" s="45"/>
      <c r="K28" s="45"/>
      <c r="L28" s="46">
        <f>(H28*12.3)+I28+J28+K28</f>
        <v>75522</v>
      </c>
      <c r="M28" s="5">
        <f>IF(A28="","",LignesVisibles($A$2:A28))</f>
        <v>27</v>
      </c>
      <c r="N28" s="5">
        <f t="shared" si="0"/>
        <v>75522</v>
      </c>
      <c r="O28" s="5" t="e">
        <f t="shared" si="1"/>
        <v>#N/A</v>
      </c>
      <c r="P28" s="5">
        <f t="shared" si="2"/>
        <v>75522</v>
      </c>
      <c r="Q28" s="5" t="str">
        <f t="shared" si="3"/>
        <v>Homme</v>
      </c>
      <c r="R28" s="5" t="str">
        <f t="shared" si="4"/>
        <v>Strasbourg
Test27</v>
      </c>
      <c r="S28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aa
Sexe : Homme
Âge : 44 ans
Rémunération : 75 522 €</v>
      </c>
      <c r="T28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aa
Sexe : Homme
Ancienneté : 21 ans
Rémunération : 75522 €</v>
      </c>
      <c r="AD28" t="str">
        <f t="array" ref="AD28">IFERROR(INDEX(Liste,MATCH(SMALL(IF((COUNTIF(AD$1:AD27,Liste)=0)*(Liste&lt;&gt;""),COUNTIF(Liste,"&lt;"&amp;Liste)),1),IF(Liste&lt;&gt;"",COUNTIF(Liste,"&lt;"&amp;Liste)),0)),"")</f>
        <v/>
      </c>
    </row>
    <row r="29" spans="1:30" x14ac:dyDescent="0.35">
      <c r="A29" s="43" t="s">
        <v>83</v>
      </c>
      <c r="B29" s="89" t="s">
        <v>88</v>
      </c>
      <c r="C29" s="47" t="s">
        <v>89</v>
      </c>
      <c r="D29" s="66" t="s">
        <v>9</v>
      </c>
      <c r="E29" s="79">
        <v>50</v>
      </c>
      <c r="F29" s="79">
        <v>23</v>
      </c>
      <c r="G29" s="83" t="s">
        <v>25</v>
      </c>
      <c r="H29" s="44">
        <v>6490</v>
      </c>
      <c r="I29" s="45"/>
      <c r="J29" s="45"/>
      <c r="K29" s="45"/>
      <c r="L29" s="46">
        <f>(H29*12.3)+I29+J29+K29</f>
        <v>79827</v>
      </c>
      <c r="M29" s="5">
        <f>IF(A29="","",LignesVisibles($A$2:A29))</f>
        <v>28</v>
      </c>
      <c r="N29" s="5">
        <f t="shared" si="0"/>
        <v>79827</v>
      </c>
      <c r="O29" s="5" t="e">
        <f t="shared" si="1"/>
        <v>#N/A</v>
      </c>
      <c r="P29" s="5">
        <f t="shared" si="2"/>
        <v>79827</v>
      </c>
      <c r="Q29" s="5" t="str">
        <f t="shared" si="3"/>
        <v>Homme</v>
      </c>
      <c r="R29" s="5" t="str">
        <f t="shared" si="4"/>
        <v>Strasbourg
Test28</v>
      </c>
      <c r="S29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bb
Sexe : Homme
Âge : 50 ans
Rémunération : 79 827 €</v>
      </c>
      <c r="T29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bb
Sexe : Homme
Ancienneté : 23 ans
Rémunération : 79827 €</v>
      </c>
      <c r="AD29" t="str">
        <f t="array" ref="AD29">IFERROR(INDEX(Liste,MATCH(SMALL(IF((COUNTIF(AD$1:AD28,Liste)=0)*(Liste&lt;&gt;""),COUNTIF(Liste,"&lt;"&amp;Liste)),1),IF(Liste&lt;&gt;"",COUNTIF(Liste,"&lt;"&amp;Liste)),0)),"")</f>
        <v/>
      </c>
    </row>
    <row r="30" spans="1:30" x14ac:dyDescent="0.35">
      <c r="A30" s="43" t="s">
        <v>83</v>
      </c>
      <c r="B30" s="89" t="s">
        <v>90</v>
      </c>
      <c r="C30" s="47" t="s">
        <v>91</v>
      </c>
      <c r="D30" s="66" t="s">
        <v>9</v>
      </c>
      <c r="E30" s="79">
        <v>57</v>
      </c>
      <c r="F30" s="79">
        <v>12</v>
      </c>
      <c r="G30" s="83" t="s">
        <v>25</v>
      </c>
      <c r="H30" s="44">
        <v>6850</v>
      </c>
      <c r="I30" s="45"/>
      <c r="J30" s="45"/>
      <c r="K30" s="45"/>
      <c r="L30" s="46">
        <f>(H30*12.3)+I30+J30+K30</f>
        <v>84255</v>
      </c>
      <c r="M30" s="5">
        <f>IF(A30="","",LignesVisibles($A$2:A30))</f>
        <v>29</v>
      </c>
      <c r="N30" s="5">
        <f t="shared" si="0"/>
        <v>84255</v>
      </c>
      <c r="O30" s="5" t="e">
        <f t="shared" si="1"/>
        <v>#N/A</v>
      </c>
      <c r="P30" s="5">
        <f t="shared" si="2"/>
        <v>84255</v>
      </c>
      <c r="Q30" s="5" t="str">
        <f t="shared" si="3"/>
        <v>Homme</v>
      </c>
      <c r="R30" s="5" t="str">
        <f t="shared" si="4"/>
        <v>Strasbourg
Test29</v>
      </c>
      <c r="S30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cc
Sexe : Homme
Âge : 57 ans
Rémunération : 84 255 €</v>
      </c>
      <c r="T30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cc
Sexe : Homme
Ancienneté : 12 ans
Rémunération : 84255 €</v>
      </c>
      <c r="AD30" t="str">
        <f t="array" ref="AD30">IFERROR(INDEX(Liste,MATCH(SMALL(IF((COUNTIF(AD$1:AD29,Liste)=0)*(Liste&lt;&gt;""),COUNTIF(Liste,"&lt;"&amp;Liste)),1),IF(Liste&lt;&gt;"",COUNTIF(Liste,"&lt;"&amp;Liste)),0)),"")</f>
        <v/>
      </c>
    </row>
    <row r="31" spans="1:30" x14ac:dyDescent="0.35">
      <c r="A31" s="43" t="s">
        <v>83</v>
      </c>
      <c r="B31" s="89" t="s">
        <v>92</v>
      </c>
      <c r="C31" s="47" t="s">
        <v>93</v>
      </c>
      <c r="D31" s="66" t="s">
        <v>9</v>
      </c>
      <c r="E31" s="79">
        <v>51</v>
      </c>
      <c r="F31" s="79">
        <v>10</v>
      </c>
      <c r="G31" s="83"/>
      <c r="H31" s="44">
        <v>7150</v>
      </c>
      <c r="I31" s="45"/>
      <c r="J31" s="45"/>
      <c r="K31" s="45"/>
      <c r="L31" s="46">
        <f>(H31*12)+I31+J31+K31</f>
        <v>85800</v>
      </c>
      <c r="M31" s="5">
        <f>IF(A31="","",LignesVisibles($A$2:A31))</f>
        <v>30</v>
      </c>
      <c r="N31" s="5">
        <f t="shared" si="0"/>
        <v>85800</v>
      </c>
      <c r="O31" s="5" t="e">
        <f t="shared" si="1"/>
        <v>#N/A</v>
      </c>
      <c r="P31" s="5">
        <f t="shared" si="2"/>
        <v>85800</v>
      </c>
      <c r="Q31" s="5" t="str">
        <f t="shared" si="3"/>
        <v>Homme</v>
      </c>
      <c r="R31" s="5" t="str">
        <f t="shared" si="4"/>
        <v>Strasbourg
Test30</v>
      </c>
      <c r="S31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dd
Sexe : Homme
Âge : 51 ans
Rémunération : 85 800 €</v>
      </c>
      <c r="T31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dd
Sexe : Homme
Ancienneté : 10 ans
Rémunération : 85800 €</v>
      </c>
      <c r="AD31" t="str">
        <f t="array" ref="AD31">IFERROR(INDEX(Liste,MATCH(SMALL(IF((COUNTIF(AD$1:AD30,Liste)=0)*(Liste&lt;&gt;""),COUNTIF(Liste,"&lt;"&amp;Liste)),1),IF(Liste&lt;&gt;"",COUNTIF(Liste,"&lt;"&amp;Liste)),0)),"")</f>
        <v/>
      </c>
    </row>
    <row r="32" spans="1:30" x14ac:dyDescent="0.35">
      <c r="A32" s="43" t="s">
        <v>83</v>
      </c>
      <c r="B32" s="89" t="s">
        <v>94</v>
      </c>
      <c r="C32" s="47" t="s">
        <v>95</v>
      </c>
      <c r="D32" s="66" t="s">
        <v>17</v>
      </c>
      <c r="E32" s="79">
        <v>43</v>
      </c>
      <c r="F32" s="79">
        <v>0</v>
      </c>
      <c r="G32" s="83" t="s">
        <v>25</v>
      </c>
      <c r="H32" s="44">
        <v>5600</v>
      </c>
      <c r="I32" s="45"/>
      <c r="J32" s="45"/>
      <c r="K32" s="45"/>
      <c r="L32" s="46">
        <f>(H32*12.3)+I32+J32+K32</f>
        <v>68880</v>
      </c>
      <c r="M32" s="5">
        <f>IF(A32="","",LignesVisibles($A$2:A32))</f>
        <v>31</v>
      </c>
      <c r="N32" s="5" t="e">
        <f t="shared" si="0"/>
        <v>#N/A</v>
      </c>
      <c r="O32" s="5">
        <f t="shared" si="1"/>
        <v>68880</v>
      </c>
      <c r="P32" s="5">
        <f t="shared" si="2"/>
        <v>68880</v>
      </c>
      <c r="Q32" s="5" t="str">
        <f t="shared" si="3"/>
        <v>Femme</v>
      </c>
      <c r="R32" s="5" t="str">
        <f t="shared" si="4"/>
        <v>Strasbourg
Test31</v>
      </c>
      <c r="S32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ee
Sexe : Femme
Âge : 43 ans
Rémunération : 68 880 €</v>
      </c>
      <c r="T32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ee
Sexe : Femme
Ancienneté : 0 ans
Rémunération : 68880 €</v>
      </c>
      <c r="AD32" t="str">
        <f t="array" ref="AD32">IFERROR(INDEX(Liste,MATCH(SMALL(IF((COUNTIF(AD$1:AD31,Liste)=0)*(Liste&lt;&gt;""),COUNTIF(Liste,"&lt;"&amp;Liste)),1),IF(Liste&lt;&gt;"",COUNTIF(Liste,"&lt;"&amp;Liste)),0)),"")</f>
        <v/>
      </c>
    </row>
    <row r="33" spans="1:30" x14ac:dyDescent="0.35">
      <c r="A33" s="48" t="s">
        <v>96</v>
      </c>
      <c r="B33" s="90" t="s">
        <v>97</v>
      </c>
      <c r="C33" s="49" t="s">
        <v>98</v>
      </c>
      <c r="D33" s="67" t="s">
        <v>9</v>
      </c>
      <c r="E33" s="80">
        <v>53</v>
      </c>
      <c r="F33" s="80">
        <v>4</v>
      </c>
      <c r="G33" s="84" t="s">
        <v>25</v>
      </c>
      <c r="H33" s="50">
        <v>6050</v>
      </c>
      <c r="I33" s="51"/>
      <c r="J33" s="51"/>
      <c r="K33" s="51"/>
      <c r="L33" s="52">
        <f>(H33*13.4)+I33++J33+K33</f>
        <v>81070</v>
      </c>
      <c r="M33" s="5">
        <f>IF(A33="","",LignesVisibles($A$2:A33))</f>
        <v>32</v>
      </c>
      <c r="N33" s="5">
        <f t="shared" si="0"/>
        <v>81070</v>
      </c>
      <c r="O33" s="5" t="e">
        <f t="shared" si="1"/>
        <v>#N/A</v>
      </c>
      <c r="P33" s="5">
        <f t="shared" si="2"/>
        <v>81070</v>
      </c>
      <c r="Q33" s="5" t="str">
        <f t="shared" si="3"/>
        <v>Homme</v>
      </c>
      <c r="R33" s="5" t="str">
        <f t="shared" si="4"/>
        <v>Nice
Test32</v>
      </c>
      <c r="S33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ff
Sexe : Homme
Âge : 53 ans
Rémunération : 81 070 €</v>
      </c>
      <c r="T33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ff
Sexe : Homme
Ancienneté : 4 ans
Rémunération : 81070 €</v>
      </c>
      <c r="AD33" t="str">
        <f t="array" ref="AD33">IFERROR(INDEX(Liste,MATCH(SMALL(IF((COUNTIF(AD$1:AD32,Liste)=0)*(Liste&lt;&gt;""),COUNTIF(Liste,"&lt;"&amp;Liste)),1),IF(Liste&lt;&gt;"",COUNTIF(Liste,"&lt;"&amp;Liste)),0)),"")</f>
        <v/>
      </c>
    </row>
    <row r="34" spans="1:30" x14ac:dyDescent="0.35">
      <c r="A34" s="48" t="s">
        <v>96</v>
      </c>
      <c r="B34" s="90" t="s">
        <v>99</v>
      </c>
      <c r="C34" s="49" t="s">
        <v>100</v>
      </c>
      <c r="D34" s="67" t="s">
        <v>9</v>
      </c>
      <c r="E34" s="80">
        <v>49</v>
      </c>
      <c r="F34" s="80">
        <v>1</v>
      </c>
      <c r="G34" s="84" t="s">
        <v>101</v>
      </c>
      <c r="H34" s="50">
        <v>5350</v>
      </c>
      <c r="I34" s="51"/>
      <c r="J34" s="51"/>
      <c r="K34" s="51"/>
      <c r="L34" s="52">
        <f>(H34*12)+I34+J34+K34</f>
        <v>64200</v>
      </c>
      <c r="M34" s="5">
        <f>IF(A34="","",LignesVisibles($A$2:A34))</f>
        <v>33</v>
      </c>
      <c r="N34" s="5">
        <f t="shared" si="0"/>
        <v>64200</v>
      </c>
      <c r="O34" s="5" t="e">
        <f t="shared" si="1"/>
        <v>#N/A</v>
      </c>
      <c r="P34" s="5">
        <f t="shared" si="2"/>
        <v>64200</v>
      </c>
      <c r="Q34" s="5" t="str">
        <f t="shared" si="3"/>
        <v>Homme</v>
      </c>
      <c r="R34" s="5" t="str">
        <f t="shared" si="4"/>
        <v>Nice
Test33</v>
      </c>
      <c r="S34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gg
Sexe : Homme
Âge : 49 ans
Rémunération : 64 200 €</v>
      </c>
      <c r="T34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gg
Sexe : Homme
Ancienneté : 1 ans
Rémunération : 64200 €</v>
      </c>
      <c r="AD34" t="str">
        <f t="array" ref="AD34">IFERROR(INDEX(Liste,MATCH(SMALL(IF((COUNTIF(AD$1:AD33,Liste)=0)*(Liste&lt;&gt;""),COUNTIF(Liste,"&lt;"&amp;Liste)),1),IF(Liste&lt;&gt;"",COUNTIF(Liste,"&lt;"&amp;Liste)),0)),"")</f>
        <v/>
      </c>
    </row>
    <row r="35" spans="1:30" x14ac:dyDescent="0.35">
      <c r="A35" s="48" t="s">
        <v>96</v>
      </c>
      <c r="B35" s="90" t="s">
        <v>102</v>
      </c>
      <c r="C35" s="49" t="s">
        <v>103</v>
      </c>
      <c r="D35" s="67" t="s">
        <v>9</v>
      </c>
      <c r="E35" s="80">
        <v>43</v>
      </c>
      <c r="F35" s="80">
        <v>16</v>
      </c>
      <c r="G35" s="84" t="s">
        <v>26</v>
      </c>
      <c r="H35" s="50">
        <v>5820</v>
      </c>
      <c r="I35" s="51"/>
      <c r="J35" s="51"/>
      <c r="K35" s="51"/>
      <c r="L35" s="52">
        <f>(H35*12)+I35+J35+K35</f>
        <v>69840</v>
      </c>
      <c r="M35" s="5">
        <f>IF(A35="","",LignesVisibles($A$2:A35))</f>
        <v>34</v>
      </c>
      <c r="N35" s="5">
        <f t="shared" si="0"/>
        <v>69840</v>
      </c>
      <c r="O35" s="5" t="e">
        <f t="shared" si="1"/>
        <v>#N/A</v>
      </c>
      <c r="P35" s="5">
        <f t="shared" si="2"/>
        <v>69840</v>
      </c>
      <c r="Q35" s="5" t="str">
        <f t="shared" si="3"/>
        <v>Homme</v>
      </c>
      <c r="R35" s="5" t="str">
        <f t="shared" si="4"/>
        <v>Nice
Test34</v>
      </c>
      <c r="S35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hh
Sexe : Homme
Âge : 43 ans
Rémunération : 69 840 €</v>
      </c>
      <c r="T35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hh
Sexe : Homme
Ancienneté : 16 ans
Rémunération : 69840 €</v>
      </c>
      <c r="AD35" t="str">
        <f t="array" ref="AD35">IFERROR(INDEX(Liste,MATCH(SMALL(IF((COUNTIF(AD$1:AD34,Liste)=0)*(Liste&lt;&gt;""),COUNTIF(Liste,"&lt;"&amp;Liste)),1),IF(Liste&lt;&gt;"",COUNTIF(Liste,"&lt;"&amp;Liste)),0)),"")</f>
        <v/>
      </c>
    </row>
    <row r="36" spans="1:30" x14ac:dyDescent="0.35">
      <c r="A36" s="53" t="s">
        <v>104</v>
      </c>
      <c r="B36" s="91" t="s">
        <v>105</v>
      </c>
      <c r="C36" s="54" t="s">
        <v>106</v>
      </c>
      <c r="D36" s="68" t="s">
        <v>9</v>
      </c>
      <c r="E36" s="81">
        <v>40</v>
      </c>
      <c r="F36" s="81">
        <v>15</v>
      </c>
      <c r="G36" s="85" t="s">
        <v>43</v>
      </c>
      <c r="H36" s="55">
        <v>6800</v>
      </c>
      <c r="I36" s="56"/>
      <c r="J36" s="56"/>
      <c r="K36" s="56"/>
      <c r="L36" s="56">
        <f>(H36*12)+I36+J36+K36</f>
        <v>81600</v>
      </c>
      <c r="M36" s="5">
        <f>IF(A36="","",LignesVisibles($A$2:A36))</f>
        <v>35</v>
      </c>
      <c r="N36" s="5">
        <f t="shared" si="0"/>
        <v>81600</v>
      </c>
      <c r="O36" s="5" t="e">
        <f t="shared" si="1"/>
        <v>#N/A</v>
      </c>
      <c r="P36" s="5">
        <f t="shared" si="2"/>
        <v>81600</v>
      </c>
      <c r="Q36" s="5" t="str">
        <f t="shared" si="3"/>
        <v>Homme</v>
      </c>
      <c r="R36" s="5" t="str">
        <f t="shared" si="4"/>
        <v>Toulouse
Test35</v>
      </c>
      <c r="S36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ii
Sexe : Homme
Âge : 40 ans
Rémunération : 81 600 €</v>
      </c>
      <c r="T36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ii
Sexe : Homme
Ancienneté : 15 ans
Rémunération : 81600 €</v>
      </c>
      <c r="AD36" t="str">
        <f t="array" ref="AD36">IFERROR(INDEX(Liste,MATCH(SMALL(IF((COUNTIF(AD$1:AD35,Liste)=0)*(Liste&lt;&gt;""),COUNTIF(Liste,"&lt;"&amp;Liste)),1),IF(Liste&lt;&gt;"",COUNTIF(Liste,"&lt;"&amp;Liste)),0)),"")</f>
        <v/>
      </c>
    </row>
    <row r="37" spans="1:30" x14ac:dyDescent="0.35">
      <c r="A37" s="53" t="s">
        <v>104</v>
      </c>
      <c r="B37" s="91" t="s">
        <v>107</v>
      </c>
      <c r="C37" s="54" t="s">
        <v>108</v>
      </c>
      <c r="D37" s="68" t="s">
        <v>9</v>
      </c>
      <c r="E37" s="81">
        <v>40</v>
      </c>
      <c r="F37" s="81">
        <v>16</v>
      </c>
      <c r="G37" s="85" t="s">
        <v>25</v>
      </c>
      <c r="H37" s="55">
        <v>6200</v>
      </c>
      <c r="I37" s="56"/>
      <c r="J37" s="56"/>
      <c r="K37" s="56"/>
      <c r="L37" s="56">
        <f>(H37*12.3)+I37+J37+K37</f>
        <v>76260</v>
      </c>
      <c r="M37" s="5">
        <f>IF(A37="","",LignesVisibles($A$2:A37))</f>
        <v>36</v>
      </c>
      <c r="N37" s="5">
        <f t="shared" si="0"/>
        <v>76260</v>
      </c>
      <c r="O37" s="5" t="e">
        <f t="shared" si="1"/>
        <v>#N/A</v>
      </c>
      <c r="P37" s="5">
        <f t="shared" si="2"/>
        <v>76260</v>
      </c>
      <c r="Q37" s="5" t="str">
        <f t="shared" si="3"/>
        <v>Homme</v>
      </c>
      <c r="R37" s="5" t="str">
        <f t="shared" si="4"/>
        <v>Toulouse
Test36</v>
      </c>
      <c r="S37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jj
Sexe : Homme
Âge : 40 ans
Rémunération : 76 260 €</v>
      </c>
      <c r="T37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jj
Sexe : Homme
Ancienneté : 16 ans
Rémunération : 76260 €</v>
      </c>
      <c r="AD37" t="str">
        <f t="array" ref="AD37">IFERROR(INDEX(Liste,MATCH(SMALL(IF((COUNTIF(AD$1:AD36,Liste)=0)*(Liste&lt;&gt;""),COUNTIF(Liste,"&lt;"&amp;Liste)),1),IF(Liste&lt;&gt;"",COUNTIF(Liste,"&lt;"&amp;Liste)),0)),"")</f>
        <v/>
      </c>
    </row>
    <row r="38" spans="1:30" x14ac:dyDescent="0.35">
      <c r="A38" s="53" t="s">
        <v>104</v>
      </c>
      <c r="B38" s="91" t="s">
        <v>109</v>
      </c>
      <c r="C38" s="54" t="s">
        <v>110</v>
      </c>
      <c r="D38" s="68" t="s">
        <v>9</v>
      </c>
      <c r="E38" s="81">
        <v>54</v>
      </c>
      <c r="F38" s="81">
        <v>10</v>
      </c>
      <c r="G38" s="85" t="s">
        <v>111</v>
      </c>
      <c r="H38" s="55">
        <v>8180</v>
      </c>
      <c r="I38" s="56"/>
      <c r="J38" s="56"/>
      <c r="K38" s="56"/>
      <c r="L38" s="56">
        <f>(H38*12)+I38+J38+K38</f>
        <v>98160</v>
      </c>
      <c r="M38" s="5">
        <f>IF(A38="","",LignesVisibles($A$2:A38))</f>
        <v>37</v>
      </c>
      <c r="N38" s="5">
        <f t="shared" si="0"/>
        <v>98160</v>
      </c>
      <c r="O38" s="5" t="e">
        <f t="shared" si="1"/>
        <v>#N/A</v>
      </c>
      <c r="P38" s="5">
        <f t="shared" si="2"/>
        <v>98160</v>
      </c>
      <c r="Q38" s="5" t="str">
        <f t="shared" si="3"/>
        <v>Homme</v>
      </c>
      <c r="R38" s="5" t="str">
        <f t="shared" si="4"/>
        <v>Toulouse
Test37</v>
      </c>
      <c r="S38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kk
Sexe : Homme
Âge : 54 ans
Rémunération : 98 160 €</v>
      </c>
      <c r="T38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kk
Sexe : Homme
Ancienneté : 10 ans
Rémunération : 98160 €</v>
      </c>
      <c r="AD38" t="str">
        <f t="array" ref="AD38">IFERROR(INDEX(Liste,MATCH(SMALL(IF((COUNTIF(AD$1:AD37,Liste)=0)*(Liste&lt;&gt;""),COUNTIF(Liste,"&lt;"&amp;Liste)),1),IF(Liste&lt;&gt;"",COUNTIF(Liste,"&lt;"&amp;Liste)),0)),"")</f>
        <v/>
      </c>
    </row>
    <row r="39" spans="1:30" x14ac:dyDescent="0.35">
      <c r="A39" s="53" t="s">
        <v>104</v>
      </c>
      <c r="B39" s="91" t="s">
        <v>112</v>
      </c>
      <c r="C39" s="54" t="s">
        <v>113</v>
      </c>
      <c r="D39" s="68" t="s">
        <v>17</v>
      </c>
      <c r="E39" s="81">
        <v>45</v>
      </c>
      <c r="F39" s="81">
        <v>11</v>
      </c>
      <c r="G39" s="85" t="s">
        <v>25</v>
      </c>
      <c r="H39" s="55">
        <v>6000</v>
      </c>
      <c r="I39" s="56"/>
      <c r="J39" s="56"/>
      <c r="K39" s="56"/>
      <c r="L39" s="56">
        <f>(H39*12.3)+I39+J39+K39</f>
        <v>73800</v>
      </c>
      <c r="M39" s="5">
        <f>IF(A39="","",LignesVisibles($A$2:A39))</f>
        <v>38</v>
      </c>
      <c r="N39" s="5" t="e">
        <f t="shared" si="0"/>
        <v>#N/A</v>
      </c>
      <c r="O39" s="5">
        <f t="shared" si="1"/>
        <v>73800</v>
      </c>
      <c r="P39" s="5">
        <f t="shared" si="2"/>
        <v>73800</v>
      </c>
      <c r="Q39" s="5" t="str">
        <f t="shared" si="3"/>
        <v>Femme</v>
      </c>
      <c r="R39" s="5" t="str">
        <f t="shared" si="4"/>
        <v>Toulouse
Test38</v>
      </c>
      <c r="S39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ll
Sexe : Femme
Âge : 45 ans
Rémunération : 73 800 €</v>
      </c>
      <c r="T39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ll
Sexe : Femme
Ancienneté : 11 ans
Rémunération : 73800 €</v>
      </c>
      <c r="AD39" t="str">
        <f t="array" ref="AD39">IFERROR(INDEX(Liste,MATCH(SMALL(IF((COUNTIF(AD$1:AD38,Liste)=0)*(Liste&lt;&gt;""),COUNTIF(Liste,"&lt;"&amp;Liste)),1),IF(Liste&lt;&gt;"",COUNTIF(Liste,"&lt;"&amp;Liste)),0)),"")</f>
        <v/>
      </c>
    </row>
    <row r="40" spans="1:30" x14ac:dyDescent="0.35">
      <c r="A40" s="53" t="s">
        <v>104</v>
      </c>
      <c r="B40" s="91" t="s">
        <v>114</v>
      </c>
      <c r="C40" s="54" t="s">
        <v>115</v>
      </c>
      <c r="D40" s="68" t="s">
        <v>9</v>
      </c>
      <c r="E40" s="81">
        <v>60</v>
      </c>
      <c r="F40" s="81">
        <v>0</v>
      </c>
      <c r="G40" s="85" t="s">
        <v>25</v>
      </c>
      <c r="H40" s="55">
        <v>7140</v>
      </c>
      <c r="I40" s="56"/>
      <c r="J40" s="56"/>
      <c r="K40" s="56"/>
      <c r="L40" s="56">
        <f>(H40*12.3)+I40+J40+K40</f>
        <v>87822</v>
      </c>
      <c r="M40" s="5">
        <f>IF(A40="","",LignesVisibles($A$2:A40))</f>
        <v>39</v>
      </c>
      <c r="N40" s="5">
        <f t="shared" si="0"/>
        <v>87822</v>
      </c>
      <c r="O40" s="5" t="e">
        <f t="shared" si="1"/>
        <v>#N/A</v>
      </c>
      <c r="P40" s="5">
        <f t="shared" si="2"/>
        <v>87822</v>
      </c>
      <c r="Q40" s="5" t="str">
        <f t="shared" si="3"/>
        <v>Homme</v>
      </c>
      <c r="R40" s="5" t="str">
        <f t="shared" si="4"/>
        <v>Toulouse
Test39</v>
      </c>
      <c r="S40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mm
Sexe : Homme
Âge : 60 ans
Rémunération : 87 822 €</v>
      </c>
      <c r="T40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mm
Sexe : Homme
Ancienneté : 0 ans
Rémunération : 87822 €</v>
      </c>
      <c r="AD40" t="str">
        <f t="array" ref="AD40">IFERROR(INDEX(Liste,MATCH(SMALL(IF((COUNTIF(AD$1:AD39,Liste)=0)*(Liste&lt;&gt;""),COUNTIF(Liste,"&lt;"&amp;Liste)),1),IF(Liste&lt;&gt;"",COUNTIF(Liste,"&lt;"&amp;Liste)),0)),"")</f>
        <v/>
      </c>
    </row>
    <row r="41" spans="1:30" x14ac:dyDescent="0.35">
      <c r="A41" s="53" t="s">
        <v>104</v>
      </c>
      <c r="B41" s="91" t="s">
        <v>116</v>
      </c>
      <c r="C41" s="54" t="s">
        <v>117</v>
      </c>
      <c r="D41" s="68" t="s">
        <v>17</v>
      </c>
      <c r="E41" s="81">
        <v>45</v>
      </c>
      <c r="F41" s="81">
        <v>19</v>
      </c>
      <c r="G41" s="85" t="s">
        <v>25</v>
      </c>
      <c r="H41" s="55">
        <v>5850</v>
      </c>
      <c r="I41" s="56"/>
      <c r="J41" s="56"/>
      <c r="K41" s="56"/>
      <c r="L41" s="56">
        <f>(H41*13.4)+I41+J41+K41</f>
        <v>78390</v>
      </c>
      <c r="M41" s="5">
        <f>IF(A41="","",LignesVisibles($A$2:A41))</f>
        <v>40</v>
      </c>
      <c r="N41" s="5" t="e">
        <f t="shared" si="0"/>
        <v>#N/A</v>
      </c>
      <c r="O41" s="5">
        <f t="shared" si="1"/>
        <v>78390</v>
      </c>
      <c r="P41" s="5">
        <f t="shared" si="2"/>
        <v>78390</v>
      </c>
      <c r="Q41" s="5" t="str">
        <f t="shared" si="3"/>
        <v>Femme</v>
      </c>
      <c r="R41" s="5" t="str">
        <f t="shared" si="4"/>
        <v>Toulouse
Test40</v>
      </c>
      <c r="S41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nn
Sexe : Femme
Âge : 45 ans
Rémunération : 78 390 €</v>
      </c>
      <c r="T41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nn
Sexe : Femme
Ancienneté : 19 ans
Rémunération : 78390 €</v>
      </c>
      <c r="AD41" t="str">
        <f t="array" ref="AD41">IFERROR(INDEX(Liste,MATCH(SMALL(IF((COUNTIF(AD$1:AD40,Liste)=0)*(Liste&lt;&gt;""),COUNTIF(Liste,"&lt;"&amp;Liste)),1),IF(Liste&lt;&gt;"",COUNTIF(Liste,"&lt;"&amp;Liste)),0)),"")</f>
        <v/>
      </c>
    </row>
    <row r="42" spans="1:30" x14ac:dyDescent="0.35">
      <c r="A42" s="53" t="s">
        <v>104</v>
      </c>
      <c r="B42" s="91" t="s">
        <v>118</v>
      </c>
      <c r="C42" s="57" t="s">
        <v>119</v>
      </c>
      <c r="D42" s="68" t="s">
        <v>9</v>
      </c>
      <c r="E42" s="81">
        <v>60</v>
      </c>
      <c r="F42" s="81">
        <v>36</v>
      </c>
      <c r="G42" s="85" t="s">
        <v>25</v>
      </c>
      <c r="H42" s="55">
        <v>7100</v>
      </c>
      <c r="I42" s="56"/>
      <c r="J42" s="56"/>
      <c r="K42" s="56"/>
      <c r="L42" s="58">
        <f>(H42*12.3)+I42+J42+K42</f>
        <v>87330</v>
      </c>
      <c r="M42" s="5">
        <f>IF(A42="","",LignesVisibles($A$2:A42))</f>
        <v>41</v>
      </c>
      <c r="N42" s="5">
        <f t="shared" si="0"/>
        <v>87330</v>
      </c>
      <c r="O42" s="5" t="e">
        <f t="shared" si="1"/>
        <v>#N/A</v>
      </c>
      <c r="P42" s="5">
        <f t="shared" si="2"/>
        <v>87330</v>
      </c>
      <c r="Q42" s="5" t="str">
        <f t="shared" si="3"/>
        <v>Homme</v>
      </c>
      <c r="R42" s="5" t="str">
        <f t="shared" si="4"/>
        <v>Toulouse
Test41</v>
      </c>
      <c r="S42" s="5" t="str">
        <f>"Nom : " &amp;'base de travail'!$C$2:$C$42&amp;CHAR(10)&amp;
"Sexe : "&amp;'base de travail'!$Q$2:$Q$42&amp;CHAR(10)&amp;
"Âge : "&amp;'base de travail'!$E$2:$E$42&amp;" ans"&amp;CHAR(10)&amp;
"Rémunération : "&amp;TEXT('base de travail'!$L$2:$L$42,"# ### €")</f>
        <v>Nom : oo
Sexe : Homme
Âge : 60 ans
Rémunération : 87 330 €</v>
      </c>
      <c r="T42" s="5" t="str">
        <f>'base de travail'!$C$2:$C$42&amp;CHAR(10)&amp;
"Sexe : "&amp;'base de travail'!$Q$2:$Q$42&amp;CHAR(10)&amp;
"Ancienneté : "&amp;'base de travail'!$F$2:$F$42&amp;" ans"&amp;CHAR(10)&amp;
"Rémunération : "&amp;'base de travail'!$L$2:$L$42&amp;" €"</f>
        <v>oo
Sexe : Homme
Ancienneté : 36 ans
Rémunération : 87330 €</v>
      </c>
      <c r="AD42" t="str">
        <f t="array" ref="AD42">IFERROR(INDEX(Liste,MATCH(SMALL(IF((COUNTIF(AD$1:AD41,Liste)=0)*(Liste&lt;&gt;""),COUNTIF(Liste,"&lt;"&amp;Liste)),1),IF(Liste&lt;&gt;"",COUNTIF(Liste,"&lt;"&amp;Liste)),0)),"")</f>
        <v/>
      </c>
    </row>
    <row r="43" spans="1:30" x14ac:dyDescent="0.35">
      <c r="AD43" t="str">
        <f t="array" ref="AD43">IFERROR(INDEX(Liste,MATCH(SMALL(IF((COUNTIF(AD$1:AD42,Liste)=0)*(Liste&lt;&gt;""),COUNTIF(Liste,"&lt;"&amp;Liste)),1),IF(Liste&lt;&gt;"",COUNTIF(Liste,"&lt;"&amp;Liste)),0)),"")</f>
        <v/>
      </c>
    </row>
    <row r="44" spans="1:30" x14ac:dyDescent="0.35">
      <c r="AD44" t="str">
        <f t="array" ref="AD44">IFERROR(INDEX(Liste,MATCH(SMALL(IF((COUNTIF(AD$1:AD43,Liste)=0)*(Liste&lt;&gt;""),COUNTIF(Liste,"&lt;"&amp;Liste)),1),IF(Liste&lt;&gt;"",COUNTIF(Liste,"&lt;"&amp;Liste)),0)),"")</f>
        <v/>
      </c>
    </row>
    <row r="45" spans="1:30" x14ac:dyDescent="0.35">
      <c r="K45" s="12" t="e">
        <f>AVERAGE(K2:K42)</f>
        <v>#DIV/0!</v>
      </c>
      <c r="L45" s="11">
        <f>SUM(L2:L42)</f>
        <v>3406206.4</v>
      </c>
      <c r="AD45" t="str">
        <f t="array" ref="AD45">IFERROR(INDEX(Liste,MATCH(SMALL(IF((COUNTIF(AD$1:AD44,Liste)=0)*(Liste&lt;&gt;""),COUNTIF(Liste,"&lt;"&amp;Liste)),1),IF(Liste&lt;&gt;"",COUNTIF(Liste,"&lt;"&amp;Liste)),0)),"")</f>
        <v/>
      </c>
    </row>
    <row r="46" spans="1:30" x14ac:dyDescent="0.35">
      <c r="K46" s="8"/>
      <c r="AD46" t="str">
        <f t="array" ref="AD46">IFERROR(INDEX(Liste,MATCH(SMALL(IF((COUNTIF(AD$1:AD45,Liste)=0)*(Liste&lt;&gt;""),COUNTIF(Liste,"&lt;"&amp;Liste)),1),IF(Liste&lt;&gt;"",COUNTIF(Liste,"&lt;"&amp;Liste)),0)),"")</f>
        <v/>
      </c>
    </row>
    <row r="47" spans="1:30" x14ac:dyDescent="0.35">
      <c r="K47" t="str">
        <f>IFERROR(INDEX(M2:M1029,SMALL(IF(M2:M1029&lt;&gt;"",ROW(M2:M1029)-MIN(ROW(M2:M1029))+1,""),ROWS($A$1:A1))),"")</f>
        <v/>
      </c>
      <c r="AD47" t="str">
        <f t="array" ref="AD47">IFERROR(INDEX(Liste,MATCH(SMALL(IF((COUNTIF(AD$1:AD46,Liste)=0)*(Liste&lt;&gt;""),COUNTIF(Liste,"&lt;"&amp;Liste)),1),IF(Liste&lt;&gt;"",COUNTIF(Liste,"&lt;"&amp;Liste)),0)),"")</f>
        <v/>
      </c>
    </row>
    <row r="48" spans="1:30" x14ac:dyDescent="0.35">
      <c r="K48" t="str">
        <f>IFERROR(INDEX($M$2:$M$1029,SMALL(IF($M$2:$M$1029&lt;&gt;"",ROW($M$2:$M$1029)-MIN(ROW($M$2:$M$1029))+1,""),ROWS($A$1:A1))),"")</f>
        <v/>
      </c>
      <c r="AD48" t="str">
        <f t="array" ref="AD48">IFERROR(INDEX(Liste,MATCH(SMALL(IF((COUNTIF(AD$1:AD47,Liste)=0)*(Liste&lt;&gt;""),COUNTIF(Liste,"&lt;"&amp;Liste)),1),IF(Liste&lt;&gt;"",COUNTIF(Liste,"&lt;"&amp;Liste)),0)),"")</f>
        <v/>
      </c>
    </row>
    <row r="49" spans="30:30" x14ac:dyDescent="0.35">
      <c r="AD49" t="str">
        <f t="array" ref="AD49">IFERROR(INDEX(Liste,MATCH(SMALL(IF((COUNTIF(AD$1:AD48,Liste)=0)*(Liste&lt;&gt;""),COUNTIF(Liste,"&lt;"&amp;Liste)),1),IF(Liste&lt;&gt;"",COUNTIF(Liste,"&lt;"&amp;Liste)),0)),"")</f>
        <v/>
      </c>
    </row>
    <row r="50" spans="30:30" x14ac:dyDescent="0.35">
      <c r="AD50" t="str">
        <f t="array" ref="AD50">IFERROR(INDEX(Liste,MATCH(SMALL(IF((COUNTIF(AD$1:AD49,Liste)=0)*(Liste&lt;&gt;""),COUNTIF(Liste,"&lt;"&amp;Liste)),1),IF(Liste&lt;&gt;"",COUNTIF(Liste,"&lt;"&amp;Liste)),0)),"")</f>
        <v/>
      </c>
    </row>
    <row r="51" spans="30:30" x14ac:dyDescent="0.35">
      <c r="AD51" t="str">
        <f t="array" ref="AD51">IFERROR(INDEX(Liste,MATCH(SMALL(IF((COUNTIF(AD$1:AD50,Liste)=0)*(Liste&lt;&gt;""),COUNTIF(Liste,"&lt;"&amp;Liste)),1),IF(Liste&lt;&gt;"",COUNTIF(Liste,"&lt;"&amp;Liste)),0)),"")</f>
        <v/>
      </c>
    </row>
    <row r="52" spans="30:30" x14ac:dyDescent="0.35">
      <c r="AD52" t="str">
        <f t="array" ref="AD52">IFERROR(INDEX(Liste,MATCH(SMALL(IF((COUNTIF(AD$1:AD51,Liste)=0)*(Liste&lt;&gt;""),COUNTIF(Liste,"&lt;"&amp;Liste)),1),IF(Liste&lt;&gt;"",COUNTIF(Liste,"&lt;"&amp;Liste)),0)),"")</f>
        <v/>
      </c>
    </row>
    <row r="53" spans="30:30" x14ac:dyDescent="0.35">
      <c r="AD53" t="str">
        <f t="array" ref="AD53">IFERROR(INDEX(Liste,MATCH(SMALL(IF((COUNTIF(AD$1:AD52,Liste)=0)*(Liste&lt;&gt;""),COUNTIF(Liste,"&lt;"&amp;Liste)),1),IF(Liste&lt;&gt;"",COUNTIF(Liste,"&lt;"&amp;Liste)),0)),"")</f>
        <v/>
      </c>
    </row>
    <row r="54" spans="30:30" x14ac:dyDescent="0.35">
      <c r="AD54" t="str">
        <f t="array" ref="AD54">IFERROR(INDEX(Liste,MATCH(SMALL(IF((COUNTIF(AD$1:AD53,Liste)=0)*(Liste&lt;&gt;""),COUNTIF(Liste,"&lt;"&amp;Liste)),1),IF(Liste&lt;&gt;"",COUNTIF(Liste,"&lt;"&amp;Liste)),0)),"")</f>
        <v/>
      </c>
    </row>
    <row r="55" spans="30:30" x14ac:dyDescent="0.35">
      <c r="AD55" t="str">
        <f t="array" ref="AD55">IFERROR(INDEX(Liste,MATCH(SMALL(IF((COUNTIF(AD$1:AD54,Liste)=0)*(Liste&lt;&gt;""),COUNTIF(Liste,"&lt;"&amp;Liste)),1),IF(Liste&lt;&gt;"",COUNTIF(Liste,"&lt;"&amp;Liste)),0)),"")</f>
        <v/>
      </c>
    </row>
    <row r="56" spans="30:30" x14ac:dyDescent="0.35">
      <c r="AD56" t="str">
        <f t="array" ref="AD56">IFERROR(INDEX(Liste,MATCH(SMALL(IF((COUNTIF(AD$1:AD55,Liste)=0)*(Liste&lt;&gt;""),COUNTIF(Liste,"&lt;"&amp;Liste)),1),IF(Liste&lt;&gt;"",COUNTIF(Liste,"&lt;"&amp;Liste)),0)),"")</f>
        <v/>
      </c>
    </row>
    <row r="57" spans="30:30" x14ac:dyDescent="0.35">
      <c r="AD57" t="str">
        <f t="array" ref="AD57">IFERROR(INDEX(Liste,MATCH(SMALL(IF((COUNTIF(AD$1:AD56,Liste)=0)*(Liste&lt;&gt;""),COUNTIF(Liste,"&lt;"&amp;Liste)),1),IF(Liste&lt;&gt;"",COUNTIF(Liste,"&lt;"&amp;Liste)),0)),"")</f>
        <v/>
      </c>
    </row>
    <row r="58" spans="30:30" x14ac:dyDescent="0.35">
      <c r="AD58" t="str">
        <f t="array" ref="AD58">IFERROR(INDEX(Liste,MATCH(SMALL(IF((COUNTIF(AD$1:AD57,Liste)=0)*(Liste&lt;&gt;""),COUNTIF(Liste,"&lt;"&amp;Liste)),1),IF(Liste&lt;&gt;"",COUNTIF(Liste,"&lt;"&amp;Liste)),0)),"")</f>
        <v/>
      </c>
    </row>
    <row r="59" spans="30:30" x14ac:dyDescent="0.35">
      <c r="AD59" t="str">
        <f t="array" ref="AD59">IFERROR(INDEX(Liste,MATCH(SMALL(IF((COUNTIF(AD$1:AD58,Liste)=0)*(Liste&lt;&gt;""),COUNTIF(Liste,"&lt;"&amp;Liste)),1),IF(Liste&lt;&gt;"",COUNTIF(Liste,"&lt;"&amp;Liste)),0)),"")</f>
        <v/>
      </c>
    </row>
    <row r="60" spans="30:30" x14ac:dyDescent="0.35">
      <c r="AD60" t="str">
        <f t="array" ref="AD60">IFERROR(INDEX(Liste,MATCH(SMALL(IF((COUNTIF(AD$1:AD59,Liste)=0)*(Liste&lt;&gt;""),COUNTIF(Liste,"&lt;"&amp;Liste)),1),IF(Liste&lt;&gt;"",COUNTIF(Liste,"&lt;"&amp;Liste)),0)),"")</f>
        <v/>
      </c>
    </row>
    <row r="61" spans="30:30" x14ac:dyDescent="0.35">
      <c r="AD61" t="str">
        <f t="array" ref="AD61">IFERROR(INDEX(Liste,MATCH(SMALL(IF((COUNTIF(AD$1:AD60,Liste)=0)*(Liste&lt;&gt;""),COUNTIF(Liste,"&lt;"&amp;Liste)),1),IF(Liste&lt;&gt;"",COUNTIF(Liste,"&lt;"&amp;Liste)),0)),"")</f>
        <v/>
      </c>
    </row>
    <row r="62" spans="30:30" x14ac:dyDescent="0.35">
      <c r="AD62" t="str">
        <f t="array" ref="AD62">IFERROR(INDEX(Liste,MATCH(SMALL(IF((COUNTIF(AD$1:AD61,Liste)=0)*(Liste&lt;&gt;""),COUNTIF(Liste,"&lt;"&amp;Liste)),1),IF(Liste&lt;&gt;"",COUNTIF(Liste,"&lt;"&amp;Liste)),0)),"")</f>
        <v/>
      </c>
    </row>
    <row r="63" spans="30:30" x14ac:dyDescent="0.35">
      <c r="AD63" t="str">
        <f t="array" ref="AD63">IFERROR(INDEX(Liste,MATCH(SMALL(IF((COUNTIF(AD$1:AD62,Liste)=0)*(Liste&lt;&gt;""),COUNTIF(Liste,"&lt;"&amp;Liste)),1),IF(Liste&lt;&gt;"",COUNTIF(Liste,"&lt;"&amp;Liste)),0)),"")</f>
        <v/>
      </c>
    </row>
    <row r="64" spans="30:30" x14ac:dyDescent="0.35">
      <c r="AD64" t="str">
        <f t="array" ref="AD64">IFERROR(INDEX(Liste,MATCH(SMALL(IF((COUNTIF(AD$1:AD63,Liste)=0)*(Liste&lt;&gt;""),COUNTIF(Liste,"&lt;"&amp;Liste)),1),IF(Liste&lt;&gt;"",COUNTIF(Liste,"&lt;"&amp;Liste)),0)),"")</f>
        <v/>
      </c>
    </row>
    <row r="65" spans="30:30" x14ac:dyDescent="0.35">
      <c r="AD65" t="str">
        <f t="array" ref="AD65">IFERROR(INDEX(Liste,MATCH(SMALL(IF((COUNTIF(AD$1:AD64,Liste)=0)*(Liste&lt;&gt;""),COUNTIF(Liste,"&lt;"&amp;Liste)),1),IF(Liste&lt;&gt;"",COUNTIF(Liste,"&lt;"&amp;Liste)),0)),"")</f>
        <v/>
      </c>
    </row>
    <row r="66" spans="30:30" x14ac:dyDescent="0.35">
      <c r="AD66" t="str">
        <f t="array" ref="AD66">IFERROR(INDEX(Liste,MATCH(SMALL(IF((COUNTIF(AD$1:AD65,Liste)=0)*(Liste&lt;&gt;""),COUNTIF(Liste,"&lt;"&amp;Liste)),1),IF(Liste&lt;&gt;"",COUNTIF(Liste,"&lt;"&amp;Liste)),0)),"")</f>
        <v/>
      </c>
    </row>
    <row r="67" spans="30:30" x14ac:dyDescent="0.35">
      <c r="AD67" t="str">
        <f t="array" ref="AD67">IFERROR(INDEX(Liste,MATCH(SMALL(IF((COUNTIF(AD$1:AD66,Liste)=0)*(Liste&lt;&gt;""),COUNTIF(Liste,"&lt;"&amp;Liste)),1),IF(Liste&lt;&gt;"",COUNTIF(Liste,"&lt;"&amp;Liste)),0)),"")</f>
        <v/>
      </c>
    </row>
    <row r="68" spans="30:30" x14ac:dyDescent="0.35">
      <c r="AD68" t="str">
        <f t="array" ref="AD68">IFERROR(INDEX(Liste,MATCH(SMALL(IF((COUNTIF(AD$1:AD67,Liste)=0)*(Liste&lt;&gt;""),COUNTIF(Liste,"&lt;"&amp;Liste)),1),IF(Liste&lt;&gt;"",COUNTIF(Liste,"&lt;"&amp;Liste)),0)),"")</f>
        <v/>
      </c>
    </row>
    <row r="69" spans="30:30" x14ac:dyDescent="0.35">
      <c r="AD69" t="str">
        <f t="array" ref="AD69">IFERROR(INDEX(Liste,MATCH(SMALL(IF((COUNTIF(AD$1:AD68,Liste)=0)*(Liste&lt;&gt;""),COUNTIF(Liste,"&lt;"&amp;Liste)),1),IF(Liste&lt;&gt;"",COUNTIF(Liste,"&lt;"&amp;Liste)),0)),"")</f>
        <v/>
      </c>
    </row>
    <row r="70" spans="30:30" x14ac:dyDescent="0.35">
      <c r="AD70" t="str">
        <f t="array" ref="AD70">IFERROR(INDEX(Liste,MATCH(SMALL(IF((COUNTIF(AD$1:AD69,Liste)=0)*(Liste&lt;&gt;""),COUNTIF(Liste,"&lt;"&amp;Liste)),1),IF(Liste&lt;&gt;"",COUNTIF(Liste,"&lt;"&amp;Liste)),0)),"")</f>
        <v/>
      </c>
    </row>
    <row r="71" spans="30:30" x14ac:dyDescent="0.35">
      <c r="AD71" t="str">
        <f t="array" ref="AD71">IFERROR(INDEX(Liste,MATCH(SMALL(IF((COUNTIF(AD$1:AD70,Liste)=0)*(Liste&lt;&gt;""),COUNTIF(Liste,"&lt;"&amp;Liste)),1),IF(Liste&lt;&gt;"",COUNTIF(Liste,"&lt;"&amp;Liste)),0)),"")</f>
        <v/>
      </c>
    </row>
    <row r="72" spans="30:30" x14ac:dyDescent="0.35">
      <c r="AD72" t="str">
        <f t="array" ref="AD72">IFERROR(INDEX(Liste,MATCH(SMALL(IF((COUNTIF(AD$1:AD71,Liste)=0)*(Liste&lt;&gt;""),COUNTIF(Liste,"&lt;"&amp;Liste)),1),IF(Liste&lt;&gt;"",COUNTIF(Liste,"&lt;"&amp;Liste)),0)),"")</f>
        <v/>
      </c>
    </row>
    <row r="73" spans="30:30" x14ac:dyDescent="0.35">
      <c r="AD73" t="str">
        <f t="array" ref="AD73">IFERROR(INDEX(Liste,MATCH(SMALL(IF((COUNTIF(AD$1:AD72,Liste)=0)*(Liste&lt;&gt;""),COUNTIF(Liste,"&lt;"&amp;Liste)),1),IF(Liste&lt;&gt;"",COUNTIF(Liste,"&lt;"&amp;Liste)),0)),"")</f>
        <v/>
      </c>
    </row>
    <row r="74" spans="30:30" x14ac:dyDescent="0.35">
      <c r="AD74" t="str">
        <f t="array" ref="AD74">IFERROR(INDEX(Liste,MATCH(SMALL(IF((COUNTIF(AD$1:AD73,Liste)=0)*(Liste&lt;&gt;""),COUNTIF(Liste,"&lt;"&amp;Liste)),1),IF(Liste&lt;&gt;"",COUNTIF(Liste,"&lt;"&amp;Liste)),0)),"")</f>
        <v/>
      </c>
    </row>
    <row r="75" spans="30:30" x14ac:dyDescent="0.35">
      <c r="AD75" t="str">
        <f t="array" ref="AD75">IFERROR(INDEX(Liste,MATCH(SMALL(IF((COUNTIF(AD$1:AD74,Liste)=0)*(Liste&lt;&gt;""),COUNTIF(Liste,"&lt;"&amp;Liste)),1),IF(Liste&lt;&gt;"",COUNTIF(Liste,"&lt;"&amp;Liste)),0)),"")</f>
        <v/>
      </c>
    </row>
    <row r="76" spans="30:30" x14ac:dyDescent="0.35">
      <c r="AD76" t="str">
        <f t="array" ref="AD76">IFERROR(INDEX(Liste,MATCH(SMALL(IF((COUNTIF(AD$1:AD75,Liste)=0)*(Liste&lt;&gt;""),COUNTIF(Liste,"&lt;"&amp;Liste)),1),IF(Liste&lt;&gt;"",COUNTIF(Liste,"&lt;"&amp;Liste)),0)),"")</f>
        <v/>
      </c>
    </row>
    <row r="77" spans="30:30" x14ac:dyDescent="0.35">
      <c r="AD77" t="str">
        <f t="array" ref="AD77">IFERROR(INDEX(Liste,MATCH(SMALL(IF((COUNTIF(AD$1:AD76,Liste)=0)*(Liste&lt;&gt;""),COUNTIF(Liste,"&lt;"&amp;Liste)),1),IF(Liste&lt;&gt;"",COUNTIF(Liste,"&lt;"&amp;Liste)),0)),"")</f>
        <v/>
      </c>
    </row>
    <row r="78" spans="30:30" x14ac:dyDescent="0.35">
      <c r="AD78" t="str">
        <f t="array" ref="AD78">IFERROR(INDEX(Liste,MATCH(SMALL(IF((COUNTIF(AD$1:AD77,Liste)=0)*(Liste&lt;&gt;""),COUNTIF(Liste,"&lt;"&amp;Liste)),1),IF(Liste&lt;&gt;"",COUNTIF(Liste,"&lt;"&amp;Liste)),0)),"")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7FD37-4AD2-4D80-B4CC-7746B6DCAF8D}">
  <sheetPr codeName="Feuil2">
    <tabColor rgb="FFCCFFFF"/>
  </sheetPr>
  <dimension ref="K2:L4"/>
  <sheetViews>
    <sheetView showGridLines="0" zoomScaleNormal="100" workbookViewId="0"/>
  </sheetViews>
  <sheetFormatPr baseColWidth="10" defaultColWidth="11.453125" defaultRowHeight="14.5" x14ac:dyDescent="0.35"/>
  <cols>
    <col min="10" max="10" width="11.453125" customWidth="1"/>
    <col min="11" max="11" width="11.54296875" customWidth="1"/>
    <col min="12" max="12" width="11.81640625" customWidth="1"/>
    <col min="13" max="14" width="11.453125" customWidth="1"/>
  </cols>
  <sheetData>
    <row r="2" spans="11:12" x14ac:dyDescent="0.35">
      <c r="K2" s="94" cm="1">
        <f t="array" ref="K2">LINEST(Tableau1[Rémuneration Brute 2025],Tableau1[Age],,1)</f>
        <v>627.49824316338038</v>
      </c>
      <c r="L2" s="94"/>
    </row>
    <row r="4" spans="11:12" x14ac:dyDescent="0.35">
      <c r="K4" s="93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4E2DA-E5B9-4076-8174-4ABA4A562197}">
  <sheetPr codeName="Feuil3">
    <tabColor rgb="FFCCFFCC"/>
  </sheetPr>
  <dimension ref="K3:L5"/>
  <sheetViews>
    <sheetView showGridLines="0" zoomScaleNormal="100" workbookViewId="0"/>
  </sheetViews>
  <sheetFormatPr baseColWidth="10" defaultColWidth="11.453125" defaultRowHeight="14.5" x14ac:dyDescent="0.35"/>
  <cols>
    <col min="11" max="11" width="11.54296875" bestFit="1" customWidth="1"/>
    <col min="12" max="12" width="11.81640625" bestFit="1" customWidth="1"/>
  </cols>
  <sheetData>
    <row r="3" spans="11:12" x14ac:dyDescent="0.35">
      <c r="K3" s="9" cm="1">
        <f t="array" ref="K3">LINEST(Tableau1[Rémuneration Brute 2025],Tableau1[Anc.],,1)</f>
        <v>182.97384274640086</v>
      </c>
      <c r="L3" s="9"/>
    </row>
    <row r="5" spans="11:12" x14ac:dyDescent="0.35">
      <c r="K5" s="10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097d74d1-a94c-4957-8f30-a4b5938eb21b" xsi:nil="true"/>
    <lcf76f155ced4ddcb4097134ff3c332f xmlns="36e14515-25c9-4447-9c5c-fa90b2dc2b0c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338FC1C9215843A7FA9A386D290B40" ma:contentTypeVersion="19" ma:contentTypeDescription="Crée un document." ma:contentTypeScope="" ma:versionID="21d6058191e02f7b5bff40b0a5545839">
  <xsd:schema xmlns:xsd="http://www.w3.org/2001/XMLSchema" xmlns:xs="http://www.w3.org/2001/XMLSchema" xmlns:p="http://schemas.microsoft.com/office/2006/metadata/properties" xmlns:ns2="36e14515-25c9-4447-9c5c-fa90b2dc2b0c" xmlns:ns3="097d74d1-a94c-4957-8f30-a4b5938eb21b" targetNamespace="http://schemas.microsoft.com/office/2006/metadata/properties" ma:root="true" ma:fieldsID="eea26f93a013279c766e7cb57cd64c6d" ns2:_="" ns3:_="">
    <xsd:import namespace="36e14515-25c9-4447-9c5c-fa90b2dc2b0c"/>
    <xsd:import namespace="097d74d1-a94c-4957-8f30-a4b5938eb21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2:MediaServiceLocation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e14515-25c9-4447-9c5c-fa90b2dc2b0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a63a5a08-bdb1-493c-bc0f-6a02678610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6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7d74d1-a94c-4957-8f30-a4b5938eb21b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80dbc215-04c6-4d5e-8b5f-eb2780192dc3}" ma:internalName="TaxCatchAll" ma:showField="CatchAllData" ma:web="097d74d1-a94c-4957-8f30-a4b5938eb21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26DCB00-2233-492B-9317-D51A1A26674B}">
  <ds:schemaRefs>
    <ds:schemaRef ds:uri="http://schemas.microsoft.com/office/2006/metadata/properties"/>
    <ds:schemaRef ds:uri="http://schemas.microsoft.com/office/infopath/2007/PartnerControls"/>
    <ds:schemaRef ds:uri="097d74d1-a94c-4957-8f30-a4b5938eb21b"/>
    <ds:schemaRef ds:uri="36e14515-25c9-4447-9c5c-fa90b2dc2b0c"/>
  </ds:schemaRefs>
</ds:datastoreItem>
</file>

<file path=customXml/itemProps2.xml><?xml version="1.0" encoding="utf-8"?>
<ds:datastoreItem xmlns:ds="http://schemas.openxmlformats.org/officeDocument/2006/customXml" ds:itemID="{36D84B20-AAAF-44BA-A5A6-56DCD13FBF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e14515-25c9-4447-9c5c-fa90b2dc2b0c"/>
    <ds:schemaRef ds:uri="097d74d1-a94c-4957-8f30-a4b5938eb21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44950A1-D242-482E-8E8B-AC57B183799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travail</vt:lpstr>
      <vt:lpstr>rem par age</vt:lpstr>
      <vt:lpstr>rem par ancienneté</vt:lpstr>
      <vt:lpstr>Liste</vt:lpstr>
      <vt:lpstr>MesPointsIndex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BELKASMI Nezha</dc:creator>
  <dcterms:created xsi:type="dcterms:W3CDTF">2024-04-04T07:37:52Z</dcterms:created>
  <dcterms:modified xsi:type="dcterms:W3CDTF">2026-03-14T07:20:02Z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0x01010073338FC1C9215843A7FA9A386D290B40</vt:lpwstr>
  </property>
  <property fmtid="{D5CDD505-2E9C-101B-9397-08002B2CF9AE}" pid="3" name="MediaServiceImageTags">
    <vt:lpwstr/>
  </property>
</Properties>
</file>