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hidePivotFieldList="1" defaultThemeVersion="164011"/>
  <mc:AlternateContent xmlns:mc="http://schemas.openxmlformats.org/markup-compatibility/2006">
    <mc:Choice Requires="x15">
      <x15ac:absPath xmlns:x15ac="http://schemas.microsoft.com/office/spreadsheetml/2010/11/ac" url="C:\Users\P000620\Desktop\"/>
    </mc:Choice>
  </mc:AlternateContent>
  <bookViews>
    <workbookView xWindow="0" yWindow="0" windowWidth="19200" windowHeight="6900" tabRatio="894" firstSheet="1" activeTab="2"/>
  </bookViews>
  <sheets>
    <sheet name="import" sheetId="2" state="hidden" r:id="rId1"/>
    <sheet name="extract" sheetId="1" r:id="rId2"/>
    <sheet name="Tableaux de suivi" sheetId="14" r:id="rId3"/>
  </sheets>
  <definedNames>
    <definedName name="_xlnm._FilterDatabase" localSheetId="1" hidden="1">extract!$A$1:$W$416</definedName>
    <definedName name="_xlnm._FilterDatabase" localSheetId="0" hidden="1">import!$A$1:$M$147</definedName>
  </definedNames>
  <calcPr calcId="162913"/>
</workbook>
</file>

<file path=xl/calcChain.xml><?xml version="1.0" encoding="utf-8"?>
<calcChain xmlns="http://schemas.openxmlformats.org/spreadsheetml/2006/main">
  <c r="E6" i="14" l="1"/>
  <c r="F6" i="14"/>
  <c r="G6" i="14"/>
  <c r="H6" i="14"/>
  <c r="I6" i="14"/>
  <c r="J6" i="14"/>
  <c r="K6" i="14"/>
  <c r="L6" i="14"/>
  <c r="M6" i="14"/>
  <c r="N6" i="14"/>
  <c r="O6" i="14"/>
  <c r="E7" i="14"/>
  <c r="F7" i="14"/>
  <c r="G7" i="14"/>
  <c r="H7" i="14"/>
  <c r="I7" i="14"/>
  <c r="J7" i="14"/>
  <c r="K7" i="14"/>
  <c r="L7" i="14"/>
  <c r="M7" i="14"/>
  <c r="N7" i="14"/>
  <c r="O7" i="14"/>
  <c r="E8" i="14"/>
  <c r="F8" i="14"/>
  <c r="G8" i="14"/>
  <c r="H8" i="14"/>
  <c r="I8" i="14"/>
  <c r="J8" i="14"/>
  <c r="K8" i="14"/>
  <c r="L8" i="14"/>
  <c r="M8" i="14"/>
  <c r="N8" i="14"/>
  <c r="O8" i="14"/>
  <c r="E9" i="14"/>
  <c r="F9" i="14"/>
  <c r="G9" i="14"/>
  <c r="H9" i="14"/>
  <c r="I9" i="14"/>
  <c r="J9" i="14"/>
  <c r="K9" i="14"/>
  <c r="L9" i="14"/>
  <c r="M9" i="14"/>
  <c r="N9" i="14"/>
  <c r="O9" i="14"/>
  <c r="D7" i="14"/>
  <c r="D8" i="14"/>
  <c r="D9" i="14"/>
  <c r="D6" i="14"/>
  <c r="E13" i="14"/>
  <c r="F13" i="14"/>
  <c r="G13" i="14"/>
  <c r="H13" i="14"/>
  <c r="I13" i="14"/>
  <c r="J13" i="14"/>
  <c r="K13" i="14"/>
  <c r="L13" i="14"/>
  <c r="M13" i="14"/>
  <c r="N13" i="14"/>
  <c r="O13" i="14"/>
  <c r="E14" i="14"/>
  <c r="F14" i="14"/>
  <c r="G14" i="14"/>
  <c r="H14" i="14"/>
  <c r="I14" i="14"/>
  <c r="J14" i="14"/>
  <c r="K14" i="14"/>
  <c r="L14" i="14"/>
  <c r="M14" i="14"/>
  <c r="N14" i="14"/>
  <c r="O14" i="14"/>
  <c r="E15" i="14"/>
  <c r="F15" i="14"/>
  <c r="G15" i="14"/>
  <c r="H15" i="14"/>
  <c r="I15" i="14"/>
  <c r="J15" i="14"/>
  <c r="K15" i="14"/>
  <c r="L15" i="14"/>
  <c r="M15" i="14"/>
  <c r="N15" i="14"/>
  <c r="O15" i="14"/>
  <c r="E16" i="14"/>
  <c r="F16" i="14"/>
  <c r="G16" i="14"/>
  <c r="H16" i="14"/>
  <c r="I16" i="14"/>
  <c r="J16" i="14"/>
  <c r="K16" i="14"/>
  <c r="L16" i="14"/>
  <c r="M16" i="14"/>
  <c r="N16" i="14"/>
  <c r="O16" i="14"/>
  <c r="D14" i="14"/>
  <c r="D15" i="14"/>
  <c r="D16" i="14"/>
  <c r="D13" i="14"/>
  <c r="E20" i="14"/>
  <c r="F20" i="14"/>
  <c r="G20" i="14"/>
  <c r="H20" i="14"/>
  <c r="I20" i="14"/>
  <c r="J20" i="14"/>
  <c r="K20" i="14"/>
  <c r="L20" i="14"/>
  <c r="M20" i="14"/>
  <c r="N20" i="14"/>
  <c r="O20" i="14"/>
  <c r="E21" i="14"/>
  <c r="F21" i="14"/>
  <c r="G21" i="14"/>
  <c r="H21" i="14"/>
  <c r="I21" i="14"/>
  <c r="J21" i="14"/>
  <c r="K21" i="14"/>
  <c r="L21" i="14"/>
  <c r="M21" i="14"/>
  <c r="N21" i="14"/>
  <c r="O21" i="14"/>
  <c r="E22" i="14"/>
  <c r="F22" i="14"/>
  <c r="G22" i="14"/>
  <c r="H22" i="14"/>
  <c r="I22" i="14"/>
  <c r="J22" i="14"/>
  <c r="K22" i="14"/>
  <c r="L22" i="14"/>
  <c r="M22" i="14"/>
  <c r="N22" i="14"/>
  <c r="O22" i="14"/>
  <c r="E23" i="14"/>
  <c r="F23" i="14"/>
  <c r="G23" i="14"/>
  <c r="H23" i="14"/>
  <c r="I23" i="14"/>
  <c r="J23" i="14"/>
  <c r="K23" i="14"/>
  <c r="L23" i="14"/>
  <c r="M23" i="14"/>
  <c r="N23" i="14"/>
  <c r="O23" i="14"/>
  <c r="D21" i="14"/>
  <c r="D22" i="14"/>
  <c r="D23" i="14"/>
  <c r="D20" i="14"/>
  <c r="D29" i="14"/>
  <c r="E29" i="14"/>
  <c r="F29" i="14"/>
  <c r="G29" i="14"/>
  <c r="H29" i="14"/>
  <c r="I29" i="14"/>
  <c r="J29" i="14"/>
  <c r="K29" i="14"/>
  <c r="L29" i="14"/>
  <c r="M29" i="14"/>
  <c r="N29" i="14"/>
  <c r="O29" i="14"/>
  <c r="E28" i="14"/>
  <c r="F28" i="14"/>
  <c r="G28" i="14"/>
  <c r="H28" i="14"/>
  <c r="I28" i="14"/>
  <c r="J28" i="14"/>
  <c r="K28" i="14"/>
  <c r="L28" i="14"/>
  <c r="M28" i="14"/>
  <c r="N28" i="14"/>
  <c r="O28" i="14"/>
  <c r="D28" i="14"/>
  <c r="W3" i="1"/>
  <c r="W4" i="1"/>
  <c r="W5" i="1"/>
  <c r="W6" i="1"/>
  <c r="W7" i="1"/>
  <c r="W8" i="1"/>
  <c r="W9" i="1"/>
  <c r="W10" i="1"/>
  <c r="W11" i="1"/>
  <c r="W12" i="1"/>
  <c r="W13" i="1"/>
  <c r="W14" i="1"/>
  <c r="W15" i="1"/>
  <c r="W16" i="1"/>
  <c r="W17" i="1"/>
  <c r="W18" i="1"/>
  <c r="W19" i="1"/>
  <c r="W20" i="1"/>
  <c r="W21" i="1"/>
  <c r="W22" i="1"/>
  <c r="W23" i="1"/>
  <c r="W24" i="1"/>
  <c r="W25" i="1"/>
  <c r="W26" i="1"/>
  <c r="W27" i="1"/>
  <c r="W28" i="1"/>
  <c r="W29" i="1"/>
  <c r="W30" i="1"/>
  <c r="W31" i="1"/>
  <c r="W32" i="1"/>
  <c r="W33" i="1"/>
  <c r="W34" i="1"/>
  <c r="W35" i="1"/>
  <c r="W36" i="1"/>
  <c r="W37" i="1"/>
  <c r="W38" i="1"/>
  <c r="W39" i="1"/>
  <c r="W40" i="1"/>
  <c r="W41" i="1"/>
  <c r="W42" i="1"/>
  <c r="W43" i="1"/>
  <c r="W44" i="1"/>
  <c r="W45" i="1"/>
  <c r="W46" i="1"/>
  <c r="W47" i="1"/>
  <c r="W48" i="1"/>
  <c r="W49" i="1"/>
  <c r="W50" i="1"/>
  <c r="W51" i="1"/>
  <c r="W52" i="1"/>
  <c r="W53" i="1"/>
  <c r="W54" i="1"/>
  <c r="W55" i="1"/>
  <c r="W56" i="1"/>
  <c r="W57" i="1"/>
  <c r="W58" i="1"/>
  <c r="W59" i="1"/>
  <c r="W60" i="1"/>
  <c r="W61" i="1"/>
  <c r="W62" i="1"/>
  <c r="W63" i="1"/>
  <c r="W64" i="1"/>
  <c r="W65" i="1"/>
  <c r="W66" i="1"/>
  <c r="W67" i="1"/>
  <c r="W68" i="1"/>
  <c r="W69" i="1"/>
  <c r="W70" i="1"/>
  <c r="W71" i="1"/>
  <c r="W72" i="1"/>
  <c r="W73" i="1"/>
  <c r="W74" i="1"/>
  <c r="W75" i="1"/>
  <c r="W76" i="1"/>
  <c r="W77" i="1"/>
  <c r="W78" i="1"/>
  <c r="W79" i="1"/>
  <c r="W80" i="1"/>
  <c r="W81" i="1"/>
  <c r="W82" i="1"/>
  <c r="W83" i="1"/>
  <c r="W84" i="1"/>
  <c r="W85" i="1"/>
  <c r="W86" i="1"/>
  <c r="W87" i="1"/>
  <c r="W88" i="1"/>
  <c r="W89" i="1"/>
  <c r="W90" i="1"/>
  <c r="W91" i="1"/>
  <c r="W92" i="1"/>
  <c r="W93" i="1"/>
  <c r="W94" i="1"/>
  <c r="W95" i="1"/>
  <c r="W96" i="1"/>
  <c r="W97" i="1"/>
  <c r="W98" i="1"/>
  <c r="W99" i="1"/>
  <c r="W100" i="1"/>
  <c r="W101" i="1"/>
  <c r="W102" i="1"/>
  <c r="W103" i="1"/>
  <c r="W104" i="1"/>
  <c r="W105" i="1"/>
  <c r="W106" i="1"/>
  <c r="W107" i="1"/>
  <c r="W108" i="1"/>
  <c r="W109" i="1"/>
  <c r="W110" i="1"/>
  <c r="W111" i="1"/>
  <c r="W112" i="1"/>
  <c r="W113" i="1"/>
  <c r="W114" i="1"/>
  <c r="W115" i="1"/>
  <c r="W116" i="1"/>
  <c r="W117" i="1"/>
  <c r="W118" i="1"/>
  <c r="W119" i="1"/>
  <c r="W120" i="1"/>
  <c r="W121" i="1"/>
  <c r="W122" i="1"/>
  <c r="W123" i="1"/>
  <c r="W124" i="1"/>
  <c r="W125" i="1"/>
  <c r="W126" i="1"/>
  <c r="W127" i="1"/>
  <c r="W128" i="1"/>
  <c r="W129" i="1"/>
  <c r="W130" i="1"/>
  <c r="W131" i="1"/>
  <c r="W132" i="1"/>
  <c r="W133" i="1"/>
  <c r="W134" i="1"/>
  <c r="W135" i="1"/>
  <c r="W136" i="1"/>
  <c r="W137" i="1"/>
  <c r="W138" i="1"/>
  <c r="W139" i="1"/>
  <c r="W140" i="1"/>
  <c r="W141" i="1"/>
  <c r="W142" i="1"/>
  <c r="W143" i="1"/>
  <c r="W2" i="1"/>
  <c r="D27" i="14" l="1"/>
  <c r="E27" i="14"/>
  <c r="F27" i="14"/>
  <c r="G27" i="14"/>
  <c r="H27" i="14"/>
  <c r="I27" i="14"/>
  <c r="J27" i="14"/>
  <c r="K27" i="14"/>
  <c r="L27" i="14"/>
  <c r="M27" i="14"/>
  <c r="N27" i="14"/>
  <c r="O27" i="14"/>
  <c r="D65" i="14"/>
  <c r="AI30" i="14"/>
  <c r="AJ30" i="14"/>
  <c r="AK30" i="14"/>
  <c r="AL30" i="14"/>
  <c r="AM30" i="14"/>
  <c r="AN30" i="14"/>
  <c r="AO30" i="14"/>
  <c r="AP30" i="14"/>
  <c r="AQ30" i="14"/>
  <c r="AR30" i="14"/>
  <c r="AS30" i="14"/>
  <c r="AH30" i="14"/>
  <c r="AH27" i="14" l="1"/>
  <c r="AH6" i="14"/>
  <c r="Q37" i="1"/>
  <c r="Q36" i="1"/>
  <c r="AI27" i="14"/>
  <c r="AJ27" i="14"/>
  <c r="AK27" i="14"/>
  <c r="AL27" i="14"/>
  <c r="AM27" i="14"/>
  <c r="AN27" i="14"/>
  <c r="AO27" i="14"/>
  <c r="AP27" i="14"/>
  <c r="AQ27" i="14"/>
  <c r="AR27" i="14"/>
  <c r="AS27" i="14"/>
  <c r="P3" i="1" l="1"/>
  <c r="P4" i="1"/>
  <c r="P5" i="1"/>
  <c r="P6" i="1"/>
  <c r="P7" i="1"/>
  <c r="P8" i="1"/>
  <c r="P9" i="1"/>
  <c r="P10" i="1"/>
  <c r="P11" i="1"/>
  <c r="P12" i="1"/>
  <c r="P13" i="1"/>
  <c r="P14" i="1"/>
  <c r="P15" i="1"/>
  <c r="P16" i="1"/>
  <c r="P17" i="1"/>
  <c r="P18" i="1"/>
  <c r="P19" i="1"/>
  <c r="P20" i="1"/>
  <c r="P21" i="1"/>
  <c r="P22" i="1"/>
  <c r="P23" i="1"/>
  <c r="P24" i="1"/>
  <c r="P25" i="1"/>
  <c r="P26" i="1"/>
  <c r="P27" i="1"/>
  <c r="P28" i="1"/>
  <c r="P29" i="1"/>
  <c r="P30" i="1"/>
  <c r="P31" i="1"/>
  <c r="P32" i="1"/>
  <c r="P33" i="1"/>
  <c r="P34" i="1"/>
  <c r="P35" i="1"/>
  <c r="P36" i="1"/>
  <c r="P37" i="1"/>
  <c r="P38" i="1"/>
  <c r="P39" i="1"/>
  <c r="P40" i="1"/>
  <c r="P41" i="1"/>
  <c r="P42" i="1"/>
  <c r="P43" i="1"/>
  <c r="P44" i="1"/>
  <c r="P45" i="1"/>
  <c r="P46" i="1"/>
  <c r="P47" i="1"/>
  <c r="P48" i="1"/>
  <c r="P49" i="1"/>
  <c r="P50" i="1"/>
  <c r="P51" i="1"/>
  <c r="P52" i="1"/>
  <c r="P53" i="1"/>
  <c r="P54" i="1"/>
  <c r="P55" i="1"/>
  <c r="P56" i="1"/>
  <c r="P57" i="1"/>
  <c r="P58" i="1"/>
  <c r="P59" i="1"/>
  <c r="P60" i="1"/>
  <c r="P61" i="1"/>
  <c r="P62" i="1"/>
  <c r="P63" i="1"/>
  <c r="P64" i="1"/>
  <c r="P65" i="1"/>
  <c r="P66" i="1"/>
  <c r="P67" i="1"/>
  <c r="P68" i="1"/>
  <c r="P69" i="1"/>
  <c r="P70" i="1"/>
  <c r="P71" i="1"/>
  <c r="P72" i="1"/>
  <c r="P73" i="1"/>
  <c r="P74" i="1"/>
  <c r="P75" i="1"/>
  <c r="P76" i="1"/>
  <c r="P77" i="1"/>
  <c r="P78" i="1"/>
  <c r="P79" i="1"/>
  <c r="P80" i="1"/>
  <c r="P81" i="1"/>
  <c r="P82" i="1"/>
  <c r="P83" i="1"/>
  <c r="P84" i="1"/>
  <c r="P85" i="1"/>
  <c r="P86" i="1"/>
  <c r="P87" i="1"/>
  <c r="P88" i="1"/>
  <c r="P89" i="1"/>
  <c r="P90" i="1"/>
  <c r="P91" i="1"/>
  <c r="P92" i="1"/>
  <c r="P93" i="1"/>
  <c r="P94" i="1"/>
  <c r="P95" i="1"/>
  <c r="P96" i="1"/>
  <c r="P97" i="1"/>
  <c r="P98" i="1"/>
  <c r="P99" i="1"/>
  <c r="P100" i="1"/>
  <c r="P101" i="1"/>
  <c r="P102" i="1"/>
  <c r="P103" i="1"/>
  <c r="P104" i="1"/>
  <c r="P105" i="1"/>
  <c r="P106" i="1"/>
  <c r="P107" i="1"/>
  <c r="P108" i="1"/>
  <c r="P109" i="1"/>
  <c r="P110" i="1"/>
  <c r="P111" i="1"/>
  <c r="P112" i="1"/>
  <c r="P113" i="1"/>
  <c r="P114" i="1"/>
  <c r="P115" i="1"/>
  <c r="P116" i="1"/>
  <c r="P117" i="1"/>
  <c r="P118" i="1"/>
  <c r="P119" i="1"/>
  <c r="P120" i="1"/>
  <c r="P121" i="1"/>
  <c r="P122" i="1"/>
  <c r="P123" i="1"/>
  <c r="P124" i="1"/>
  <c r="P125" i="1"/>
  <c r="P126" i="1"/>
  <c r="P127" i="1"/>
  <c r="P128" i="1"/>
  <c r="P129" i="1"/>
  <c r="P130" i="1"/>
  <c r="P131" i="1"/>
  <c r="P132" i="1"/>
  <c r="P133" i="1"/>
  <c r="P134" i="1"/>
  <c r="P135" i="1"/>
  <c r="P136" i="1"/>
  <c r="P137" i="1"/>
  <c r="P138" i="1"/>
  <c r="P139" i="1"/>
  <c r="P140" i="1"/>
  <c r="P141" i="1"/>
  <c r="P142" i="1"/>
  <c r="P143" i="1"/>
  <c r="P2" i="1"/>
  <c r="AH13" i="14"/>
  <c r="AH14" i="14"/>
  <c r="AH7" i="14"/>
  <c r="AH8" i="14"/>
  <c r="AH9" i="14"/>
  <c r="AI6" i="14"/>
  <c r="AJ6" i="14"/>
  <c r="AK6" i="14"/>
  <c r="AL6" i="14"/>
  <c r="AM6" i="14"/>
  <c r="AN6" i="14"/>
  <c r="AO6" i="14"/>
  <c r="AP6" i="14"/>
  <c r="AQ6" i="14"/>
  <c r="AR6" i="14"/>
  <c r="AS6" i="14"/>
  <c r="AI7" i="14"/>
  <c r="AJ7" i="14"/>
  <c r="AK7" i="14"/>
  <c r="AL7" i="14"/>
  <c r="AM7" i="14"/>
  <c r="AN7" i="14"/>
  <c r="AO7" i="14"/>
  <c r="AP7" i="14"/>
  <c r="AQ7" i="14"/>
  <c r="AR7" i="14"/>
  <c r="AS7" i="14"/>
  <c r="AI8" i="14"/>
  <c r="AJ8" i="14"/>
  <c r="AK8" i="14"/>
  <c r="AL8" i="14"/>
  <c r="AM8" i="14"/>
  <c r="AN8" i="14"/>
  <c r="AO8" i="14"/>
  <c r="AP8" i="14"/>
  <c r="AQ8" i="14"/>
  <c r="AR8" i="14"/>
  <c r="AS8" i="14"/>
  <c r="AI9" i="14"/>
  <c r="AJ9" i="14"/>
  <c r="AK9" i="14"/>
  <c r="AL9" i="14"/>
  <c r="AM9" i="14"/>
  <c r="AN9" i="14"/>
  <c r="AO9" i="14"/>
  <c r="AP9" i="14"/>
  <c r="AQ9" i="14"/>
  <c r="AR9" i="14"/>
  <c r="AS9" i="14"/>
  <c r="AI29" i="14"/>
  <c r="AJ29" i="14"/>
  <c r="AK29" i="14"/>
  <c r="AL29" i="14"/>
  <c r="AM29" i="14"/>
  <c r="AN29" i="14"/>
  <c r="AO29" i="14"/>
  <c r="AP29" i="14"/>
  <c r="AQ29" i="14"/>
  <c r="AR29" i="14"/>
  <c r="AS29" i="14"/>
  <c r="AH29" i="14"/>
  <c r="AI28" i="14"/>
  <c r="AJ28" i="14"/>
  <c r="AK28" i="14"/>
  <c r="AL28" i="14"/>
  <c r="AM28" i="14"/>
  <c r="AN28" i="14"/>
  <c r="AO28" i="14"/>
  <c r="AP28" i="14"/>
  <c r="AQ28" i="14"/>
  <c r="AR28" i="14"/>
  <c r="AS28" i="14"/>
  <c r="AH28" i="14"/>
  <c r="AH21" i="14"/>
  <c r="AI13" i="14"/>
  <c r="AJ13" i="14"/>
  <c r="AK13" i="14"/>
  <c r="AL13" i="14"/>
  <c r="AM13" i="14"/>
  <c r="AN13" i="14"/>
  <c r="AO13" i="14"/>
  <c r="AP13" i="14"/>
  <c r="AQ13" i="14"/>
  <c r="AR13" i="14"/>
  <c r="AS13" i="14"/>
  <c r="AI14" i="14"/>
  <c r="AJ14" i="14"/>
  <c r="AK14" i="14"/>
  <c r="AL14" i="14"/>
  <c r="AM14" i="14"/>
  <c r="AN14" i="14"/>
  <c r="AO14" i="14"/>
  <c r="AP14" i="14"/>
  <c r="AQ14" i="14"/>
  <c r="AR14" i="14"/>
  <c r="AS14" i="14"/>
  <c r="AI15" i="14"/>
  <c r="AJ15" i="14"/>
  <c r="AK15" i="14"/>
  <c r="AL15" i="14"/>
  <c r="AM15" i="14"/>
  <c r="AN15" i="14"/>
  <c r="AO15" i="14"/>
  <c r="AP15" i="14"/>
  <c r="AQ15" i="14"/>
  <c r="AR15" i="14"/>
  <c r="AS15" i="14"/>
  <c r="AI16" i="14"/>
  <c r="AJ16" i="14"/>
  <c r="AK16" i="14"/>
  <c r="AL16" i="14"/>
  <c r="AM16" i="14"/>
  <c r="AN16" i="14"/>
  <c r="AO16" i="14"/>
  <c r="AP16" i="14"/>
  <c r="AQ16" i="14"/>
  <c r="AR16" i="14"/>
  <c r="AS16" i="14"/>
  <c r="AH15" i="14"/>
  <c r="AH16" i="14"/>
  <c r="AI20" i="14"/>
  <c r="AJ20" i="14"/>
  <c r="AK20" i="14"/>
  <c r="AL20" i="14"/>
  <c r="AM20" i="14"/>
  <c r="AN20" i="14"/>
  <c r="AO20" i="14"/>
  <c r="AP20" i="14"/>
  <c r="AQ20" i="14"/>
  <c r="AR20" i="14"/>
  <c r="AS20" i="14"/>
  <c r="AI21" i="14"/>
  <c r="AJ21" i="14"/>
  <c r="AK21" i="14"/>
  <c r="AL21" i="14"/>
  <c r="AM21" i="14"/>
  <c r="AN21" i="14"/>
  <c r="AO21" i="14"/>
  <c r="AP21" i="14"/>
  <c r="AQ21" i="14"/>
  <c r="AR21" i="14"/>
  <c r="AS21" i="14"/>
  <c r="AI22" i="14"/>
  <c r="AJ22" i="14"/>
  <c r="AK22" i="14"/>
  <c r="AL22" i="14"/>
  <c r="AM22" i="14"/>
  <c r="AN22" i="14"/>
  <c r="AO22" i="14"/>
  <c r="AP22" i="14"/>
  <c r="AQ22" i="14"/>
  <c r="AR22" i="14"/>
  <c r="AS22" i="14"/>
  <c r="AI23" i="14"/>
  <c r="AJ23" i="14"/>
  <c r="AK23" i="14"/>
  <c r="AL23" i="14"/>
  <c r="AM23" i="14"/>
  <c r="AN23" i="14"/>
  <c r="AO23" i="14"/>
  <c r="AP23" i="14"/>
  <c r="AQ23" i="14"/>
  <c r="AR23" i="14"/>
  <c r="AS23" i="14"/>
  <c r="AH22" i="14"/>
  <c r="AH23" i="14"/>
  <c r="AH20" i="14"/>
  <c r="I2" i="1" l="1"/>
  <c r="R2" i="1" l="1"/>
  <c r="U2" i="1" s="1"/>
  <c r="S3" i="1"/>
  <c r="S4" i="1"/>
  <c r="S5" i="1"/>
  <c r="S6" i="1"/>
  <c r="S7" i="1"/>
  <c r="S8" i="1"/>
  <c r="S9" i="1"/>
  <c r="S10" i="1"/>
  <c r="S11" i="1"/>
  <c r="S12" i="1"/>
  <c r="S13" i="1"/>
  <c r="S14" i="1"/>
  <c r="S15" i="1"/>
  <c r="S16" i="1"/>
  <c r="S17" i="1"/>
  <c r="S18" i="1"/>
  <c r="S19" i="1"/>
  <c r="S20" i="1"/>
  <c r="S21" i="1"/>
  <c r="S22" i="1"/>
  <c r="S23" i="1"/>
  <c r="S24" i="1"/>
  <c r="S25" i="1"/>
  <c r="S26" i="1"/>
  <c r="S27" i="1"/>
  <c r="S28" i="1"/>
  <c r="S29" i="1"/>
  <c r="S30" i="1"/>
  <c r="S31" i="1"/>
  <c r="S32" i="1"/>
  <c r="S33" i="1"/>
  <c r="S34" i="1"/>
  <c r="S35" i="1"/>
  <c r="S36" i="1"/>
  <c r="V36" i="1" s="1"/>
  <c r="S37" i="1"/>
  <c r="S38" i="1"/>
  <c r="S39" i="1"/>
  <c r="S40" i="1"/>
  <c r="S41" i="1"/>
  <c r="S42" i="1"/>
  <c r="S43" i="1"/>
  <c r="S44" i="1"/>
  <c r="S45" i="1"/>
  <c r="S46" i="1"/>
  <c r="S47" i="1"/>
  <c r="S48" i="1"/>
  <c r="S49" i="1"/>
  <c r="S50" i="1"/>
  <c r="S51" i="1"/>
  <c r="S52" i="1"/>
  <c r="S53" i="1"/>
  <c r="S54" i="1"/>
  <c r="S55" i="1"/>
  <c r="S56" i="1"/>
  <c r="S57" i="1"/>
  <c r="S58" i="1"/>
  <c r="S59" i="1"/>
  <c r="S60" i="1"/>
  <c r="S61" i="1"/>
  <c r="S62" i="1"/>
  <c r="S63" i="1"/>
  <c r="V63" i="1" s="1"/>
  <c r="S64" i="1"/>
  <c r="S65" i="1"/>
  <c r="S66" i="1"/>
  <c r="S67" i="1"/>
  <c r="S68" i="1"/>
  <c r="S69" i="1"/>
  <c r="S70" i="1"/>
  <c r="S71" i="1"/>
  <c r="S72" i="1"/>
  <c r="S73" i="1"/>
  <c r="S74" i="1"/>
  <c r="S75" i="1"/>
  <c r="S76" i="1"/>
  <c r="S77" i="1"/>
  <c r="S78" i="1"/>
  <c r="S79" i="1"/>
  <c r="S80" i="1"/>
  <c r="S81" i="1"/>
  <c r="S82" i="1"/>
  <c r="S83" i="1"/>
  <c r="S84" i="1"/>
  <c r="V84" i="1" s="1"/>
  <c r="S85" i="1"/>
  <c r="S86" i="1"/>
  <c r="S87" i="1"/>
  <c r="S88" i="1"/>
  <c r="S89" i="1"/>
  <c r="S90" i="1"/>
  <c r="S91" i="1"/>
  <c r="S92" i="1"/>
  <c r="S93" i="1"/>
  <c r="S94" i="1"/>
  <c r="S95" i="1"/>
  <c r="S96" i="1"/>
  <c r="S97" i="1"/>
  <c r="S98" i="1"/>
  <c r="S99" i="1"/>
  <c r="S100" i="1"/>
  <c r="S101" i="1"/>
  <c r="S102" i="1"/>
  <c r="S103" i="1"/>
  <c r="S104" i="1"/>
  <c r="S105" i="1"/>
  <c r="S106" i="1"/>
  <c r="S107" i="1"/>
  <c r="S108" i="1"/>
  <c r="S109" i="1"/>
  <c r="S110" i="1"/>
  <c r="S111" i="1"/>
  <c r="S112" i="1"/>
  <c r="S113" i="1"/>
  <c r="S114" i="1"/>
  <c r="S115" i="1"/>
  <c r="S116" i="1"/>
  <c r="S117" i="1"/>
  <c r="S118" i="1"/>
  <c r="S119" i="1"/>
  <c r="S120" i="1"/>
  <c r="S121" i="1"/>
  <c r="S122" i="1"/>
  <c r="S123" i="1"/>
  <c r="S124" i="1"/>
  <c r="S125" i="1"/>
  <c r="S126" i="1"/>
  <c r="S127" i="1"/>
  <c r="S128" i="1"/>
  <c r="S129" i="1"/>
  <c r="S130" i="1"/>
  <c r="S131" i="1"/>
  <c r="S132" i="1"/>
  <c r="S133" i="1"/>
  <c r="S134" i="1"/>
  <c r="S135" i="1"/>
  <c r="S136" i="1"/>
  <c r="S137" i="1"/>
  <c r="S138" i="1"/>
  <c r="S139" i="1"/>
  <c r="S140" i="1"/>
  <c r="S141" i="1"/>
  <c r="S142" i="1"/>
  <c r="S143" i="1"/>
  <c r="Q44" i="1"/>
  <c r="Q45" i="1"/>
  <c r="Q121" i="1"/>
  <c r="Q122" i="1"/>
  <c r="Q123" i="1"/>
  <c r="Q124" i="1"/>
  <c r="Q125" i="1"/>
  <c r="Q126" i="1"/>
  <c r="Q127" i="1"/>
  <c r="Q128" i="1"/>
  <c r="Q129" i="1"/>
  <c r="Q130" i="1"/>
  <c r="Q131" i="1"/>
  <c r="Q132" i="1"/>
  <c r="Q133" i="1"/>
  <c r="Q134" i="1"/>
  <c r="R142" i="1" l="1"/>
  <c r="R143" i="1"/>
  <c r="I142" i="1"/>
  <c r="V142" i="1" s="1"/>
  <c r="I143" i="1"/>
  <c r="V143" i="1" s="1"/>
  <c r="C142" i="1"/>
  <c r="Q142" i="1" s="1"/>
  <c r="C143" i="1"/>
  <c r="Q143" i="1" s="1"/>
  <c r="T143" i="1" l="1"/>
  <c r="U143" i="1"/>
  <c r="T142" i="1"/>
  <c r="U142" i="1"/>
  <c r="S2" i="1"/>
  <c r="V2" i="1" s="1"/>
  <c r="R138" i="1"/>
  <c r="R139" i="1"/>
  <c r="R140" i="1"/>
  <c r="R141" i="1"/>
  <c r="R4" i="1"/>
  <c r="R5" i="1"/>
  <c r="R6" i="1"/>
  <c r="R7" i="1"/>
  <c r="R8" i="1"/>
  <c r="R9" i="1"/>
  <c r="R10" i="1"/>
  <c r="R11" i="1"/>
  <c r="R12" i="1"/>
  <c r="R13" i="1"/>
  <c r="R14" i="1"/>
  <c r="R15" i="1"/>
  <c r="R16" i="1"/>
  <c r="R17" i="1"/>
  <c r="R18" i="1"/>
  <c r="R19" i="1"/>
  <c r="R20" i="1"/>
  <c r="R21" i="1"/>
  <c r="R22" i="1"/>
  <c r="R23" i="1"/>
  <c r="R24" i="1"/>
  <c r="R25" i="1"/>
  <c r="R26" i="1"/>
  <c r="R27" i="1"/>
  <c r="R28" i="1"/>
  <c r="R29" i="1"/>
  <c r="R30" i="1"/>
  <c r="R31" i="1"/>
  <c r="R32" i="1"/>
  <c r="R33" i="1"/>
  <c r="R34" i="1"/>
  <c r="R35" i="1"/>
  <c r="R36" i="1"/>
  <c r="U36" i="1" s="1"/>
  <c r="R37" i="1"/>
  <c r="R38" i="1"/>
  <c r="R39" i="1"/>
  <c r="R40" i="1"/>
  <c r="R41" i="1"/>
  <c r="R42" i="1"/>
  <c r="R43" i="1"/>
  <c r="R44" i="1"/>
  <c r="R45" i="1"/>
  <c r="R46" i="1"/>
  <c r="R47" i="1"/>
  <c r="R48" i="1"/>
  <c r="R49" i="1"/>
  <c r="R50" i="1"/>
  <c r="R51" i="1"/>
  <c r="R52" i="1"/>
  <c r="R53" i="1"/>
  <c r="R54" i="1"/>
  <c r="R55" i="1"/>
  <c r="R56" i="1"/>
  <c r="R57" i="1"/>
  <c r="R58" i="1"/>
  <c r="R59" i="1"/>
  <c r="R60" i="1"/>
  <c r="R61" i="1"/>
  <c r="R62" i="1"/>
  <c r="R63" i="1"/>
  <c r="U63" i="1" s="1"/>
  <c r="R64" i="1"/>
  <c r="R65" i="1"/>
  <c r="R66" i="1"/>
  <c r="R67" i="1"/>
  <c r="R68" i="1"/>
  <c r="R69" i="1"/>
  <c r="R70" i="1"/>
  <c r="R71" i="1"/>
  <c r="R72" i="1"/>
  <c r="R73" i="1"/>
  <c r="R74" i="1"/>
  <c r="R75" i="1"/>
  <c r="R76" i="1"/>
  <c r="R77" i="1"/>
  <c r="R78" i="1"/>
  <c r="R79" i="1"/>
  <c r="R80" i="1"/>
  <c r="R81" i="1"/>
  <c r="R82" i="1"/>
  <c r="R83" i="1"/>
  <c r="R84" i="1"/>
  <c r="U84" i="1" s="1"/>
  <c r="R85" i="1"/>
  <c r="R86" i="1"/>
  <c r="R87" i="1"/>
  <c r="R88" i="1"/>
  <c r="R89" i="1"/>
  <c r="R90" i="1"/>
  <c r="R91" i="1"/>
  <c r="R92" i="1"/>
  <c r="R93" i="1"/>
  <c r="R94" i="1"/>
  <c r="R95" i="1"/>
  <c r="R96" i="1"/>
  <c r="R97" i="1"/>
  <c r="R98" i="1"/>
  <c r="R99" i="1"/>
  <c r="R100" i="1"/>
  <c r="R101" i="1"/>
  <c r="R102" i="1"/>
  <c r="R103" i="1"/>
  <c r="R104" i="1"/>
  <c r="R105" i="1"/>
  <c r="R106" i="1"/>
  <c r="R107" i="1"/>
  <c r="R108" i="1"/>
  <c r="R109" i="1"/>
  <c r="R110" i="1"/>
  <c r="R111" i="1"/>
  <c r="R112" i="1"/>
  <c r="R113" i="1"/>
  <c r="R114" i="1"/>
  <c r="R115" i="1"/>
  <c r="R116" i="1"/>
  <c r="R117" i="1"/>
  <c r="R118" i="1"/>
  <c r="R119" i="1"/>
  <c r="R120" i="1"/>
  <c r="R121" i="1"/>
  <c r="R122" i="1"/>
  <c r="R123" i="1"/>
  <c r="R124" i="1"/>
  <c r="R125" i="1"/>
  <c r="R126" i="1"/>
  <c r="R127" i="1"/>
  <c r="R128" i="1"/>
  <c r="R129" i="1"/>
  <c r="R130" i="1"/>
  <c r="R131" i="1"/>
  <c r="R132" i="1"/>
  <c r="R133" i="1"/>
  <c r="R134" i="1"/>
  <c r="R135" i="1"/>
  <c r="R136" i="1"/>
  <c r="R137" i="1"/>
  <c r="I3" i="1"/>
  <c r="V3" i="1" s="1"/>
  <c r="I4" i="1"/>
  <c r="V4" i="1" s="1"/>
  <c r="I5" i="1"/>
  <c r="V5" i="1" s="1"/>
  <c r="I6" i="1"/>
  <c r="V6" i="1" s="1"/>
  <c r="I7" i="1"/>
  <c r="V7" i="1" s="1"/>
  <c r="I8" i="1"/>
  <c r="V8" i="1" s="1"/>
  <c r="I9" i="1"/>
  <c r="V9" i="1" s="1"/>
  <c r="I10" i="1"/>
  <c r="V10" i="1" s="1"/>
  <c r="I11" i="1"/>
  <c r="V11" i="1" s="1"/>
  <c r="I12" i="1"/>
  <c r="V12" i="1" s="1"/>
  <c r="I13" i="1"/>
  <c r="V13" i="1" s="1"/>
  <c r="I14" i="1"/>
  <c r="V14" i="1" s="1"/>
  <c r="I15" i="1"/>
  <c r="V15" i="1" s="1"/>
  <c r="I16" i="1"/>
  <c r="V16" i="1" s="1"/>
  <c r="I17" i="1"/>
  <c r="V17" i="1" s="1"/>
  <c r="I18" i="1"/>
  <c r="V18" i="1" s="1"/>
  <c r="I19" i="1"/>
  <c r="V19" i="1" s="1"/>
  <c r="I20" i="1"/>
  <c r="V20" i="1" s="1"/>
  <c r="I21" i="1"/>
  <c r="V21" i="1" s="1"/>
  <c r="I22" i="1"/>
  <c r="V22" i="1" s="1"/>
  <c r="I23" i="1"/>
  <c r="V23" i="1" s="1"/>
  <c r="I24" i="1"/>
  <c r="V24" i="1" s="1"/>
  <c r="I25" i="1"/>
  <c r="V25" i="1" s="1"/>
  <c r="I26" i="1"/>
  <c r="V26" i="1" s="1"/>
  <c r="I27" i="1"/>
  <c r="V27" i="1" s="1"/>
  <c r="I28" i="1"/>
  <c r="V28" i="1" s="1"/>
  <c r="I29" i="1"/>
  <c r="V29" i="1" s="1"/>
  <c r="I30" i="1"/>
  <c r="V30" i="1" s="1"/>
  <c r="I31" i="1"/>
  <c r="V31" i="1" s="1"/>
  <c r="I32" i="1"/>
  <c r="V32" i="1" s="1"/>
  <c r="I33" i="1"/>
  <c r="V33" i="1" s="1"/>
  <c r="I34" i="1"/>
  <c r="V34" i="1" s="1"/>
  <c r="I35" i="1"/>
  <c r="V35" i="1" s="1"/>
  <c r="I37" i="1"/>
  <c r="V37" i="1" s="1"/>
  <c r="I38" i="1"/>
  <c r="V38" i="1" s="1"/>
  <c r="I39" i="1"/>
  <c r="V39" i="1" s="1"/>
  <c r="I40" i="1"/>
  <c r="V40" i="1" s="1"/>
  <c r="I41" i="1"/>
  <c r="V41" i="1" s="1"/>
  <c r="I42" i="1"/>
  <c r="V42" i="1" s="1"/>
  <c r="I43" i="1"/>
  <c r="V43" i="1" s="1"/>
  <c r="I44" i="1"/>
  <c r="V44" i="1" s="1"/>
  <c r="I45" i="1"/>
  <c r="V45" i="1" s="1"/>
  <c r="I46" i="1"/>
  <c r="V46" i="1" s="1"/>
  <c r="I47" i="1"/>
  <c r="V47" i="1" s="1"/>
  <c r="I48" i="1"/>
  <c r="V48" i="1" s="1"/>
  <c r="I49" i="1"/>
  <c r="V49" i="1" s="1"/>
  <c r="I50" i="1"/>
  <c r="V50" i="1" s="1"/>
  <c r="I51" i="1"/>
  <c r="V51" i="1" s="1"/>
  <c r="I52" i="1"/>
  <c r="V52" i="1" s="1"/>
  <c r="I53" i="1"/>
  <c r="V53" i="1" s="1"/>
  <c r="I54" i="1"/>
  <c r="V54" i="1" s="1"/>
  <c r="I55" i="1"/>
  <c r="V55" i="1" s="1"/>
  <c r="I56" i="1"/>
  <c r="V56" i="1" s="1"/>
  <c r="I57" i="1"/>
  <c r="V57" i="1" s="1"/>
  <c r="I58" i="1"/>
  <c r="V58" i="1" s="1"/>
  <c r="I59" i="1"/>
  <c r="V59" i="1" s="1"/>
  <c r="I60" i="1"/>
  <c r="V60" i="1" s="1"/>
  <c r="I61" i="1"/>
  <c r="V61" i="1" s="1"/>
  <c r="I62" i="1"/>
  <c r="V62" i="1" s="1"/>
  <c r="I64" i="1"/>
  <c r="V64" i="1" s="1"/>
  <c r="I65" i="1"/>
  <c r="V65" i="1" s="1"/>
  <c r="I66" i="1"/>
  <c r="V66" i="1" s="1"/>
  <c r="I67" i="1"/>
  <c r="V67" i="1" s="1"/>
  <c r="I68" i="1"/>
  <c r="V68" i="1" s="1"/>
  <c r="I69" i="1"/>
  <c r="V69" i="1" s="1"/>
  <c r="I70" i="1"/>
  <c r="V70" i="1" s="1"/>
  <c r="I71" i="1"/>
  <c r="V71" i="1" s="1"/>
  <c r="I72" i="1"/>
  <c r="V72" i="1" s="1"/>
  <c r="I73" i="1"/>
  <c r="V73" i="1" s="1"/>
  <c r="I74" i="1"/>
  <c r="V74" i="1" s="1"/>
  <c r="I75" i="1"/>
  <c r="V75" i="1" s="1"/>
  <c r="I76" i="1"/>
  <c r="V76" i="1" s="1"/>
  <c r="I77" i="1"/>
  <c r="V77" i="1" s="1"/>
  <c r="I78" i="1"/>
  <c r="V78" i="1" s="1"/>
  <c r="I79" i="1"/>
  <c r="V79" i="1" s="1"/>
  <c r="I80" i="1"/>
  <c r="V80" i="1" s="1"/>
  <c r="I81" i="1"/>
  <c r="V81" i="1" s="1"/>
  <c r="I82" i="1"/>
  <c r="V82" i="1" s="1"/>
  <c r="I83" i="1"/>
  <c r="V83" i="1" s="1"/>
  <c r="I85" i="1"/>
  <c r="V85" i="1" s="1"/>
  <c r="I86" i="1"/>
  <c r="V86" i="1" s="1"/>
  <c r="I87" i="1"/>
  <c r="I88" i="1"/>
  <c r="V88" i="1" s="1"/>
  <c r="I89" i="1"/>
  <c r="V89" i="1" s="1"/>
  <c r="I90" i="1"/>
  <c r="V90" i="1" s="1"/>
  <c r="I91" i="1"/>
  <c r="V91" i="1" s="1"/>
  <c r="I92" i="1"/>
  <c r="V92" i="1" s="1"/>
  <c r="I93" i="1"/>
  <c r="V93" i="1" s="1"/>
  <c r="I94" i="1"/>
  <c r="V94" i="1" s="1"/>
  <c r="I95" i="1"/>
  <c r="V95" i="1" s="1"/>
  <c r="I96" i="1"/>
  <c r="V96" i="1" s="1"/>
  <c r="I97" i="1"/>
  <c r="V97" i="1" s="1"/>
  <c r="I98" i="1"/>
  <c r="V98" i="1" s="1"/>
  <c r="I99" i="1"/>
  <c r="V99" i="1" s="1"/>
  <c r="I100" i="1"/>
  <c r="V100" i="1" s="1"/>
  <c r="I101" i="1"/>
  <c r="V101" i="1" s="1"/>
  <c r="I102" i="1"/>
  <c r="V102" i="1" s="1"/>
  <c r="I103" i="1"/>
  <c r="V103" i="1" s="1"/>
  <c r="I104" i="1"/>
  <c r="V104" i="1" s="1"/>
  <c r="I105" i="1"/>
  <c r="V105" i="1" s="1"/>
  <c r="I106" i="1"/>
  <c r="V106" i="1" s="1"/>
  <c r="I107" i="1"/>
  <c r="V107" i="1" s="1"/>
  <c r="I108" i="1"/>
  <c r="V108" i="1" s="1"/>
  <c r="I109" i="1"/>
  <c r="V109" i="1" s="1"/>
  <c r="I110" i="1"/>
  <c r="V110" i="1" s="1"/>
  <c r="I111" i="1"/>
  <c r="V111" i="1" s="1"/>
  <c r="I112" i="1"/>
  <c r="V112" i="1" s="1"/>
  <c r="I113" i="1"/>
  <c r="V113" i="1" s="1"/>
  <c r="I114" i="1"/>
  <c r="V114" i="1" s="1"/>
  <c r="I115" i="1"/>
  <c r="V115" i="1" s="1"/>
  <c r="I116" i="1"/>
  <c r="V116" i="1" s="1"/>
  <c r="I117" i="1"/>
  <c r="V117" i="1" s="1"/>
  <c r="I118" i="1"/>
  <c r="V118" i="1" s="1"/>
  <c r="I119" i="1"/>
  <c r="V119" i="1" s="1"/>
  <c r="I120" i="1"/>
  <c r="V120" i="1" s="1"/>
  <c r="V121" i="1"/>
  <c r="T121" i="1" s="1"/>
  <c r="I122" i="1"/>
  <c r="V122" i="1" s="1"/>
  <c r="T122" i="1" s="1"/>
  <c r="I123" i="1"/>
  <c r="V123" i="1" s="1"/>
  <c r="T123" i="1" s="1"/>
  <c r="I124" i="1"/>
  <c r="V124" i="1" s="1"/>
  <c r="T124" i="1" s="1"/>
  <c r="I125" i="1"/>
  <c r="V125" i="1" s="1"/>
  <c r="T125" i="1" s="1"/>
  <c r="I126" i="1"/>
  <c r="V126" i="1" s="1"/>
  <c r="T126" i="1" s="1"/>
  <c r="I127" i="1"/>
  <c r="V127" i="1" s="1"/>
  <c r="T127" i="1" s="1"/>
  <c r="I128" i="1"/>
  <c r="V128" i="1" s="1"/>
  <c r="T128" i="1" s="1"/>
  <c r="I129" i="1"/>
  <c r="V129" i="1" s="1"/>
  <c r="T129" i="1" s="1"/>
  <c r="I130" i="1"/>
  <c r="V130" i="1" s="1"/>
  <c r="T130" i="1" s="1"/>
  <c r="I131" i="1"/>
  <c r="V131" i="1" s="1"/>
  <c r="T131" i="1" s="1"/>
  <c r="I132" i="1"/>
  <c r="V132" i="1" s="1"/>
  <c r="T132" i="1" s="1"/>
  <c r="V133" i="1"/>
  <c r="T133" i="1" s="1"/>
  <c r="I134" i="1"/>
  <c r="V134" i="1" s="1"/>
  <c r="T134" i="1" s="1"/>
  <c r="I135" i="1"/>
  <c r="V135" i="1" s="1"/>
  <c r="I136" i="1"/>
  <c r="V136" i="1" s="1"/>
  <c r="I137" i="1"/>
  <c r="V137" i="1" s="1"/>
  <c r="I138" i="1"/>
  <c r="V138" i="1" s="1"/>
  <c r="I139" i="1"/>
  <c r="V139" i="1" s="1"/>
  <c r="I140" i="1"/>
  <c r="V140" i="1" s="1"/>
  <c r="I141" i="1"/>
  <c r="V141" i="1" s="1"/>
  <c r="C136" i="1"/>
  <c r="Q136" i="1" s="1"/>
  <c r="Q137" i="1"/>
  <c r="C138" i="1"/>
  <c r="Q138" i="1" s="1"/>
  <c r="C139" i="1"/>
  <c r="Q139" i="1" s="1"/>
  <c r="C140" i="1"/>
  <c r="Q140" i="1" s="1"/>
  <c r="C141" i="1"/>
  <c r="Q141" i="1" s="1"/>
  <c r="U69" i="1" l="1"/>
  <c r="T140" i="1"/>
  <c r="T136" i="1"/>
  <c r="T139" i="1"/>
  <c r="T138" i="1"/>
  <c r="T141" i="1"/>
  <c r="U134" i="1"/>
  <c r="U130" i="1"/>
  <c r="U126" i="1"/>
  <c r="U122" i="1"/>
  <c r="U118" i="1"/>
  <c r="U114" i="1"/>
  <c r="U110" i="1"/>
  <c r="U106" i="1"/>
  <c r="U102" i="1"/>
  <c r="U98" i="1"/>
  <c r="U94" i="1"/>
  <c r="U90" i="1"/>
  <c r="U86" i="1"/>
  <c r="U82" i="1"/>
  <c r="U78" i="1"/>
  <c r="U74" i="1"/>
  <c r="U70" i="1"/>
  <c r="U66" i="1"/>
  <c r="U62" i="1"/>
  <c r="U58" i="1"/>
  <c r="U54" i="1"/>
  <c r="U50" i="1"/>
  <c r="U46" i="1"/>
  <c r="U42" i="1"/>
  <c r="U38" i="1"/>
  <c r="U34" i="1"/>
  <c r="U30" i="1"/>
  <c r="U26" i="1"/>
  <c r="U22" i="1"/>
  <c r="U18" i="1"/>
  <c r="U14" i="1"/>
  <c r="U10" i="1"/>
  <c r="U6" i="1"/>
  <c r="U140" i="1"/>
  <c r="U137" i="1"/>
  <c r="U133" i="1"/>
  <c r="U129" i="1"/>
  <c r="U125" i="1"/>
  <c r="U121" i="1"/>
  <c r="U117" i="1"/>
  <c r="U113" i="1"/>
  <c r="U109" i="1"/>
  <c r="U105" i="1"/>
  <c r="U101" i="1"/>
  <c r="U97" i="1"/>
  <c r="U93" i="1"/>
  <c r="U89" i="1"/>
  <c r="U85" i="1"/>
  <c r="U81" i="1"/>
  <c r="U77" i="1"/>
  <c r="U73" i="1"/>
  <c r="U65" i="1"/>
  <c r="U61" i="1"/>
  <c r="U57" i="1"/>
  <c r="U53" i="1"/>
  <c r="U49" i="1"/>
  <c r="U45" i="1"/>
  <c r="T45" i="1" s="1"/>
  <c r="U41" i="1"/>
  <c r="U37" i="1"/>
  <c r="U33" i="1"/>
  <c r="U29" i="1"/>
  <c r="U25" i="1"/>
  <c r="U21" i="1"/>
  <c r="U17" i="1"/>
  <c r="U13" i="1"/>
  <c r="U9" i="1"/>
  <c r="U5" i="1"/>
  <c r="U139" i="1"/>
  <c r="U136" i="1"/>
  <c r="U132" i="1"/>
  <c r="U128" i="1"/>
  <c r="U124" i="1"/>
  <c r="U120" i="1"/>
  <c r="U116" i="1"/>
  <c r="U112" i="1"/>
  <c r="U108" i="1"/>
  <c r="U104" i="1"/>
  <c r="U100" i="1"/>
  <c r="U96" i="1"/>
  <c r="U92" i="1"/>
  <c r="U88" i="1"/>
  <c r="U80" i="1"/>
  <c r="U76" i="1"/>
  <c r="U72" i="1"/>
  <c r="U68" i="1"/>
  <c r="U64" i="1"/>
  <c r="U60" i="1"/>
  <c r="U56" i="1"/>
  <c r="U52" i="1"/>
  <c r="U48" i="1"/>
  <c r="U44" i="1"/>
  <c r="T44" i="1" s="1"/>
  <c r="U40" i="1"/>
  <c r="U32" i="1"/>
  <c r="U28" i="1"/>
  <c r="U24" i="1"/>
  <c r="U20" i="1"/>
  <c r="U16" i="1"/>
  <c r="U12" i="1"/>
  <c r="U8" i="1"/>
  <c r="U4" i="1"/>
  <c r="U138" i="1"/>
  <c r="T37" i="1"/>
  <c r="V87" i="1"/>
  <c r="U135" i="1"/>
  <c r="U131" i="1"/>
  <c r="U127" i="1"/>
  <c r="U123" i="1"/>
  <c r="U119" i="1"/>
  <c r="U115" i="1"/>
  <c r="U111" i="1"/>
  <c r="U107" i="1"/>
  <c r="U103" i="1"/>
  <c r="U99" i="1"/>
  <c r="U95" i="1"/>
  <c r="U91" i="1"/>
  <c r="U87" i="1"/>
  <c r="U83" i="1"/>
  <c r="U79" i="1"/>
  <c r="U75" i="1"/>
  <c r="U71" i="1"/>
  <c r="U67" i="1"/>
  <c r="U59" i="1"/>
  <c r="U55" i="1"/>
  <c r="U51" i="1"/>
  <c r="U47" i="1"/>
  <c r="U43" i="1"/>
  <c r="U39" i="1"/>
  <c r="U35" i="1"/>
  <c r="U31" i="1"/>
  <c r="U27" i="1"/>
  <c r="U23" i="1"/>
  <c r="U19" i="1"/>
  <c r="U15" i="1"/>
  <c r="U11" i="1"/>
  <c r="U7" i="1"/>
  <c r="U141" i="1"/>
  <c r="R3" i="1"/>
  <c r="U3" i="1" s="1"/>
  <c r="T137" i="1"/>
  <c r="C96" i="1" l="1"/>
  <c r="Q96" i="1" s="1"/>
  <c r="T96" i="1" s="1"/>
  <c r="C97" i="1"/>
  <c r="Q97" i="1" s="1"/>
  <c r="T97" i="1" s="1"/>
  <c r="C98" i="1"/>
  <c r="Q98" i="1" s="1"/>
  <c r="T98" i="1" s="1"/>
  <c r="C46" i="1"/>
  <c r="Q46" i="1" s="1"/>
  <c r="T46" i="1" s="1"/>
  <c r="C61" i="1"/>
  <c r="Q61" i="1" s="1"/>
  <c r="T61" i="1" s="1"/>
  <c r="C62" i="1"/>
  <c r="Q62" i="1" s="1"/>
  <c r="T62" i="1" s="1"/>
  <c r="Q63" i="1"/>
  <c r="T63" i="1" s="1"/>
  <c r="C64" i="1"/>
  <c r="Q64" i="1" s="1"/>
  <c r="T64" i="1" s="1"/>
  <c r="Q65" i="1"/>
  <c r="T65" i="1" s="1"/>
  <c r="Q66" i="1"/>
  <c r="T66" i="1" s="1"/>
  <c r="C67" i="1"/>
  <c r="Q67" i="1" s="1"/>
  <c r="T67" i="1" s="1"/>
  <c r="C68" i="1"/>
  <c r="Q68" i="1" s="1"/>
  <c r="T68" i="1" s="1"/>
  <c r="C69" i="1"/>
  <c r="Q69" i="1" s="1"/>
  <c r="T69" i="1" s="1"/>
  <c r="C70" i="1"/>
  <c r="Q70" i="1" s="1"/>
  <c r="T70" i="1" s="1"/>
  <c r="C71" i="1"/>
  <c r="Q71" i="1" s="1"/>
  <c r="T71" i="1" s="1"/>
  <c r="C72" i="1"/>
  <c r="Q72" i="1" s="1"/>
  <c r="T72" i="1" s="1"/>
  <c r="C73" i="1"/>
  <c r="Q73" i="1" s="1"/>
  <c r="T73" i="1" s="1"/>
  <c r="C74" i="1"/>
  <c r="Q74" i="1" s="1"/>
  <c r="T74" i="1" s="1"/>
  <c r="Q75" i="1"/>
  <c r="T75" i="1" s="1"/>
  <c r="Q76" i="1"/>
  <c r="T76" i="1" s="1"/>
  <c r="C77" i="1"/>
  <c r="Q77" i="1" s="1"/>
  <c r="T77" i="1" s="1"/>
  <c r="C78" i="1"/>
  <c r="Q78" i="1" s="1"/>
  <c r="T78" i="1" s="1"/>
  <c r="C79" i="1"/>
  <c r="Q79" i="1" s="1"/>
  <c r="T79" i="1" s="1"/>
  <c r="Q80" i="1"/>
  <c r="T80" i="1" s="1"/>
  <c r="Q81" i="1"/>
  <c r="T81" i="1" s="1"/>
  <c r="C82" i="1"/>
  <c r="Q82" i="1" s="1"/>
  <c r="T82" i="1" s="1"/>
  <c r="C83" i="1"/>
  <c r="Q83" i="1" s="1"/>
  <c r="T83" i="1" s="1"/>
  <c r="Q84" i="1"/>
  <c r="T84" i="1" s="1"/>
  <c r="C85" i="1"/>
  <c r="Q85" i="1" s="1"/>
  <c r="T85" i="1" s="1"/>
  <c r="C86" i="1"/>
  <c r="Q86" i="1" s="1"/>
  <c r="T86" i="1" s="1"/>
  <c r="C87" i="1"/>
  <c r="Q87" i="1" s="1"/>
  <c r="T87" i="1" s="1"/>
  <c r="C88" i="1"/>
  <c r="Q88" i="1" s="1"/>
  <c r="T88" i="1" s="1"/>
  <c r="C89" i="1"/>
  <c r="Q89" i="1" s="1"/>
  <c r="T89" i="1" s="1"/>
  <c r="C90" i="1"/>
  <c r="Q90" i="1" s="1"/>
  <c r="T90" i="1" s="1"/>
  <c r="C91" i="1"/>
  <c r="Q91" i="1" s="1"/>
  <c r="T91" i="1" s="1"/>
  <c r="Q92" i="1"/>
  <c r="T92" i="1" s="1"/>
  <c r="Q93" i="1"/>
  <c r="T93" i="1" s="1"/>
  <c r="C94" i="1"/>
  <c r="Q94" i="1" s="1"/>
  <c r="T94" i="1" s="1"/>
  <c r="C95" i="1"/>
  <c r="Q95" i="1" s="1"/>
  <c r="T95" i="1" s="1"/>
  <c r="Q99" i="1"/>
  <c r="T99" i="1" s="1"/>
  <c r="C100" i="1"/>
  <c r="Q100" i="1" s="1"/>
  <c r="T100" i="1" s="1"/>
  <c r="C101" i="1"/>
  <c r="Q101" i="1" s="1"/>
  <c r="T101" i="1" s="1"/>
  <c r="C102" i="1"/>
  <c r="Q102" i="1" s="1"/>
  <c r="T102" i="1" s="1"/>
  <c r="C103" i="1"/>
  <c r="Q103" i="1" s="1"/>
  <c r="T103" i="1" s="1"/>
  <c r="C104" i="1"/>
  <c r="Q104" i="1" s="1"/>
  <c r="T104" i="1" s="1"/>
  <c r="Q105" i="1"/>
  <c r="T105" i="1" s="1"/>
  <c r="C106" i="1"/>
  <c r="Q106" i="1" s="1"/>
  <c r="T106" i="1" s="1"/>
  <c r="C107" i="1"/>
  <c r="Q107" i="1" s="1"/>
  <c r="T107" i="1" s="1"/>
  <c r="Q108" i="1"/>
  <c r="T108" i="1" s="1"/>
  <c r="C109" i="1"/>
  <c r="Q109" i="1" s="1"/>
  <c r="T109" i="1" s="1"/>
  <c r="Q110" i="1"/>
  <c r="T110" i="1" s="1"/>
  <c r="C111" i="1"/>
  <c r="Q111" i="1" s="1"/>
  <c r="T111" i="1" s="1"/>
  <c r="Q112" i="1"/>
  <c r="T112" i="1" s="1"/>
  <c r="C113" i="1"/>
  <c r="Q113" i="1" s="1"/>
  <c r="T113" i="1" s="1"/>
  <c r="C114" i="1"/>
  <c r="Q114" i="1" s="1"/>
  <c r="T114" i="1" s="1"/>
  <c r="C115" i="1"/>
  <c r="Q115" i="1" s="1"/>
  <c r="T115" i="1" s="1"/>
  <c r="C116" i="1"/>
  <c r="Q116" i="1" s="1"/>
  <c r="T116" i="1" s="1"/>
  <c r="C117" i="1"/>
  <c r="Q117" i="1" s="1"/>
  <c r="T117" i="1" s="1"/>
  <c r="C118" i="1"/>
  <c r="Q118" i="1" s="1"/>
  <c r="T118" i="1" s="1"/>
  <c r="C119" i="1"/>
  <c r="Q119" i="1" s="1"/>
  <c r="T119" i="1" s="1"/>
  <c r="C120" i="1"/>
  <c r="Q120" i="1" s="1"/>
  <c r="T120" i="1" s="1"/>
  <c r="C135" i="1"/>
  <c r="Q135" i="1" s="1"/>
  <c r="T135" i="1" s="1"/>
  <c r="C2" i="1" l="1"/>
  <c r="Q2" i="1" s="1"/>
  <c r="T2" i="1" s="1"/>
  <c r="C3" i="1"/>
  <c r="Q3" i="1" s="1"/>
  <c r="T3" i="1" s="1"/>
  <c r="C4" i="1"/>
  <c r="Q4" i="1" s="1"/>
  <c r="T4" i="1" s="1"/>
  <c r="C5" i="1"/>
  <c r="Q5" i="1" s="1"/>
  <c r="T5" i="1" s="1"/>
  <c r="C6" i="1"/>
  <c r="Q6" i="1" s="1"/>
  <c r="T6" i="1" s="1"/>
  <c r="C7" i="1"/>
  <c r="Q7" i="1" s="1"/>
  <c r="T7" i="1" s="1"/>
  <c r="C8" i="1"/>
  <c r="Q8" i="1" s="1"/>
  <c r="T8" i="1" s="1"/>
  <c r="C9" i="1"/>
  <c r="Q9" i="1" s="1"/>
  <c r="T9" i="1" s="1"/>
  <c r="C10" i="1"/>
  <c r="Q10" i="1" s="1"/>
  <c r="T10" i="1" s="1"/>
  <c r="C11" i="1"/>
  <c r="Q11" i="1" s="1"/>
  <c r="T11" i="1" s="1"/>
  <c r="C12" i="1"/>
  <c r="Q12" i="1" s="1"/>
  <c r="T12" i="1" s="1"/>
  <c r="C13" i="1"/>
  <c r="Q13" i="1" s="1"/>
  <c r="T13" i="1" s="1"/>
  <c r="C14" i="1"/>
  <c r="Q14" i="1" s="1"/>
  <c r="T14" i="1" s="1"/>
  <c r="C15" i="1"/>
  <c r="Q15" i="1" s="1"/>
  <c r="T15" i="1" s="1"/>
  <c r="C16" i="1"/>
  <c r="Q16" i="1" s="1"/>
  <c r="T16" i="1" s="1"/>
  <c r="C17" i="1"/>
  <c r="Q17" i="1" s="1"/>
  <c r="T17" i="1" s="1"/>
  <c r="C18" i="1"/>
  <c r="Q18" i="1" s="1"/>
  <c r="T18" i="1" s="1"/>
  <c r="C19" i="1"/>
  <c r="Q19" i="1" s="1"/>
  <c r="T19" i="1" s="1"/>
  <c r="C20" i="1"/>
  <c r="Q20" i="1" s="1"/>
  <c r="T20" i="1" s="1"/>
  <c r="C21" i="1"/>
  <c r="Q21" i="1" s="1"/>
  <c r="T21" i="1" s="1"/>
  <c r="C22" i="1"/>
  <c r="Q22" i="1" s="1"/>
  <c r="T22" i="1" s="1"/>
  <c r="C23" i="1"/>
  <c r="Q23" i="1" s="1"/>
  <c r="T23" i="1" s="1"/>
  <c r="C24" i="1"/>
  <c r="Q24" i="1" s="1"/>
  <c r="T24" i="1" s="1"/>
  <c r="C25" i="1"/>
  <c r="Q25" i="1" s="1"/>
  <c r="T25" i="1" s="1"/>
  <c r="C26" i="1"/>
  <c r="Q26" i="1" s="1"/>
  <c r="T26" i="1" s="1"/>
  <c r="C27" i="1"/>
  <c r="Q27" i="1" s="1"/>
  <c r="T27" i="1" s="1"/>
  <c r="C28" i="1"/>
  <c r="Q28" i="1" s="1"/>
  <c r="T28" i="1" s="1"/>
  <c r="C29" i="1"/>
  <c r="Q29" i="1" s="1"/>
  <c r="T29" i="1" s="1"/>
  <c r="C30" i="1"/>
  <c r="Q30" i="1" s="1"/>
  <c r="T30" i="1" s="1"/>
  <c r="C31" i="1"/>
  <c r="Q31" i="1" s="1"/>
  <c r="T31" i="1" s="1"/>
  <c r="C32" i="1"/>
  <c r="Q32" i="1" s="1"/>
  <c r="T32" i="1" s="1"/>
  <c r="C33" i="1"/>
  <c r="Q33" i="1" s="1"/>
  <c r="T33" i="1" s="1"/>
  <c r="C34" i="1"/>
  <c r="Q34" i="1" s="1"/>
  <c r="T34" i="1" s="1"/>
  <c r="C35" i="1"/>
  <c r="Q35" i="1" s="1"/>
  <c r="T35" i="1" s="1"/>
  <c r="T36" i="1"/>
  <c r="C38" i="1"/>
  <c r="Q38" i="1" s="1"/>
  <c r="T38" i="1" s="1"/>
  <c r="C39" i="1"/>
  <c r="Q39" i="1" s="1"/>
  <c r="T39" i="1" s="1"/>
  <c r="Q40" i="1"/>
  <c r="T40" i="1" s="1"/>
  <c r="C41" i="1"/>
  <c r="Q41" i="1" s="1"/>
  <c r="T41" i="1" s="1"/>
  <c r="C42" i="1"/>
  <c r="Q42" i="1" s="1"/>
  <c r="T42" i="1" s="1"/>
  <c r="C43" i="1"/>
  <c r="Q43" i="1" s="1"/>
  <c r="T43" i="1" s="1"/>
  <c r="Q47" i="1"/>
  <c r="T47" i="1" s="1"/>
  <c r="C48" i="1"/>
  <c r="Q48" i="1" s="1"/>
  <c r="T48" i="1" s="1"/>
  <c r="C49" i="1"/>
  <c r="Q49" i="1" s="1"/>
  <c r="T49" i="1" s="1"/>
  <c r="C50" i="1"/>
  <c r="Q50" i="1" s="1"/>
  <c r="T50" i="1" s="1"/>
  <c r="C51" i="1"/>
  <c r="Q51" i="1" s="1"/>
  <c r="T51" i="1" s="1"/>
  <c r="C52" i="1"/>
  <c r="Q52" i="1" s="1"/>
  <c r="T52" i="1" s="1"/>
  <c r="C53" i="1"/>
  <c r="Q53" i="1" s="1"/>
  <c r="T53" i="1" s="1"/>
  <c r="C54" i="1"/>
  <c r="Q54" i="1" s="1"/>
  <c r="T54" i="1" s="1"/>
  <c r="C55" i="1"/>
  <c r="Q55" i="1" s="1"/>
  <c r="T55" i="1" s="1"/>
  <c r="C56" i="1"/>
  <c r="Q56" i="1" s="1"/>
  <c r="T56" i="1" s="1"/>
  <c r="C57" i="1"/>
  <c r="Q57" i="1" s="1"/>
  <c r="T57" i="1" s="1"/>
  <c r="C58" i="1"/>
  <c r="Q58" i="1" s="1"/>
  <c r="T58" i="1" s="1"/>
  <c r="Q59" i="1"/>
  <c r="T59" i="1" s="1"/>
  <c r="C60" i="1"/>
  <c r="Q60" i="1" s="1"/>
  <c r="T60" i="1" s="1"/>
  <c r="E35" i="14" l="1"/>
  <c r="E39" i="14"/>
  <c r="I35" i="14"/>
  <c r="M35" i="14"/>
  <c r="F36" i="14"/>
  <c r="J36" i="14"/>
  <c r="N36" i="14"/>
  <c r="G37" i="14"/>
  <c r="K37" i="14"/>
  <c r="O37" i="14"/>
  <c r="H38" i="14"/>
  <c r="L38" i="14"/>
  <c r="I39" i="14"/>
  <c r="M39" i="14"/>
  <c r="O39" i="14"/>
  <c r="E36" i="14"/>
  <c r="F37" i="14"/>
  <c r="N37" i="14"/>
  <c r="H39" i="14"/>
  <c r="AL39" i="14" s="1"/>
  <c r="F35" i="14"/>
  <c r="J35" i="14"/>
  <c r="N35" i="14"/>
  <c r="G36" i="14"/>
  <c r="K36" i="14"/>
  <c r="O36" i="14"/>
  <c r="H37" i="14"/>
  <c r="L37" i="14"/>
  <c r="E38" i="14"/>
  <c r="I38" i="14"/>
  <c r="M38" i="14"/>
  <c r="F39" i="14"/>
  <c r="J39" i="14"/>
  <c r="N39" i="14"/>
  <c r="H35" i="14"/>
  <c r="I36" i="14"/>
  <c r="J37" i="14"/>
  <c r="K38" i="14"/>
  <c r="AO38" i="14" s="1"/>
  <c r="L39" i="14"/>
  <c r="G35" i="14"/>
  <c r="K35" i="14"/>
  <c r="AO35" i="14" s="1"/>
  <c r="O35" i="14"/>
  <c r="H36" i="14"/>
  <c r="L36" i="14"/>
  <c r="E37" i="14"/>
  <c r="AI37" i="14" s="1"/>
  <c r="I37" i="14"/>
  <c r="M37" i="14"/>
  <c r="F38" i="14"/>
  <c r="J38" i="14"/>
  <c r="AN38" i="14" s="1"/>
  <c r="N38" i="14"/>
  <c r="G39" i="14"/>
  <c r="K39" i="14"/>
  <c r="L35" i="14"/>
  <c r="M36" i="14"/>
  <c r="G38" i="14"/>
  <c r="O38" i="14"/>
  <c r="AS38" i="14" s="1"/>
  <c r="D39" i="14"/>
  <c r="D37" i="14"/>
  <c r="AH37" i="14" s="1"/>
  <c r="D38" i="14"/>
  <c r="D35" i="14"/>
  <c r="D36" i="14"/>
  <c r="E43" i="14"/>
  <c r="I43" i="14"/>
  <c r="M43" i="14"/>
  <c r="F44" i="14"/>
  <c r="J44" i="14"/>
  <c r="N44" i="14"/>
  <c r="G45" i="14"/>
  <c r="AK45" i="14" s="1"/>
  <c r="K45" i="14"/>
  <c r="O45" i="14"/>
  <c r="AS45" i="14" s="1"/>
  <c r="H46" i="14"/>
  <c r="L46" i="14"/>
  <c r="E47" i="14"/>
  <c r="I47" i="14"/>
  <c r="M47" i="14"/>
  <c r="E44" i="14"/>
  <c r="F45" i="14"/>
  <c r="AJ45" i="14" s="1"/>
  <c r="G46" i="14"/>
  <c r="H47" i="14"/>
  <c r="F43" i="14"/>
  <c r="AJ43" i="14" s="1"/>
  <c r="J43" i="14"/>
  <c r="AN43" i="14" s="1"/>
  <c r="N43" i="14"/>
  <c r="G44" i="14"/>
  <c r="K44" i="14"/>
  <c r="O44" i="14"/>
  <c r="AS44" i="14" s="1"/>
  <c r="H45" i="14"/>
  <c r="L45" i="14"/>
  <c r="E46" i="14"/>
  <c r="AI46" i="14" s="1"/>
  <c r="I46" i="14"/>
  <c r="AM46" i="14" s="1"/>
  <c r="M46" i="14"/>
  <c r="AQ46" i="14" s="1"/>
  <c r="F47" i="14"/>
  <c r="AJ47" i="14" s="1"/>
  <c r="J47" i="14"/>
  <c r="AN47" i="14" s="1"/>
  <c r="N47" i="14"/>
  <c r="AR47" i="14" s="1"/>
  <c r="H43" i="14"/>
  <c r="I44" i="14"/>
  <c r="J45" i="14"/>
  <c r="K46" i="14"/>
  <c r="L47" i="14"/>
  <c r="AP47" i="14" s="1"/>
  <c r="G43" i="14"/>
  <c r="K43" i="14"/>
  <c r="AO43" i="14" s="1"/>
  <c r="O43" i="14"/>
  <c r="AS43" i="14" s="1"/>
  <c r="H44" i="14"/>
  <c r="L44" i="14"/>
  <c r="E45" i="14"/>
  <c r="AI45" i="14" s="1"/>
  <c r="I45" i="14"/>
  <c r="AM45" i="14" s="1"/>
  <c r="M45" i="14"/>
  <c r="F46" i="14"/>
  <c r="AJ46" i="14" s="1"/>
  <c r="J46" i="14"/>
  <c r="AN46" i="14" s="1"/>
  <c r="N46" i="14"/>
  <c r="G47" i="14"/>
  <c r="AK47" i="14" s="1"/>
  <c r="K47" i="14"/>
  <c r="O47" i="14"/>
  <c r="AS47" i="14" s="1"/>
  <c r="L43" i="14"/>
  <c r="AP43" i="14" s="1"/>
  <c r="M44" i="14"/>
  <c r="AQ44" i="14" s="1"/>
  <c r="N45" i="14"/>
  <c r="O46" i="14"/>
  <c r="AS46" i="14" s="1"/>
  <c r="D47" i="14"/>
  <c r="D45" i="14"/>
  <c r="AH45" i="14" s="1"/>
  <c r="D46" i="14"/>
  <c r="D43" i="14"/>
  <c r="AH43" i="14" s="1"/>
  <c r="D44" i="14"/>
  <c r="E51" i="14"/>
  <c r="AI51" i="14" s="1"/>
  <c r="I51" i="14"/>
  <c r="M51" i="14"/>
  <c r="AQ51" i="14" s="1"/>
  <c r="F52" i="14"/>
  <c r="AJ52" i="14" s="1"/>
  <c r="J52" i="14"/>
  <c r="N52" i="14"/>
  <c r="G53" i="14"/>
  <c r="AK53" i="14" s="1"/>
  <c r="K53" i="14"/>
  <c r="AO53" i="14" s="1"/>
  <c r="O53" i="14"/>
  <c r="AS53" i="14" s="1"/>
  <c r="H54" i="14"/>
  <c r="L54" i="14"/>
  <c r="AP54" i="14" s="1"/>
  <c r="E55" i="14"/>
  <c r="I55" i="14"/>
  <c r="M55" i="14"/>
  <c r="H51" i="14"/>
  <c r="AL51" i="14" s="1"/>
  <c r="I52" i="14"/>
  <c r="AM52" i="14" s="1"/>
  <c r="J53" i="14"/>
  <c r="AN53" i="14" s="1"/>
  <c r="K54" i="14"/>
  <c r="AO54" i="14" s="1"/>
  <c r="L55" i="14"/>
  <c r="F51" i="14"/>
  <c r="J51" i="14"/>
  <c r="N51" i="14"/>
  <c r="AR51" i="14" s="1"/>
  <c r="G52" i="14"/>
  <c r="AK52" i="14" s="1"/>
  <c r="K52" i="14"/>
  <c r="AO52" i="14" s="1"/>
  <c r="O52" i="14"/>
  <c r="AS52" i="14" s="1"/>
  <c r="H53" i="14"/>
  <c r="AL53" i="14" s="1"/>
  <c r="L53" i="14"/>
  <c r="AP53" i="14" s="1"/>
  <c r="E54" i="14"/>
  <c r="I54" i="14"/>
  <c r="AM54" i="14" s="1"/>
  <c r="M54" i="14"/>
  <c r="AQ54" i="14" s="1"/>
  <c r="F55" i="14"/>
  <c r="J55" i="14"/>
  <c r="N55" i="14"/>
  <c r="AR55" i="14" s="1"/>
  <c r="L51" i="14"/>
  <c r="M52" i="14"/>
  <c r="N53" i="14"/>
  <c r="O54" i="14"/>
  <c r="AS54" i="14" s="1"/>
  <c r="G51" i="14"/>
  <c r="AK51" i="14" s="1"/>
  <c r="K51" i="14"/>
  <c r="O51" i="14"/>
  <c r="AS51" i="14" s="1"/>
  <c r="H52" i="14"/>
  <c r="L52" i="14"/>
  <c r="E53" i="14"/>
  <c r="I53" i="14"/>
  <c r="AM53" i="14" s="1"/>
  <c r="M53" i="14"/>
  <c r="AQ53" i="14" s="1"/>
  <c r="F54" i="14"/>
  <c r="AJ54" i="14" s="1"/>
  <c r="J54" i="14"/>
  <c r="AN54" i="14" s="1"/>
  <c r="N54" i="14"/>
  <c r="AR54" i="14" s="1"/>
  <c r="G55" i="14"/>
  <c r="AK55" i="14" s="1"/>
  <c r="K55" i="14"/>
  <c r="AO55" i="14" s="1"/>
  <c r="O55" i="14"/>
  <c r="AS55" i="14" s="1"/>
  <c r="E52" i="14"/>
  <c r="AI52" i="14" s="1"/>
  <c r="F53" i="14"/>
  <c r="AJ53" i="14" s="1"/>
  <c r="G54" i="14"/>
  <c r="AK54" i="14" s="1"/>
  <c r="H55" i="14"/>
  <c r="AL55" i="14" s="1"/>
  <c r="D55" i="14"/>
  <c r="D53" i="14"/>
  <c r="D54" i="14"/>
  <c r="D51" i="14"/>
  <c r="AH51" i="14" s="1"/>
  <c r="D52" i="14"/>
  <c r="AH52" i="14" s="1"/>
  <c r="E59" i="14"/>
  <c r="I59" i="14"/>
  <c r="M59" i="14"/>
  <c r="AQ59" i="14" s="1"/>
  <c r="F60" i="14"/>
  <c r="J60" i="14"/>
  <c r="AN60" i="14" s="1"/>
  <c r="N60" i="14"/>
  <c r="AR60" i="14" s="1"/>
  <c r="G61" i="14"/>
  <c r="AK61" i="14" s="1"/>
  <c r="K61" i="14"/>
  <c r="AO61" i="14" s="1"/>
  <c r="O61" i="14"/>
  <c r="H62" i="14"/>
  <c r="L62" i="14"/>
  <c r="E63" i="14"/>
  <c r="AI63" i="14" s="1"/>
  <c r="I63" i="14"/>
  <c r="M63" i="14"/>
  <c r="O62" i="14"/>
  <c r="F59" i="14"/>
  <c r="AJ59" i="14" s="1"/>
  <c r="J59" i="14"/>
  <c r="AN59" i="14" s="1"/>
  <c r="N59" i="14"/>
  <c r="G60" i="14"/>
  <c r="K60" i="14"/>
  <c r="AO60" i="14" s="1"/>
  <c r="O60" i="14"/>
  <c r="AS60" i="14" s="1"/>
  <c r="H61" i="14"/>
  <c r="L61" i="14"/>
  <c r="E62" i="14"/>
  <c r="I62" i="14"/>
  <c r="M62" i="14"/>
  <c r="F63" i="14"/>
  <c r="AJ63" i="14" s="1"/>
  <c r="J63" i="14"/>
  <c r="N63" i="14"/>
  <c r="AR63" i="14" s="1"/>
  <c r="G63" i="14"/>
  <c r="O63" i="14"/>
  <c r="AS63" i="14" s="1"/>
  <c r="H63" i="14"/>
  <c r="G59" i="14"/>
  <c r="K59" i="14"/>
  <c r="AO59" i="14" s="1"/>
  <c r="O59" i="14"/>
  <c r="AS59" i="14" s="1"/>
  <c r="H60" i="14"/>
  <c r="L60" i="14"/>
  <c r="E61" i="14"/>
  <c r="AI61" i="14" s="1"/>
  <c r="I61" i="14"/>
  <c r="AM61" i="14" s="1"/>
  <c r="M61" i="14"/>
  <c r="AQ61" i="14" s="1"/>
  <c r="F62" i="14"/>
  <c r="AJ62" i="14" s="1"/>
  <c r="J62" i="14"/>
  <c r="AN62" i="14" s="1"/>
  <c r="N62" i="14"/>
  <c r="AR62" i="14" s="1"/>
  <c r="K63" i="14"/>
  <c r="AO63" i="14" s="1"/>
  <c r="K62" i="14"/>
  <c r="AO62" i="14" s="1"/>
  <c r="H59" i="14"/>
  <c r="L59" i="14"/>
  <c r="E60" i="14"/>
  <c r="I60" i="14"/>
  <c r="AM60" i="14" s="1"/>
  <c r="M60" i="14"/>
  <c r="F61" i="14"/>
  <c r="AJ61" i="14" s="1"/>
  <c r="J61" i="14"/>
  <c r="N61" i="14"/>
  <c r="AR61" i="14" s="1"/>
  <c r="G62" i="14"/>
  <c r="AK62" i="14" s="1"/>
  <c r="L63" i="14"/>
  <c r="D63" i="14"/>
  <c r="D61" i="14"/>
  <c r="D62" i="14"/>
  <c r="AH62" i="14" s="1"/>
  <c r="D59" i="14"/>
  <c r="D60" i="14"/>
  <c r="AM43" i="14"/>
  <c r="AQ43" i="14"/>
  <c r="AR44" i="14"/>
  <c r="AO45" i="14"/>
  <c r="AL46" i="14"/>
  <c r="AM47" i="14"/>
  <c r="AQ47" i="14"/>
  <c r="AI44" i="14"/>
  <c r="AR43" i="14"/>
  <c r="AK44" i="14"/>
  <c r="AO44" i="14"/>
  <c r="AO46" i="14"/>
  <c r="AK43" i="14"/>
  <c r="AO47" i="14"/>
  <c r="AK46" i="14"/>
  <c r="AI35" i="14"/>
  <c r="AM35" i="14"/>
  <c r="AQ35" i="14"/>
  <c r="AJ36" i="14"/>
  <c r="AN36" i="14"/>
  <c r="AR36" i="14"/>
  <c r="AK37" i="14"/>
  <c r="AO37" i="14"/>
  <c r="AS37" i="14"/>
  <c r="AI39" i="14"/>
  <c r="AM39" i="14"/>
  <c r="AQ39" i="14"/>
  <c r="AQ36" i="14"/>
  <c r="AP39" i="14"/>
  <c r="AJ35" i="14"/>
  <c r="AN35" i="14"/>
  <c r="AR35" i="14"/>
  <c r="AK36" i="14"/>
  <c r="AO36" i="14"/>
  <c r="AS36" i="14"/>
  <c r="AL37" i="14"/>
  <c r="AP37" i="14"/>
  <c r="AI38" i="14"/>
  <c r="AM38" i="14"/>
  <c r="AQ38" i="14"/>
  <c r="AJ39" i="14"/>
  <c r="AN39" i="14"/>
  <c r="AR39" i="14"/>
  <c r="AL35" i="14"/>
  <c r="AM36" i="14"/>
  <c r="AN37" i="14"/>
  <c r="AK38" i="14"/>
  <c r="AK35" i="14"/>
  <c r="AS35" i="14"/>
  <c r="AL36" i="14"/>
  <c r="AP36" i="14"/>
  <c r="AM37" i="14"/>
  <c r="AQ37" i="14"/>
  <c r="AJ38" i="14"/>
  <c r="AR38" i="14"/>
  <c r="AK39" i="14"/>
  <c r="AO39" i="14"/>
  <c r="AS39" i="14"/>
  <c r="AI36" i="14"/>
  <c r="AJ37" i="14"/>
  <c r="AR37" i="14"/>
  <c r="AH38" i="14"/>
  <c r="AH39" i="14"/>
  <c r="AJ60" i="14" l="1"/>
  <c r="AP60" i="14"/>
  <c r="AK59" i="14"/>
  <c r="AK60" i="14"/>
  <c r="AM59" i="14"/>
  <c r="AH63" i="14"/>
  <c r="AK63" i="14"/>
  <c r="AS62" i="14"/>
  <c r="AR59" i="14"/>
  <c r="AS61" i="14"/>
  <c r="AI53" i="14"/>
  <c r="AJ51" i="14"/>
  <c r="AQ60" i="14"/>
  <c r="AN63" i="14"/>
  <c r="AI62" i="14"/>
  <c r="AH46" i="14"/>
  <c r="AP44" i="14"/>
  <c r="AP55" i="14"/>
  <c r="AP51" i="14"/>
  <c r="AM62" i="14"/>
  <c r="AR46" i="14"/>
  <c r="AJ44" i="14"/>
  <c r="AJ55" i="14"/>
  <c r="AN52" i="14"/>
  <c r="AQ63" i="14"/>
  <c r="AL47" i="14"/>
  <c r="AN45" i="14"/>
  <c r="AR53" i="14"/>
  <c r="AL43" i="14"/>
  <c r="AL45" i="14"/>
  <c r="AL63" i="14"/>
  <c r="AL59" i="14"/>
  <c r="AI60" i="14"/>
  <c r="AH44" i="14"/>
  <c r="AP46" i="14"/>
  <c r="AH55" i="14"/>
  <c r="AL52" i="14"/>
  <c r="AI55" i="14"/>
  <c r="AN61" i="14"/>
  <c r="AQ62" i="14"/>
  <c r="AM63" i="14"/>
  <c r="AP59" i="14"/>
  <c r="AP63" i="14"/>
  <c r="AL62" i="14"/>
  <c r="AP62" i="14"/>
  <c r="AL61" i="14"/>
  <c r="AP61" i="14"/>
  <c r="AH59" i="14"/>
  <c r="AL60" i="14"/>
  <c r="AI59" i="14"/>
  <c r="AH60" i="14"/>
  <c r="AM44" i="14"/>
  <c r="AN51" i="14"/>
  <c r="AQ52" i="14"/>
  <c r="AH61" i="14"/>
  <c r="AP38" i="14"/>
  <c r="AH36" i="14"/>
  <c r="AQ45" i="14"/>
  <c r="AR45" i="14"/>
  <c r="AN44" i="14"/>
  <c r="AH54" i="14"/>
  <c r="AO51" i="14"/>
  <c r="AN55" i="14"/>
  <c r="AI54" i="14"/>
  <c r="AQ55" i="14"/>
  <c r="AL54" i="14"/>
  <c r="AR52" i="14"/>
  <c r="AM51" i="14"/>
  <c r="AP52" i="14"/>
  <c r="AM55" i="14"/>
  <c r="AH53" i="14"/>
  <c r="AP45" i="14"/>
  <c r="AL44" i="14"/>
  <c r="AI43" i="14"/>
  <c r="AH47" i="14"/>
  <c r="AI47" i="14"/>
  <c r="AP35" i="14"/>
  <c r="AL38" i="14"/>
  <c r="AH35" i="14"/>
</calcChain>
</file>

<file path=xl/sharedStrings.xml><?xml version="1.0" encoding="utf-8"?>
<sst xmlns="http://schemas.openxmlformats.org/spreadsheetml/2006/main" count="3072" uniqueCount="422">
  <si>
    <t>Numéro</t>
  </si>
  <si>
    <t>Priorité</t>
  </si>
  <si>
    <t>État</t>
  </si>
  <si>
    <t>Affecté à</t>
  </si>
  <si>
    <t>Description courte</t>
  </si>
  <si>
    <t>Type de tâche</t>
  </si>
  <si>
    <t>Application</t>
  </si>
  <si>
    <t>Appelant</t>
  </si>
  <si>
    <t>Date de création</t>
  </si>
  <si>
    <t>Description</t>
  </si>
  <si>
    <t>Impact Client avéré</t>
  </si>
  <si>
    <t>INC0014235</t>
  </si>
  <si>
    <t>P3 - Moyenne</t>
  </si>
  <si>
    <t>En cours</t>
  </si>
  <si>
    <t>Thierry DE-MARCO</t>
  </si>
  <si>
    <t>[Dégradation][MONETIQUE PORTEURS][P3 - Moyenne]</t>
  </si>
  <si>
    <t>Incident</t>
  </si>
  <si>
    <t/>
  </si>
  <si>
    <t>Monique SUARES</t>
  </si>
  <si>
    <t>Oui</t>
  </si>
  <si>
    <t>INC0012977</t>
  </si>
  <si>
    <t>IMPORT-INC000000686354</t>
  </si>
  <si>
    <t>[MONETIQUE PORTEURS][P3 - Moyenne]</t>
  </si>
  <si>
    <t>Hombeline ADMIN</t>
  </si>
  <si>
    <t>IMPORT-INC000000672956</t>
  </si>
  <si>
    <t>Eric MARTINOLLI</t>
  </si>
  <si>
    <t>HCE_PRODUCTION</t>
  </si>
  <si>
    <t>INTERFACE SILCA</t>
  </si>
  <si>
    <t>Incident importé :
Identifiant : INC000000672956
Client : CTI Lyon
Résumé : [HCE] [MONETIQUE] [PLHCAP21] [HCT0013E]
Date de création : 18/10/18
Groupe de Support : N3_DIGITAL
Intervenant : 
Remarques : Fichier display-core-pepsi-error.log : Erreur 00 c.d.r.c.c.e.a.CbpControllerAdvice   Technical exception INTERNAL_ERROR caught, cause : could not execute statement : BMC Impact Manager Initiated Incident</t>
  </si>
  <si>
    <t>Non</t>
  </si>
  <si>
    <t>IMPORT-INC000000689797</t>
  </si>
  <si>
    <t>Incident importé :
Identifiant : INC000000689797
Client : CTI Lyon
Résumé : [HCE] [MONETIQUE] [PLHCAP80] [HCT0012E]
Date de création : 14/12/18
Groupe de Support : N3_DIGITAL
Intervenant : 
Remarques : Fichier hub-core-pepsi-error.log : Erreur 00 c.d.r.c.c.e.a.CbpControllerAdvice   Technical exception INTERNAL_ERROR caught, cause : could not execute statement : BMC Impact Manager Initiated Incident</t>
  </si>
  <si>
    <t>IMPORT-INC000000679548</t>
  </si>
  <si>
    <t>Incident importé :
Identifiant : INC000000679548
Client : CTI SQY
Résumé : [HCE] [MONETIQUE] [PLHCAP11] [HCT0013E]
Date de création : 13/11/18
Groupe de Support : N3_DIGITAL
Intervenant : 
Remarques : Fichier display-core-pepsi-error.log : Erreur 00 c.d.r.c.c.e.a.CbpControllerAdvice   Technical exception INTERNAL_ERROR caught, cause : Bad credentials. : BMC Impact Manager Initiated Incident</t>
  </si>
  <si>
    <t>IMPORT-INC000000675174</t>
  </si>
  <si>
    <t>Incident importé :
Identifiant : INC000000675174
Client : CTI Lyon
Résumé : [HCE] [MONETIQUE] [PLHCAP12] [HCT0014E]
Date de création : 27/10/18
Groupe de Support : N3_DIGITAL
Intervenant : 
Remarques : Fichier aes-core-pepsi-error.log  : Erreur 26 c.d.c.l.e.r.ServerExchangeClientReporter   An HTTP exception occured : I/O error on POST request for "http://localhost-app:63000/rtt-cbp-display/api-front/v1/internal/exchange": Unexpected end of file from server : BMC Impact Manager Initiated Incident</t>
  </si>
  <si>
    <t>INC0013797</t>
  </si>
  <si>
    <t>Interface SILCA</t>
  </si>
  <si>
    <t>CRITICAL : Fichier hub-core-pepsi-error.log : Erreur 00 c.d.c.l.e.r.ServerExchangeClientReporter   An HTTP exception occured : I/O error on POST request for  http://localhost-app:63000/rtt-cbp-display/api-front/v1/internal/exchange : Unexpected end of file from serv
https://sp-infotech.ca-cedicam.fr/Consignes/HCT0010E.doc</t>
  </si>
  <si>
    <t>IMPORT-INC000000687016</t>
  </si>
  <si>
    <t>Incident importé :
Identifiant : INC000000687016
Client : CTI SQY
Résumé : [HCE] [MONETIQUE] [PLHCAP22] [HCT0015E]
Date de création : 04/12/18
Groupe de Support : N3_DIGITAL
Intervenant : 
Remarques : Fichier eli-core-pepsi-error.log : Erreur 26 c.d.c.l.e.r.ServerExchangeClientReporter   An HTTP exception occured : I/O error on POST request for "http://localhost-app:63000/rtt-cbp-display/api-front/v1/internal/exchange": Unexpected end of file from server : BMC Impact Manager Initiated Incident</t>
  </si>
  <si>
    <t>IMPORT-INC000000684184</t>
  </si>
  <si>
    <t>Incident importé :
Identifiant : INC000000684184
Client : CTI Lyon
Résumé : [HCE] [MONETIQUE] [PLHCAP80] [HCT0012E]
Date de création : 26/11/18
Groupe de Support : N3_DIGITAL
Intervenant : 
Remarques : Fichier hub-core-pepsi-error.log : Erreur 00 c.d.r.c.c.e.a.CbpControllerAdvice   Technical exception INTERNAL_ERROR caught, cause : I/O error on POST request for "http://localhost-app:63000/eipengine/PlatypusRestService/platypus/af/updateCounter": Unexpected end of file from server : BMC Impact Manager Initiated Incident</t>
  </si>
  <si>
    <t>IMPORT-INC000000673379</t>
  </si>
  <si>
    <t>Incident importé :
Identifiant : INC000000673379
Client : CTI SQY
Résumé : [HCE] [MONETIQUE] [PLHCAP90] [HCT0012E]
Date de création : 20/10/18
Groupe de Support : N3_DIGITAL
Intervenant : 
Remarques : Fichier hub-core-pepsi-error.log : Erreur 00 c.d.c.l.e.r.ServerExchangeClientReporter   An HTTP exception occured : I/O error on POST request for "http://localhost-app:63000/rtt-cbp-display/api-front/v1/internal/exchange": Unexpected end of file from server : BMC Impact Manager Initiated Incident</t>
  </si>
  <si>
    <t>IMPORT-INC000000673220</t>
  </si>
  <si>
    <t>Incident importé :
Identifiant : INC000000673220
Client : CTI SQY
Résumé : [HCE] [MONETIQUE] [PLHCAP22] [HCT0014E]
Date de création : 19/10/18
Groupe de Support : N3_DIGITAL
Intervenant : 
Remarques : Fichier aes-core-pepsi-error.log  : Erreur 26 c.d.c.a.c.i.s.n.s.CaNiceServerSoapImpl   Technical exception, cause : Could not commit JPA transaction : BMC Impact Manager Initiated Incident</t>
  </si>
  <si>
    <t>INC0014126</t>
  </si>
  <si>
    <t>[Dégradation][GESTION DES OFFRES, DES CONTRATS ET DES EQUIPEMENTS PORTEURS][P3 - Moyenne]</t>
  </si>
  <si>
    <t>CRITICAL : eli-core-pepsi-error.log
Fichier eli-core-pepsi-error.log : Erreur 26 c.d.c.l.e.r.ServerExchangeClientReporter   An HTTP exception occured : I/O error on POST request for  http://localhost-app:63000/rtt-cbp-display/api-front/v1/internal/exchange : Unexpected end of file from server
https://sp-infotech.ca-cedicam.fr/Consignes/HCT0010E.doc</t>
  </si>
  <si>
    <t>INC0015007</t>
  </si>
  <si>
    <t>CRITICAL : hub-core-pepsi-error.log
Fichier hub-core-pepsi-error.log : Erreur 00 c.d.r.c.c.e.a.CbpControllerAdvice   Technical exception INTERNAL_ERROR caught, cause : 404 Not Found.
https://sp-infotech.ca-cedicam.fr/Consignes/HCT0010E.doc</t>
  </si>
  <si>
    <t>INC0013359</t>
  </si>
  <si>
    <t>CRITICAL : Fichier wb-core-pepsi-error.log : Erreur 26 o.s.boot.web.support.ErrorPageFilter   Cannot forward to error page for request [/api-wb/v1/wb-init] as the response has already been committed. As a result, the response may have the wrong status code. If your 
https://sp-infotech.ca-cedicam.fr/Consignes/HCT0010E.doc</t>
  </si>
  <si>
    <t>IMPORT-INC000000679844</t>
  </si>
  <si>
    <t>Incident importé :
Identifiant : INC000000679844
Client : CTI SQY
Résumé : [HCE] [MONETIQUE] [PLHCAP12] [HCT0014E]
Date de création : 14/11/18
Groupe de Support : N3_DIGITAL
Intervenant : 
Remarques : Fichier aes-core-pepsi-error.log  : Erreur 26 c.d.c.a.c.i.s.n.s.CaNiceServerSoapImpl   Technical exception, cause : Could not commit JPA transaction : BMC Impact Manager Initiated Incident</t>
  </si>
  <si>
    <t>INC0015408</t>
  </si>
  <si>
    <t>INC0015028</t>
  </si>
  <si>
    <t>CRITICAL : dam-core-pepsi-error.log
Fichier dam-core-pepsi-error.log : Erreur 26 c.d.r.c.c.e.a.CbpControllerAdvice   Technical exception INTERNAL_ERROR caught, cause : 400 Mauvaise Requ??te.
https://sp-infotech.ca-cedicam.fr/Consignes/HCT0059E.doc</t>
  </si>
  <si>
    <t>IMPORT-INC000000679614</t>
  </si>
  <si>
    <t>Incident importé :
Identifiant : INC000000679614
Client : CTI Lyon
Résumé : [HCE] [MONETIQUE] [PLHCAP90] [HCT0011E]
Date de création : 13/11/18
Groupe de Support : N3_DIGITAL
Intervenant : 
Remarques : Fichier wb-core-pepsi-error.log : Erreur 26 o.s.boot.web.support.ErrorPageFilter   Cannot forward to error page for request [/api-wb/v1/wb-init] as the response has already been committed. As a result, the response may have the wrong status code. If your application is running on WebSphere Application Server you may be able to resolve this problem by setting com.ibm.ws.webcontainer.invokeFlushAfterService to false. : BMC Impact Manager Initiated Incident</t>
  </si>
  <si>
    <t>INC0014676</t>
  </si>
  <si>
    <t>IMPORT-INC000000685572</t>
  </si>
  <si>
    <t>Incident importé :
Identifiant : INC000000685572
Client : CTI Lyon
Résumé : [HCE] [MONETIQUE] [PLHCAP12] [HCT0015E]
Date de création : 01/12/18
Groupe de Support : N3_DIGITAL
Intervenant : 
Remarques : Fichier eli-core-pepsi-error.log : Erreur 26 c.d.c.l.e.r.ServerExchangeClientReporter   An HTTP exception occured : I/O error on POST request for "http://localhost-app:63000/rtt-cbp-display/api-front/v1/internal/exchange": Unexpected end of file from server : BMC Impact Manager Initiated Incident</t>
  </si>
  <si>
    <t>IMPORT-INC000000673243</t>
  </si>
  <si>
    <t>Incident importé :
Identifiant : INC000000673243
Client : CTI Lyon
Résumé : [HCE] [MONETIQUE] [PLHCAP90] [HCT0012E]
Date de création : 19/10/18
Groupe de Support : N3_DIGITAL
Intervenant : 
Remarques : Fichier hub-core-pepsi-error.log : Erreur 00 c.d.c.l.e.r.ServerExchangeClientReporter   An HTTP exception occured : 400 Mauvaise Requ??te. : BMC Impact Manager Initiated Incident</t>
  </si>
  <si>
    <t>IMPORT-INC000000673084</t>
  </si>
  <si>
    <t>Incident importé :
Identifiant : INC000000673084
Client : CTI Lyon
Résumé : [HCE] [MONETIQUE] [PLHCAP80] [HCT0012E]
Date de création : 18/10/18
Groupe de Support : N3_DIGITAL
Intervenant : 
Remarques : Fichier hub-core-pepsi-error.log : Erreur 00 o.s.s.s.TaskUtils$LoggingErrorHandler   Unexpected error occurred in scheduled task.. : BMC Impact Manager Initiated Incident</t>
  </si>
  <si>
    <t>IMPORT-INC000000688062</t>
  </si>
  <si>
    <t>Incident importé :
Identifiant : INC000000688062
Client : CTI SQY
Résumé : [HC] [MONETIQUE] [PLHCAP80] [HCT0059E]
Date de création : 07/12/18
Groupe de Support : N3_DIGITAL
Intervenant : 
Remarques : Fichier dam-core-pepsi-error.log : Erreur 26 c.d.r.c.c.e.a.CbpControllerAdvice   Technical exception INTERNAL_ERROR caught, cause : 400 Mauvaise Requ??te. : BMC Impact Manager Initiated Incident</t>
  </si>
  <si>
    <t>INC0015071</t>
  </si>
  <si>
    <t>CRITICAL : hub-core-pepsi-error.log
Fichier hub-core-pepsi-error.log : Erreur 00 c.d.r.c.c.e.a.CbpControllerAdvice   Technical exception INTERNAL_ERROR caught, cause : 503 Service Temporarily Unavailable.
https://sp-infotech.ca-cedicam.fr/Consignes/HCT0010E.doc</t>
  </si>
  <si>
    <t>IMPORT-INC000000674675</t>
  </si>
  <si>
    <t>Incident importé :
Identifiant : INC000000674675
Client : CTI Lyon
Résumé : [HCE] [MONETIQUE] [PLHCAP22] [HCT0014E]
Date de création : 25/10/18
Groupe de Support : N3_DIGITAL
Intervenant : 
Remarques : Fichier aes-core-pepsi-error.log  : Erreur 26 c.d.c.a.c.i.s.n.s.CaNiceServerSoapImpl   Technical exception, cause : Contract existing for another user. : BMC Impact Manager Initiated Incident</t>
  </si>
  <si>
    <t>INC0013611</t>
  </si>
  <si>
    <t>CRITICAL : Fichier hub-core-pepsi-error.log : Erreur 00 c.d.r.c.c.e.a.CbpControllerAdvice   Technical exception INTERNAL_ERROR caught, cause : I/O error on POST request for  http://localhost-app:63000/eipengine/PlatypusRestService/platypus/af/updateCounter : Unexpec
https://sp-infotech.ca-cedicam.fr/Consignes/HCT0010E.doc</t>
  </si>
  <si>
    <t>INC0013129</t>
  </si>
  <si>
    <t>CRITICAL : Fichier hub-core-pepsi-error.log : Erreur 00 o.s.s.s.TaskUtils$LoggingErrorHandler   Unexpected error occurred in scheduled task..
https://sp-infotech.ca-cedicam.fr/Consignes/HCT0010E.doc</t>
  </si>
  <si>
    <t>IMPORT-INC000000679012</t>
  </si>
  <si>
    <t>Incident importé :
Identifiant : INC000000679012
Client : CTI Lyon
Résumé : [HCE] [MONETIQUE] [PLHCAP80] [HCT0012E]
Date de création : 11/11/18
Groupe de Support : N3_DIGITAL
Intervenant : 
Remarques : Fichier hub-core-pepsi-error.log : Erreur 00 c.d.r.c.c.e.a.CbpControllerAdvice   Technical exception TA_COMMUNICATION_ERROR caught, cause : &lt;!DOCTYPE HTML PUBLIC "-//IETF//DTD HTML 2.0//EN"&gt;. : BMC Impact Manager Initiated Incident</t>
  </si>
  <si>
    <t>INC0014679</t>
  </si>
  <si>
    <t>IMPORT-INC000000685380</t>
  </si>
  <si>
    <t>Incident importé :
Identifiant : INC000000685380
Client : CTI SQY
Résumé : [HCE] [MONETIQUE] [PLHCAP90] [HCT0012E]
Date de création : 29/11/18
Groupe de Support : N3_DIGITAL
Intervenant : 
Remarques : Fichier hub-core-pepsi-error.log : Erreur 00 c.d.r.c.c.e.a.CbpControllerAdvice   Technical exception INTERNAL_ERROR caught, cause : I/O error on POST request for "http://localhost-app:63000/eipengine/PlatypusRestService/platypus/af/updateCounter": Unexpected end of file from server : BMC Impact Manager Initiated Incident</t>
  </si>
  <si>
    <t>INC0015068</t>
  </si>
  <si>
    <t>IMPORT-INC000000675189</t>
  </si>
  <si>
    <t>Incident importé :
Identifiant : INC000000675189
Client : CTI Lyon
Résumé : [HCE] [MONETIQUE] [PLHCAP12] [HCT0014E]
Date de création : 27/10/18
Groupe de Support : N3_DIGITAL
Intervenant : 
Remarques : Fichier aes-core-pepsi-error.log  : Erreur 26 c.d.r.c.c.e.a.CbpControllerAdvice   Technical exception INTERNAL_ERROR caught, cause : I/O error on POST request for "http://localhost-app:63000/rtt-cbp-eligibility/api/check-device/name": Unexpected end of file from server : BMC Impact Manager Initiated Incident</t>
  </si>
  <si>
    <t>IMPORT-INC000000677845</t>
  </si>
  <si>
    <t>Incident importé :
Identifiant : INC000000677845
Client : CTI Lyon
Résumé : [HCE] [MONETIQUE] [PLHCAP12] [HCT0014E]
Date de création : 07/11/18
Groupe de Support : N3_DIGITAL
Intervenant : 
Remarques : Fichier aes-core-pepsi-error.log  : Erreur 26 c.d.c.a.c.i.s.n.s.CaNiceServerSoapImpl   Technical exception, cause : Contract existing for another user. : BMC Impact Manager Initiated Incident</t>
  </si>
  <si>
    <t>INC0015072</t>
  </si>
  <si>
    <t>CRITICAL : hub-core-pepsi-error.log
Fichier hub-core-pepsi-error.log : Erreur 00 c.d.r.c.c.e.a.CbpControllerAdvice   Technical exception TA_COMMUNICATION_ERROR caught, cause : HTTP ERROR 503.
https://sp-infotech.ca-cedicam.fr/Consignes/HCT0010E.doc</t>
  </si>
  <si>
    <t>IMPORT-INC000000684237</t>
  </si>
  <si>
    <t>Incident importé :
Identifiant : INC000000684237
Client : CTI Lyon
Résumé : [HCE] [MONETIQUE] [PLHCAP90] [HCT0012E]
Date de création : 26/11/18
Groupe de Support : N3_DIGITAL
Intervenant : 
Remarques : Fichier hub-core-pepsi-error.log : Erreur 00 c.d.r.c.c.e.a.CbpControllerAdvice   Technical exception INTERNAL_ERROR caught, cause : I/O error on POST request for "http://localhost-app:63000/eipengine/RestService/restws/retrieveSseByEndUser": Unexpected end of file from server : BMC Impact Manager Initiated Incident</t>
  </si>
  <si>
    <t>INC0015554</t>
  </si>
  <si>
    <t>CRITICAL : hub-core-pepsi-error.log
Fichier hub-core-pepsi-error.log : Erreur 00 c.d.r.c.c.e.a.CbpControllerAdvice   Technical exception INTERNAL_ERROR caught, cause : could not execute statement
https://sp-infotech.ca-cedicam.fr/Consignes/HCT0010E.doc</t>
  </si>
  <si>
    <t>IMPORT-INC000000691743</t>
  </si>
  <si>
    <t>Incident importé :
Identifiant : INC000000691743
Client : CTI Lyon
Résumé : [HCE] [MONETIQUE] [PLHCAP80] [HCT0012E]
Date de création : 22/12/18
Groupe de Support : N3_DIGITAL
Intervenant : 
Remarques : Fichier hub-core-pepsi-error.log : Erreur 00 c.d.r.c.c.e.a.CbpControllerAdvice   Technical exception INTERNAL_ERROR caught, cause : I/O error on POST request for "http://localhost-app:63000/eipengine/RestService/restws/retrieveSseByEndUser": Unexpected end of file from server : BMC Impact Manager Initiated Incident</t>
  </si>
  <si>
    <t>INC0015067</t>
  </si>
  <si>
    <t>CRITICAL : hub-core-pepsi-error.log
Fichier hub-core-pepsi-error.log : Erreur 00 c.d.r.c.c.e.a.CbpControllerAdvice   Technical exception INTERNAL_ERROR caught, cause : null.
https://sp-infotech.ca-cedicam.fr/Consignes/HCT0010E.doc</t>
  </si>
  <si>
    <t>IMPORT-INC000000676758</t>
  </si>
  <si>
    <t>Incident importé :
Identifiant : INC000000676758
Client : CTI Lyon
Résumé : [HCE] [MONETIQUE] [PLHCAP90] [HCT0012E]
Date de création : 04/11/18
Groupe de Support : N3_DIGITAL
Intervenant : 
Remarques : Fichier hub-core-pepsi-error.log : Erreur 00 c.d.r.c.c.e.a.CbpControllerAdvice   Technical exception INTERNAL_ERROR caught, cause : java.lang.IllegalStateException: Expected BEGIN_OBJECT but was STRING at line 1 column 1 path $. : BMC Impact Manager Initiated Incident</t>
  </si>
  <si>
    <t>IMPORT-INC000000672936</t>
  </si>
  <si>
    <t>Incident importé :
Identifiant : INC000000672936
Client : CTI SQY
Résumé : [HCE] [MONETIQUE] [PLHCAP11] [HCT0013E]
Date de création : 18/10/18
Groupe de Support : N3_DIGITAL
Intervenant : 
Remarques : Fichier display-core-pepsi-error.log : Erreur 00 c.d.r.c.c.e.a.CbpControllerAdvice   Technical exception INTERNAL_ERROR caught, cause : could not execute statement : BMC Impact Manager Initiated Incident</t>
  </si>
  <si>
    <t>IMPORT-INC000000565596</t>
  </si>
  <si>
    <t>P4 - Faible</t>
  </si>
  <si>
    <t>[GESTION DES OFFRES, DES CONTRATS ET DES EQUIPEMENTS PORTEURS][P4 - Faible]</t>
  </si>
  <si>
    <t>Jean-Pierre MICHEL</t>
  </si>
  <si>
    <t>Incident importé :
Identifiant : INC000000565596
Client : Jean-Pierre MICHEL
Résumé : incident sur la notification de consommation de jetons de paiements
Date de création : 22/09/17
Groupe de Support : N3_DIGITAL
Intervenant : Eric MARTINOLLI
Remarques : STET (en copie) nous a contacté pour nous notifier un incident sur la notification de consommation de jetons de paiements :  
htttps://hce-tsp.ca-payement-services.com/CMS/api-tsp/V1/token/credentialUsageNotification
La réponse envoyée par HCE est en erreur Invalid Content-type from remote customer (code erreur 9982) depuis 15h10 GMT.
STET s¿attend à obtenir une réponse « HTTP 200 OK avec en header un content-type : application/json »
Coté STET :
                Il n¿y a pas eu de MEP socle/réseau/applicatif ce jour.
                Il n¿y a pas de mécanisme de retry sur cette requête.
Coté HCE :
                Il n¿y a pas eu de MEP applicative ce jour.
                Les messages de STET sont bien reçus et traités correctement.
                Nous constatons aussi une absence de retry (les requêtes provenant de STET sont distinctes et uniques).
Impacts sur le service :
                Les requêtes sont traitées correctement par HCE.
                STET ne valorise pas la réponse HCE (réponse en erreur) hormis la génération d¿une alerte de supervision technique.
Il n¿y a donc pas d¿impact fonctionnel d¿identifié sur le service Paiement Mobile.
L¿investigation se poursuivra dès demain matin coté HCE.</t>
  </si>
  <si>
    <t>INC0013872</t>
  </si>
  <si>
    <t>CRITICAL : Fichier dam-core-pepsi-error.log : Erreur 26 c.d.r.c.c.e.a.CbpControllerAdvice   Technical exception INTERNAL_ERROR caught, cause : multiple points.-mc.PF_PRD_EM.1c7a46de.0
https://sp-infotech.ca-cedicam.fr/Consignes/HCT0059E.doc</t>
  </si>
  <si>
    <t>IMPORT-INC000000679663</t>
  </si>
  <si>
    <t>Incident importé :
Identifiant : INC000000679663
Client : CTI SQY
Résumé : [HCE] [MONETIQUE] [PLHCAP80] [HCT0011E]
Date de création : 13/11/18
Groupe de Support : N3_DIGITAL
Intervenant : 
Remarques : Fichier wb-core-pepsi-error.log : Erreur 26 o.s.boot.web.support.ErrorPageFilter   Cannot forward to error page for request [/api-wb/v1/wb-init] as the response has already been committed. As a result, the response may have the wrong status code. If your application is running on WebSphere Application Server you may be able to resolve this problem by setting com.ibm.ws.webcontainer.invokeFlushAfterService to false. : BMC Impact Manager Initiated Incident</t>
  </si>
  <si>
    <t>INC0013147</t>
  </si>
  <si>
    <t>INC0014004</t>
  </si>
  <si>
    <t>[Dégradation][E-COMMERCE][P3 - Moyenne]</t>
  </si>
  <si>
    <t>INC0013128</t>
  </si>
  <si>
    <t>IMPORT-INC000000673378</t>
  </si>
  <si>
    <t>Incident importé :
Identifiant : INC000000673378
Client : CTI SQY
Résumé : [HCE] [MONETIQUE] [PLHCAP80] [HCT0012E]
Date de création : 20/10/18
Groupe de Support : N3_DIGITAL
Intervenant : 
Remarques : Fichier hub-core-pepsi-error.log : Erreur 00 c.d.c.l.e.r.ServerExchangeClientReporter   An HTTP exception occured : I/O error on POST request for "http://localhost-app:63000/rtt-cbp-display/api-front/v1/internal/exchange": Unexpected end of file from server : BMC Impact Manager Initiated Incident</t>
  </si>
  <si>
    <t>IMPORT-INC000000673182</t>
  </si>
  <si>
    <t>Incident importé :
Identifiant : INC000000673182
Client : CTI Lyon
Résumé : [HCE] [MONETIQUE] [PLHCAP80] [HCT0012E]
Date de création : 19/10/18
Groupe de Support : N3_DIGITAL
Intervenant : 
Remarques : Fichier hub-core-pepsi-error.log : Erreur 00 c.d.c.l.e.r.ServerExchangeClientReporter   An HTTP exception occured : 400 Mauvaise Requ??te. : BMC Impact Manager Initiated Incident</t>
  </si>
  <si>
    <t>INC0013538</t>
  </si>
  <si>
    <t>CRITICAL : Fichier hub-core-pepsi-error.log : Erreur 00 c.d.r.c.c.e.a.CbpControllerAdvice   Technical exception INTERNAL_ERROR caught, cause : I/O error on POST request for  http://localhost-app:63000/eipengine/RestService/restws/retrieveSseByEndUser : Unexpected en
https://sp-infotech.ca-cedicam.fr/Consignes/HCT0010E.doc</t>
  </si>
  <si>
    <t>IMPORT-INC000000688063</t>
  </si>
  <si>
    <t>Incident importé :
Identifiant : INC000000688063
Client : CTI Lyon
Résumé : [HC] [MONETIQUE] [PLHCAP90] [HCT0059E]
Date de création : 07/12/18
Groupe de Support : N3_DIGITAL
Intervenant : 
Remarques : Fichier dam-core-pepsi-error.log : Erreur 26 c.d.r.c.c.e.a.CbpControllerAdvice   Technical exception INTERNAL_ERROR caught, cause : 400 Mauvaise Requ??te. : BMC Impact Manager Initiated Incident</t>
  </si>
  <si>
    <t>INC0014133</t>
  </si>
  <si>
    <t>IMPORT-INC000000688830</t>
  </si>
  <si>
    <t>Incident importé :
Identifiant : INC000000688830
Client : CTI SQY
Résumé : [HCE] [MONETIQUE] [PLHCAP22] [HCT0015E]
Date de création : 11/12/18
Groupe de Support : N3_DIGITAL
Intervenant : 
Remarques : Fichier eli-core-pepsi-error.log : Erreur 26 c.d.c.l.e.r.ServerExchangeClientReporter   An HTTP exception occured : I/O error on POST request for "http://localhost-app:63000/rtt-cbp-display/api-front/v1/internal/exchange": Connection reset : BMC Impact Manager Initiated Incident</t>
  </si>
  <si>
    <t>IMPORT-INC000000679537</t>
  </si>
  <si>
    <t>Incident importé :
Identifiant : INC000000679537
Client : CTI SQY
Résumé : [HCE] [MONETIQUE] [PLHCAP21] [HCT0013E]
Date de création : 13/11/18
Groupe de Support : N3_DIGITAL
Intervenant : 
Remarques : Fichier display-core-pepsi-error.log : Erreur 00 c.d.r.c.c.e.a.CbpControllerAdvice   Technical exception INTERNAL_ERROR caught, cause : Bad credentials. : BMC Impact Manager Initiated Incident</t>
  </si>
  <si>
    <t>INC0015009</t>
  </si>
  <si>
    <t>IMPORT-INC000000679014</t>
  </si>
  <si>
    <t>Incident importé :
Identifiant : INC000000679014
Client : CTI Lyon
Résumé : [HCE] [MONETIQUE] [PLHCAP90] [HCT0012E]
Date de création : 11/11/18
Groupe de Support : N3_DIGITAL
Intervenant : 
Remarques : Fichier hub-core-pepsi-error.log : Erreur 00 c.d.r.c.c.e.a.CbpControllerAdvice   Technical exception TA_COMMUNICATION_ERROR caught, cause : &lt;!DOCTYPE HTML PUBLIC "-//IETF//DTD HTML 2.0//EN"&gt;. : BMC Impact Manager Initiated Incident</t>
  </si>
  <si>
    <t>INC0015663</t>
  </si>
  <si>
    <t>CRITICAL : hub-core-pepsi-error.log
Fichier hub-core-pepsi-error.log : Erreur 00 c.d.r.c.c.e.a.CbpControllerAdvice   Technical exception INTERNAL_ERROR caught, cause : I/O error on POST request for  http://localhost-app:63000/eipengine/PlatypusRestService/platypus/af/updateCounter : Unexpected end of file from server
https://sp-infotech.ca-cedicam.fr/Consignes/HCT0010E.doc</t>
  </si>
  <si>
    <t>IMPORT-INC000000678111</t>
  </si>
  <si>
    <t>Incident importé :
Identifiant : INC000000678111
Client : CTI SQY
Résumé : [HCE] [MONETIQUE] [PLHCAP22] [HCT0014E]
Date de création : 08/11/18
Groupe de Support : N3_DIGITAL
Intervenant : 
Remarques : Fichier aes-core-pepsi-error.log  : Erreur 26 c.d.r.c.c.e.a.CbpControllerAdvice   Technical exception INTERNAL_ERROR caught, cause : I/O error on POST request for "http://localhost-app:63000/rtt-cbp-eligibility/api/check-device/name": Unexpected end of file from server : BMC Impact Manager Initiated Incident</t>
  </si>
  <si>
    <t>INC0015001</t>
  </si>
  <si>
    <t>CRITICAL : hub-core-pepsi-error.log
Fichier hub-core-pepsi-error.log : Erreur 00 c.d.r.c.c.e.a.CbpControllerAdvice   Technical exception INTERNAL_ERROR caught, cause : java.lang.IllegalStateException: Expected BEGIN_OBJECT but was STRING at line 1 column 1 path $.
https://sp-infotech.ca-cedicam.fr/Consignes/HCT0010E.doc</t>
  </si>
  <si>
    <t>IMPORT-INC000000675204</t>
  </si>
  <si>
    <t>Incident importé :
Identifiant : INC000000675204
Client : CTI Lyon
Résumé : [HCE] [MONETIQUE] [PLHCAP22] [HCT0014E]
Date de création : 27/10/18
Groupe de Support : N3_DIGITAL
Intervenant : 
Remarques : Fichier aes-core-pepsi-error.log  : Erreur 26 c.d.c.l.e.r.ServerExchangeClientReporter   An HTTP exception occured : I/O error on POST request for "http://localhost-app:63000/rtt-cbp-display/api-front/v1/internal/exchange": Unexpected end of file from server : BMC Impact Manager Initiated Incident</t>
  </si>
  <si>
    <t>INC0013912</t>
  </si>
  <si>
    <t>IMPORT-INC000000673058</t>
  </si>
  <si>
    <t>Incident importé :
Identifiant : INC000000673058
Client : CTI Lyon
Résumé : [HCE] [MONETIQUE] [PLHCAP90] [HCT0012E]
Date de création : 18/10/18
Groupe de Support : N3_DIGITAL
Intervenant : 
Remarques : Fichier hub-core-pepsi-error.log : Erreur 00 o.s.s.s.TaskUtils$LoggingErrorHandler   Unexpected error occurred in scheduled task.. : BMC Impact Manager Initiated Incident</t>
  </si>
  <si>
    <t>IMPORT-INC000000698047</t>
  </si>
  <si>
    <t>Incident importé :
Identifiant : INC000000698047
Client : CTI SQY
Résumé : [HC] [MONETIQUE] [PLHCAP90] [HCT0059E]
Date de création : 19/01/19
Groupe de Support : N3_DIGITAL
Intervenant : 
Remarques : Fichier dam-core-pepsi-error.log : Erreur 26 c.d.c.l.e.r.ServerExchangeClientReporter   An HTTP exception occured : I/O error on POST request for "http://localhost-app:63000/rtt-cbp-display/api-front/v1/internal/exchange": Unexpected end of file from server : BMC Impact Manager Initiated Incident</t>
  </si>
  <si>
    <t>INC0017313</t>
  </si>
  <si>
    <t>[Dégradation][CONTRATS ET EQUIPEMENTS PORTEURS][P3 - Moyenne]</t>
  </si>
  <si>
    <t>CRITICAL : wb-core-pepsi-error.log
Fichier wb-core-pepsi-error.log : Erreur 26 c.d.c.w.w.s.m.r.RainboxRMobileController   [ CORE ] processWbInit &gt;&gt; failed to get generated WB representation, /app/hc/awp/CBP/wb_files/359469072166568.rainbox_r (Aucun fichier ou dossier de ce type).
https://sp-infotech.ca-cedicam.fr/Consignes/HCT0010E.doc</t>
  </si>
  <si>
    <t>IMPORT-INC000000674052</t>
  </si>
  <si>
    <t>Incident importé :
Identifiant : INC000000674052
Client : CTI Lyon
Résumé : [HCE] [MONETIQUE] [PLHCAP80] [HCT0012E]
Date de création : 23/10/18
Groupe de Support : N3_DIGITAL
Intervenant : 
Remarques : Fichier hub-core-pepsi-error.log : Erreur 00 c.d.r.c.c.e.a.CbpControllerAdvice   Technical exception INTERNAL_ERROR caught, cause : java.lang.IllegalStateException: Expected BEGIN_OBJECT but was STRING at line 1 column 1 path $. : BMC Impact Manager Initiated Incident</t>
  </si>
  <si>
    <t>INC0016821</t>
  </si>
  <si>
    <t>Judes AQUABA</t>
  </si>
  <si>
    <t>CRITICAL : cms-core-pepsi-error.log
Fichier cms-core-pepsi-error.log : Erreur 26 c.d.r.c.c.e.a.CbpControllerAdvice LCL  Technical exception INTERNAL_ERROR caught, cause : org.hibernate.exception.ConstraintViolationException: could not execute statement.
https://sp-infotech.ca-cedicam.fr/Consignes/HCT0010E.doc</t>
  </si>
  <si>
    <t>INC0015700</t>
  </si>
  <si>
    <t>CRITICAL : wb-core-pepsi-error.log
Fichier wb-core-pepsi-error.log : Erreur 26 o.s.boot.web.support.ErrorPageFilter   Forwarding to error page from request [/api-wb/rainbox-r/wb-init] due to exception [null].
https://sp-infotech.ca-cedicam.fr/Consignes/HCT0010E.doc</t>
  </si>
  <si>
    <t>IMPORT-INC000000677120</t>
  </si>
  <si>
    <t>Incident importé :
Identifiant : INC000000677120
Client : CTI SQY
Résumé : [HC] [MONETIQUE] [PLHCAP80] [HCT0059E]
Date de création : 05/11/18
Groupe de Support : N3_DIGITAL
Intervenant : 
Remarques : Fichier dam-core-pepsi-error.log : Erreur 26 c.d.c.l.e.r.ServerExchangeClientReporter   An HTTP exception occured : I/O error on POST request for "http://localhost-app:63000/rtt-cbp-display/api-front/v1/internal/exchange": Unexpected end of file from server : BMC Impact Manager Initiated Incident</t>
  </si>
  <si>
    <t>INC0014999</t>
  </si>
  <si>
    <t>INC0013822</t>
  </si>
  <si>
    <t>CRITICAL : Fichier hub-core-pepsi-error.log : Erreur 00 c.d.r.c.c.e.a.CbpControllerAdvice   Technical exception CMS_COMMUNICATION_ERROR caught, cause : &lt;!DOCTYPE HTML PUBLIC  -//IETF//DTD HTML 2.0//EN &gt;.-mc.PF_PRD_EM.1c7b1bef.0
https://sp-infotech.ca-cedicam.fr/Consignes/HCT0010E.doc</t>
  </si>
  <si>
    <t>IMPORT-INC000000697606</t>
  </si>
  <si>
    <t>MONETIQUE COMMERCANTS</t>
  </si>
  <si>
    <t>Incident importé :
Identifiant : INC000000697606
Client : Monique SUARES
Résumé : CSRA: Paiement PMP refusé sur Smart TPE
Date de création : 17/01/19
Groupe de Support : N3_DIGITAL
Intervenant : Thierry DE-MARCO
Remarques : CSRA: Paiement PMP refusé sur Smart TPE
==&gt; Aucune information !
en att des info</t>
  </si>
  <si>
    <t>IMPORT-INC000000701049</t>
  </si>
  <si>
    <t>MONETIQUE PORTEURS</t>
  </si>
  <si>
    <t>Incident importé :
Identifiant : INC000000701049
Client : Monique SUARES
Résumé : CR Touraine Poitou  - PAYLIB-PMP 
Date de création : 01/02/19
Groupe de Support : N3_DIGITAL
Intervenant : Thierry DE-MARCO
Remarques : Bonjour 
La CR Touraine Poitou nous remonte le problème suivant : lorsque Mr Jacques Marezak n¿arrive pas à activer PAYLIB depuis l¿application MaCarte affichage  du message « "service momentanément indisponible (tech:03001) »
Ce message s¿affiche à chaque tentative depuis 15j
  Merci de prendre en compte ce problème
Informations pour analyse :
client  MR JACQUES MAREZAK
id Partenaire : 016075931
compte 16075931001
carte 5137 70XX XXXX 3099
idelex (identifiant élément de contrat externe) : 25010748454</t>
  </si>
  <si>
    <t>IMPORT-INC000000700647</t>
  </si>
  <si>
    <t>Incident importé :
Identifiant : INC000000700647
Client : Sylvie DAURES
Résumé : Incident à déclarer // [SOLLICITATION] : Anomalie PAYLIB PMP 
Date de création : 31/01/19
Groupe de Support : N3_DIGITAL
Intervenant : Thierry DE-MARCO
Remarques : Bonjour 
La CR Anjou Maine  nous remonte le cas suivant : 
Le client avait déjà utilisé le PMP mais n'arrive plus à l'utiliser depuis une dizaine de jours. Le porteur a tenter de désinstaller/ réinstaller l'application sans impact sur l'incident rencontré. Lors des tentatives de paiements, il entend bien le signal sonore mais il ne se passe rien de plus sur le téléphone, et les tentatives se concluent en "abandon débit" au niveau des commerçants. Merci de nous faire un retour sur votre analyse.
Pour information complémentaire ce client a réalisé les dernières achats paiement mobile sans contact le 05/01/2019 à 15 :49 
De le problème remonté ci-dessus a été constaté lors d¿une tentative de paiement  le 25/01/2019 à  à 14h20 pour un montant de 56,07 € au centre Leclerc de Saumur.
En analysant les opérations réalisés par le client, on constate que le client a déjà effectué un paiement mobile sans contact qui a abouti  le 03/01/2019 chez ce même commerçant.   
Merci de votre analyse  
Cordialement
Information client : 
ID-Profil : jean-francois.derreumaux@neuf.fr
Portable : Samsung Galaxy S6 Edge 
Idpart : 000407432</t>
  </si>
  <si>
    <t>INC0016123</t>
  </si>
  <si>
    <t>PASSERELLE API WEB_PRODUCTION</t>
  </si>
  <si>
    <t>CRITICAL : MEDIATOR_ERROR_CODE_WW_GTW01_LOG1
ERROR MEDIATION AM logs PLWWWW02 PROD : WWTA2AMM001I - STATUS = Executing default   fault   sequence, ERROR_CODE = 303001, ERROR_MESSAGE = Currently , Address endpoint : [ Name : CA-CEDICAM.FR/CT_WWP_PP--PP_P2P_STET_APIproductionEndpoint_4 ] [ State : SUSPENDED ].
https://sp-infotech.ca-cedicam.fr/Consignes/WWT1031E.doc</t>
  </si>
  <si>
    <t>INC0015418</t>
  </si>
  <si>
    <t>En attente</t>
  </si>
  <si>
    <t>CRITICAL : MEDIATOR_ERROR_CODE_WW_GTW01_LOG1
ERROR MEDIATION AM logs PLWWWW02 PROD : WWTA2AMM001I - STATUS = Executing default   fault   sequence, ERROR_CODE = 101507, ERROR_MESSAGE = Error in Sender.
https://sp-infotech.ca-cedicam.fr/Consignes/WWT1031E.doc</t>
  </si>
  <si>
    <t>INC0016376</t>
  </si>
  <si>
    <t>CRITICAL : MEDIATOR_ERROR_CODE_WW_GTW01_LOG1
ERROR MEDIATION AM logs PLWWWW02 PROD : WWTA2AMM001I - STATUS = Executing default   fault   sequence, ERROR_CODE = 303001, ERROR_MESSAGE = Currently , Address endpoint : [ Name : CA-CEDICAM.FR/CT_WWP_PP--PP_P2P_STET_APIproductionEndpoint_2 ] [ State : SUSPENDED ].
https://sp-infotech.ca-cedicam.fr/Consignes/WWT1031E.doc</t>
  </si>
  <si>
    <t>IMPORT-INC000000701813</t>
  </si>
  <si>
    <t>Fabrice TCHINOU</t>
  </si>
  <si>
    <t>[APPLICATIONS TRANSVERSES][P3 - Moyenne]</t>
  </si>
  <si>
    <t>Incident importé :
Identifiant : INC000000701813
Client : CTI SQY
Résumé : [TEXAGRI] [] [PLWWAP02] [WWTTX020E]
Date de création : 05/02/19
Groupe de Support : N3_BACK-OFFICE-PORTEUR
Intervenant : Fabrice TCHINOU
Remarques : ERROR CICSConnector (technique) API TX logs : CodeMessage = TXTESBCON036E, message = Une erreur technique est survenue. : BMC Impact Manager Initiated Incident</t>
  </si>
  <si>
    <t>INC0016172</t>
  </si>
  <si>
    <t>CRITICAL : MEDIATOR_ERROR_CODE_WW_GTW01_LOG1
ERROR MEDIATION AM logs PLWWWW02 PROD : WWTA2AMM001I - STATUS = Executing default   fault   sequence, ERROR_CODE = 303001, ERROR_MESSAGE = Currently , Address endpoint : [ Name : CA-CEDICAM.FR/CT_WWP_PP--PP_P2P_STET_APIproductionEndpoint_0 ] [ State : SUSPENDED ].
https://sp-infotech.ca-cedicam.fr/Consignes/WWT1031E.doc</t>
  </si>
  <si>
    <t>INC0016697</t>
  </si>
  <si>
    <t>CRITICAL : MEDIATOR_ERROR_CODE_WW_GTW01_LOG1
ERROR MEDIATION AM logs PLWWWW02 PROD : WWTA2AMM001I - STATUS = Executing default   fault   sequence, ERROR_CODE = 303001, ERROR_MESSAGE = Currently , Address endpoint : [ Name : CA-CEDICAM.FR/CT_WWP_PP--PP_P2P_STET_APIproductionEndpoint_3 ] [ State : SUSPENDED ].
https://sp-infotech.ca-cedicam.fr/Consignes/WWT1031E.doc</t>
  </si>
  <si>
    <t>INC0016378</t>
  </si>
  <si>
    <t>CRITICAL : MEDIATOR_ERROR_CODE_WW_GTW01_LOG1
ERROR MEDIATION AM logs PLWWWW02 PROD : WWTA2AMM001I - STATUS = Executing default   fault   sequence, ERROR_CODE = 303001, ERROR_MESSAGE = Currently , Address endpoint : [ Name : CA-CEDICAM.FR/CT_WWP_PP--PP_P2P_STET_APIproductionEndpoint_7 ] [ State : SUSPENDED ].
https://sp-infotech.ca-cedicam.fr/Consignes/WWT1031E.doc</t>
  </si>
  <si>
    <t>INC0016708</t>
  </si>
  <si>
    <t>CRITICAL : MEDIATOR_ERROR_CODE_WW_GTW01_LOG1
ERROR MEDIATION AM logs PLWWWW02 PROD : WWTA2AMM001I - STATUS = Executing default   fault   sequence, ERROR_CODE = 303001, ERROR_MESSAGE = Currently , Address endpoint : [ Name : CA-CEDICAM.FR/CT_WWP_PP--PP_P2P_STET_APIproductionEndpoint_1 ] [ State : SUSPENDED ].
https://sp-infotech.ca-cedicam.fr/Consignes/WWT1031E.doc</t>
  </si>
  <si>
    <t>INC0016246</t>
  </si>
  <si>
    <t>CRITICAL : MEDIATOR_ERROR_CODE_WW_GTW01_LOG1
ERROR MEDIATION AM logs PLWWWW02 PROD : WWTA2AMM001I - STATUS = Executing default   fault   sequence, ERROR_CODE = 101508, ERROR_MESSAGE = Error in Sender.
https://sp-infotech.ca-cedicam.fr/Consignes/WWT1031E.doc</t>
  </si>
  <si>
    <t>INC0016952</t>
  </si>
  <si>
    <t>CRITICAL : MEDIATOR_ERROR_CODE_WW_GTW01_LOG1
ERROR MEDIATION AM logs PLWWWW02 PROD : WWTA2AMM001I - STATUS = Executing default   fault   sequence, ERROR_CODE = 303001, ERROR_MESSAGE = Currently , Address endpoint : [ Name : CA-CEDICAM.FR/CT_WWP_PP--PP_P2P_STET_APIproductionEndpoint_5 ] [ State : SUSPENDED ].
https://sp-infotech.ca-cedicam.fr/Consignes/WWT1031E.doc</t>
  </si>
  <si>
    <t>IMPORT-INC000000690782</t>
  </si>
  <si>
    <t>Jérôme SAINSON</t>
  </si>
  <si>
    <t>RESIPAC_PRODUCTION</t>
  </si>
  <si>
    <t>Incident importé :
Identifiant : INC000000690782
Client : Pierre PETIT
Résumé : [RESIPAC] (ajouter libellé de l'alerte)
Date de création : 19/12/18
Groupe de Support : N3_BACK-OFFICE-PORTEUR
Intervenant : Jérôme SAINSON
Remarques : Visualisation d'une alerte de type dans RESIPAC:
                                      ****************** VOIR PIECE JOINTE  ******************</t>
  </si>
  <si>
    <t>INC0016405</t>
  </si>
  <si>
    <t>Visualisation d'une alerte de type Error dans RESIPAC (Voir PJ).</t>
  </si>
  <si>
    <t>INC0015660</t>
  </si>
  <si>
    <t>P2 - Importante</t>
  </si>
  <si>
    <t>[Dégradation][MONETIQUE PORTEURS][P2 - Importante]</t>
  </si>
  <si>
    <t>Suite à l'installation de la 2.9.7 en production, nous avons des erreurs à l'écriture des fichier vers le serveurs de transfert. Ceci est du au nouveau répertoire RootDir, qui doit être la racine du répertoire EnvoirDir.</t>
  </si>
  <si>
    <t>IMPORT-INC000000702368</t>
  </si>
  <si>
    <t>Incident importé :
Identifiant : INC000000702368
Client : Jérôme SAINSON
Résumé : RESIPAC: ¿ Pas d¿accès au fichier via Détail échange en émission
Date de création : 06/02/19
Groupe de Support : N4_CORRESPONDANT_TMA
Intervenant : Jeremy BONNEL
Remarques : Dans Suivi des échanges, en émission :
¿ Pas d¿accès au fichier via Détail échange =&gt; régression avérée,
¿ Pas d¿accès au fichier txt via Nom fichier échangé,
¿ Pas d¿accès aux fichiers de type Delta via Fichier courant.</t>
  </si>
  <si>
    <t>INC0013041</t>
  </si>
  <si>
    <t>Thierry CARRE</t>
  </si>
  <si>
    <t>SNGDO_PRODUCTION</t>
  </si>
  <si>
    <t>Code alerte RENF non référencé</t>
  </si>
  <si>
    <t>IMPORT-INC000000686035</t>
  </si>
  <si>
    <t>Emmanuelle BLANCHARD</t>
  </si>
  <si>
    <t>Incident importé :
Identifiant : INC000000686035
Client : Emmanuelle BLANCHARD
Résumé : Rediffusion oppo avec SPG : KO
Date de création : 03/12/18
Groupe de Support : N3_BACK-OFFICE-PORTEUR
Intervenant : Thierry CARRE
Remarques : La rediffusion des oppositions (vers IE ou pour émetteur) ne fonctionne plus avec SPG</t>
  </si>
  <si>
    <t>Commentaire</t>
  </si>
  <si>
    <t>Groupe</t>
  </si>
  <si>
    <t>mot clé</t>
  </si>
  <si>
    <t>WWT1031E</t>
  </si>
  <si>
    <t>HCE HCT0010E</t>
  </si>
  <si>
    <t>HCE HCT0012E</t>
  </si>
  <si>
    <t>HCE HCT0059E</t>
  </si>
  <si>
    <t>HCE HCT0015E</t>
  </si>
  <si>
    <t>Pour Laurent pour correction de connect Express</t>
  </si>
  <si>
    <t>Evolution supervision de la purge doublon 16405</t>
  </si>
  <si>
    <t>IMPORT-INC000000657514</t>
  </si>
  <si>
    <t>Résolu</t>
  </si>
  <si>
    <t>Incident importé :
Identifiant : INC000000657514
Client : CTI Lyon
Résumé : [PAW] [] [PLWWAP02] [WWT1032E]
Date de création : 20/08/18
Groupe de Support : N3_BACK-OFFICE-PORTEUR
Intervenant : Carine ESCALE
Remarques : ERROR MEDIATION ESB Manager logs PLWWAP02 PROD : WWTE2ESB001I - ERROR_CODE : 0 ERROR_MESSAGE : Error occured in the mediation of the class mediator. : BMC Impact Manager Initiated Incident</t>
  </si>
  <si>
    <t>IMPORT-INC000000682945</t>
  </si>
  <si>
    <t>Incident importé :
Identifiant : INC000000682945
Client : CTI Lyon
Résumé : [PAW] [] [PLWWAP02] [WWT1032E]
Date de création : 22/11/18
Groupe de Support : N3_BACK-OFFICE-PORTEUR
Intervenant : Fabrice TCHINOU
Remarques : ERROR MEDIATION ESB Manager logs PLWWAP02 PROD : WWTE2ESB001I - ERROR_CODE : 0 ERROR_MESSAGE : Error occured in the mediation of the class mediator. : BMC Impact Manager Initiated Incident</t>
  </si>
  <si>
    <t>IMPORT-INC000000685359</t>
  </si>
  <si>
    <t>Incident importé :
Identifiant : INC000000685359
Client : CTI SQY
Résumé : [PAW] [] [PLWWAP01] [WWT1032E]
Date de création : 29/11/18
Groupe de Support : N3_BACK-OFFICE-PORTEUR
Intervenant : Fabrice TCHINOU
Remarques : ERROR MEDIATION ESB logs PLWWAP01 PROD : WWTE1ESB001I - ERROR_CODE : 0 ERROR_MESSAGE : Error occured in the mediation of the class mediator. : BMC Impact Manager Initiated Incident</t>
  </si>
  <si>
    <t>IMPORT-INC000000696400</t>
  </si>
  <si>
    <t>Incident importé :
Identifiant : INC000000696400
Client : CTI Lyon
Résumé : [HCE] [MONETIQUE] [PLHCAP11] [HCT0013E]
Date de création : 11/01/19
Groupe de Support : N3_DIGITAL
Intervenant : 
Remarques : Fichier display-core-pepsi-error.log : Erreur 00 o.s.boot.web.support.ErrorPageFilter   Forwarding to error page from request [/api-front/v1/aes/user/list] due to exception [result returns more than one elements : BMC Impact Manager Initiated Incident</t>
  </si>
  <si>
    <t>IMPORT-INC000000696401</t>
  </si>
  <si>
    <t>Incident importé :
Identifiant : INC000000696401
Client : CTI Lyon
Résumé : [HCE] [MONETIQUE] [PLHCAP21] [HCT0013E]
Date de création : 11/01/19
Groupe de Support : N3_DIGITAL
Intervenant : 
Remarques : Fichier display-core-pepsi-error.log : Erreur 00 o.s.boot.web.support.ErrorPageFilter   Forwarding to error page from request [/api-front/v1/aes/user/list] due to exception [result returns more than one elements : BMC Impact Manager Initiated Incident</t>
  </si>
  <si>
    <t>IMPORT-INC000000696402</t>
  </si>
  <si>
    <t>Incident importé :
Identifiant : INC000000696402
Client : CTI SQY
Résumé : [HCE] [MONETIQUE] [PLHCAP21] [HCT0013E]
Date de création : 11/01/19
Groupe de Support : N3_DIGITAL
Intervenant : 
Remarques : Fichier display-core-pepsi-error.log : Erreur 00 o.s.boot.web.support.ErrorPageFilter   Forwarding to error page from request [/api-front/v1/account] due to exception [result returns more than one elements : BMC Impact Manager Initiated Incident</t>
  </si>
  <si>
    <t>IMPORT-INC000000700352</t>
  </si>
  <si>
    <t>Incident importé :
Identifiant : INC000000700352
Client : CTI Lyon
Résumé : [TEXAGRI] [] [PLWWAP01] [WWTTX020E]
Date de création : 30/01/19
Groupe de Support : N3_BACK-OFFICE-PORTEUR
Intervenant : Fabrice TCHINOU
Remarques : ERROR CICSConnector (technique) API TX logs : CodeMessage = TXTESBCON036E, message = Une erreur technique est survenue. : BMC Impact Manager Initiated Incident</t>
  </si>
  <si>
    <t>IMPORT-INC000000700431</t>
  </si>
  <si>
    <t>Incident importé :
Identifiant : INC000000700431
Client : CTI Lyon
Résumé : [TEXAGRI] [] [PLWWAP01] [WWTTX020E]
Date de création : 30/01/19
Groupe de Support : N3_BACK-OFFICE-PORTEUR
Intervenant : Fabrice TCHINOU
Remarques : ERROR CICSConnector (technique) API TX logs : CodeMessage = TXTESBCON036E, message = Une erreur technique est survenue. : BMC Impact Manager Initiated Incident</t>
  </si>
  <si>
    <t>IMPORT-INC000000700625</t>
  </si>
  <si>
    <t>Incident importé :
Identifiant : INC000000700625
Client : CTI SQY
Résumé : [TEXAGRI] [] [PLWWAP02] [WWTTX020E]
Date de création : 31/01/19
Groupe de Support : N3_BACK-OFFICE-PORTEUR
Intervenant : Fabrice TCHINOU
Remarques : ERROR CICSConnector (technique) API TX logs : CodeMessage = TXTESBCON036E, message = Une erreur technique est survenue. : BMC Impact Manager Initiated Incident</t>
  </si>
  <si>
    <t>IMPORT-INC000000701500</t>
  </si>
  <si>
    <t>Incident importé :
Identifiant : INC000000701500
Client : CTI SQY
Résumé : [TEXAGRI] [] [PLWWAP02] [WWTTX020E]
Date de création : 04/02/19
Groupe de Support : N3_BACK-OFFICE-PORTEUR
Intervenant : Fabrice TCHINOU
Remarques : ERROR CICSConnector (technique) API TX logs : CodeMessage = TXTESBCON036E, message = Une erreur technique est survenue. : BMC Impact Manager Initiated Incident</t>
  </si>
  <si>
    <t>IMPORT-INC000000701573</t>
  </si>
  <si>
    <t>Incident importé :
Identifiant : INC000000701573
Client : CTI Lyon
Résumé : [TEXAGRI] [] [PLWWAP01] [WWTTX023E]
Date de création : 04/02/19
Groupe de Support : N3_BACK-OFFICE-PORTEUR
Intervenant : Fabrice TCHINOU
Remarques : ERROR CICSConnector (Communication CICS KO) API TX logs : CodeMessage = TXTESBCON039E, message = Erreur lors de la communication avec le CICS. : BMC Impact Manager Initiated Incident</t>
  </si>
  <si>
    <t>IMPORT-INC000000701644</t>
  </si>
  <si>
    <t>Incident importé :
Identifiant : INC000000701644
Client : CTI SQY
Résumé : [TEXAGRI] [] [PLWWAP02] [WWTTX015E]
Date de création : 05/02/19
Groupe de Support : N3_BACK-OFFICE-PORTEUR
Intervenant : Fabrice TCHINOU
Remarques : Erreur appel programme CICS : CodeMessage = TXTESBCON030E, message = Problem invoking Program OC131T00. : BMC Impact Manager Initiated Incident</t>
  </si>
  <si>
    <t>IMPORT-INC000000701763</t>
  </si>
  <si>
    <t>Incident importé :
Identifiant : INC000000701763
Client : CTI Lyon
Résumé : [TEXAGRI] [] [PLWWAP01] [WWTTX020E]
Date de création : 05/02/19
Groupe de Support : N3_BACK-OFFICE-PORTEUR
Intervenant : Fabrice TCHINOU
Remarques : ERROR CICSConnector (technique) API TX logs : CodeMessage = TXTESBCON036E, message = Une erreur technique est survenue. : BMC Impact Manager Initiated Incident</t>
  </si>
  <si>
    <t>IMPORT-INC000000701784</t>
  </si>
  <si>
    <t>Incident importé :
Identifiant : INC000000701784
Client : CTI Lyon
Résumé : [TEXAGRI] [] [PLWWAP01] [WWTTX020E]
Date de création : 05/02/19
Groupe de Support : N3_BACK-OFFICE-PORTEUR
Intervenant : Fabrice TCHINOU
Remarques : ERROR CICSConnector (technique) API TX logs : CodeMessage = TXTESBCON036E, message = Une erreur technique est survenue. : BMC Impact Manager Initiated Incident</t>
  </si>
  <si>
    <t>IMPORT-INC000000701789</t>
  </si>
  <si>
    <t>Incident importé :
Identifiant : INC000000701789
Client : CTI Lyon
Résumé : [TEXAGRI] [] [PLWWAP01] [WWTTX020E]
Date de création : 05/02/19
Groupe de Support : N3_BACK-OFFICE-PORTEUR
Intervenant : Fabrice TCHINOU
Remarques : ERROR CICSConnector (technique) API TX logs : CodeMessage = TXTESBCON036E, message = Une erreur technique est survenue. : BMC Impact Manager Initiated Incident</t>
  </si>
  <si>
    <t>INC0013124</t>
  </si>
  <si>
    <t>CRITICAL : Fichier display-core-pepsi-error.log : Erreur 00 o.s.boot.web.support.ErrorPageFilter   Forwarding to error page from request [/api-front/v1/account] due to exception [result returns more than one elements
https://sp-infotech.ca-cedicam.fr/Consignes/HCT0010E.doc</t>
  </si>
  <si>
    <t>INC0013126</t>
  </si>
  <si>
    <t>CRITICAL : Fichier display-core-pepsi-error.log : Erreur 00 o.s.boot.web.support.ErrorPageFilter   Forwarding to error page from request [/api-front/v1/monitoring/component/list] due to exception [result returns more than one elements
https://sp-infotech.ca-cedicam.fr/Consignes/HCT0010E.doc</t>
  </si>
  <si>
    <t>INC0013159</t>
  </si>
  <si>
    <t>CRITICAL : ERROR MEDIATION ESB Manager logs PLWWAP02 PROD : WWTE2ESB001I - ERROR_CODE : 0 ERROR_MESSAGE : Error occured in the mediation of the class mediator.
https://sp-infotech.ca-cedicam.fr/Consignes/WWT1032E.doc</t>
  </si>
  <si>
    <t>INC0013180</t>
  </si>
  <si>
    <t>Clos</t>
  </si>
  <si>
    <t>[Degradation][APPLICATIONS INTERNES][P3 - Average]</t>
  </si>
  <si>
    <t>CRITICAL : Erreur appel programme CICS : CodeMessage = TXTESBCON030E, message = Problem invoking Program OC131T00.
https://sp-infotech.ca-cedicam.fr/Consignes/TXTTX015E.doc</t>
  </si>
  <si>
    <t>INC0013181</t>
  </si>
  <si>
    <t>INC0014105</t>
  </si>
  <si>
    <t>CRITICAL : Erreur appel programme CICS : CodeMessage = TXTESBCON030E, message = Problem invoking Program OC131T00.-mc.PF_PRD_EM.1c79cf21.1
https://sp-infotech.ca-cedicam.fr/Consignes/TXTTX015E.doc</t>
  </si>
  <si>
    <t>INC0015605</t>
  </si>
  <si>
    <t>CRITICAL : LOG_WWTX_WWTTX015
Erreur appel programme CICS : CodeMessage = TXTESBCON030E, message = Problem invoking Program OC131T00.
https://sp-infotech.ca-cedicam.fr/Consignes/TXTTX015E.doc</t>
  </si>
  <si>
    <t>Paiement Mobile</t>
  </si>
  <si>
    <t>en attente livraison AVEM</t>
  </si>
  <si>
    <t>Analyse en cours, JIRA en cours avec DJM, action CATS</t>
  </si>
  <si>
    <t>ferme</t>
  </si>
  <si>
    <t>porteur qui n'arrive pas à s'enrôler / fonctionne depuis jeudi 04/04</t>
  </si>
  <si>
    <t>A analyser coté réseau et applicatif. Incident toujours présent</t>
  </si>
  <si>
    <t>A cloturer</t>
  </si>
  <si>
    <t>MEP à planifier avec un composant plus verbeux pour analyse</t>
  </si>
  <si>
    <t>A cloturer. Corps du message trop volumineux</t>
  </si>
  <si>
    <t>A analyser sur le serveur : problématique de communication intercomposant</t>
  </si>
  <si>
    <t>Passer procédure de désactivation en production des clients avec statut en erreur</t>
  </si>
  <si>
    <t>En cours d'analyse DJM</t>
  </si>
  <si>
    <t>A cloturer/Voir si cela se reproduit</t>
  </si>
  <si>
    <t>En cours d'analyse DJM / LCL</t>
  </si>
  <si>
    <t>Cloturé</t>
  </si>
  <si>
    <t>INC0017744</t>
  </si>
  <si>
    <t>CRITICAL : hub-core-pepsi-error.log
Fichier hub-core-pepsi-error.log : Erreur 00 o.s.s.s.TaskUtils$LoggingErrorHandler   Unexpected error occurred in scheduled task..
https://sp-infotech.ca-cedicam.fr/Consignes/HCT0010E.doc</t>
  </si>
  <si>
    <t>INC0017755</t>
  </si>
  <si>
    <t>CRITICAL : wb-core-pepsi-error.log
Fichier wb-core-pepsi-error.log : Erreur 26 o.s.boot.web.support.ErrorPageFilter   Cannot forward to error page for request [/api-wb/v1/wb-init] as the response has already been committed. As a result, the response may have the wrong status code. If your application is running on WebSphere Application Server you may be able to resolve this problem by setting com.ibm.ws.webcontainer.invokeFlushAfterService to false.
https://sp-infotech.ca-cedicam.fr/Consignes/HCT0010E.doc</t>
  </si>
  <si>
    <t>INC0017705</t>
  </si>
  <si>
    <t>CRITICAL : hub-core-pepsi-error.log
Fichier hub-core-pepsi-error.log : Erreur 00 c.d.r.c.c.e.a.CbpControllerAdvice   Technical exception INTERNAL_ERROR caught, cause : Request method   GET   not supported.
https://sp-infotech.ca-cedicam.fr/Consignes/HCT0010E.doc</t>
  </si>
  <si>
    <t>INC0017725</t>
  </si>
  <si>
    <t>INC0017709</t>
  </si>
  <si>
    <t>Résolu techniquement</t>
  </si>
  <si>
    <t>Date de résolution</t>
  </si>
  <si>
    <t>Date résolution</t>
  </si>
  <si>
    <t>Jean-pierre MICHEL</t>
  </si>
  <si>
    <t>[APPLICATIONS TRANSVERSES][P3 - Average]</t>
  </si>
  <si>
    <t>[Degradation][MONETIQUE PORTEURS][P3 - Average]</t>
  </si>
  <si>
    <t>IMPORT-INC000000702196</t>
  </si>
  <si>
    <t>BALANCE PAIMENTS CARTES_PRODUCTION</t>
  </si>
  <si>
    <t>patrick.pedrassi@ca-cP.fr</t>
  </si>
  <si>
    <t>Incident importé :
Identifiant : INC000000702196
Client : Patrick PEDRASSI
Résumé : [BC] IHM BC : Régression sur Export CSV d'un déclaratif
Date de création : 06/02/19
Groupe de Support : N4_CORRESPONDANT_TMA
Intervenant : Gaël GIRODON
Remarques : Suite au correctif installé dans le cadre du changement CRQ000000055460, nous constatons une nouvelle anomalie sur la fonction d'export CSV d'un déclaratif, lorsqu'on tente un second export.
Le premier export fonctionne sans problème. Mais suite à cela, si on tente d'effectuer un second export, l'IHM revient systématiquement sur la page d'accueil sans effectuer l'export.
Il semble que ce dysfonctionnement soit un nouvel effet de bord des évolutions apportées en décembre pour résoudre des failles sécuritaires.
A noter que ce dysfonctionnement ne se reproduit pas entre environnement de pré production.</t>
  </si>
  <si>
    <t>INC0018350</t>
  </si>
  <si>
    <t>INC0018351</t>
  </si>
  <si>
    <t>INC0019708</t>
  </si>
  <si>
    <t>GEMSTONE_PRODUCTION</t>
  </si>
  <si>
    <t>L'application IDEMIA, pour traiter les appels Samsung PAY,est indisponible pour les collaborateurs du SOS</t>
  </si>
  <si>
    <t>en attente livraison correctif 02/05</t>
  </si>
  <si>
    <t>correction dans la 29.7</t>
  </si>
  <si>
    <t>INC0018422</t>
  </si>
  <si>
    <t>Sylvie DAURES</t>
  </si>
  <si>
    <t>INC0018605</t>
  </si>
  <si>
    <t>Affecté</t>
  </si>
  <si>
    <t>CRITICAL : aes-core-pepsi-error.log
Fichier aes-core-pepsi-error.log  : Erreur 26 c.d.c.l.e.r.ServerExchangeClientReporter   An HTTP exception occured : 400 Mauvaise Requ??te.
https://sp-infotech.ca-cedicam.fr/Consignes/HCT0010E.doc</t>
  </si>
  <si>
    <t>INC0018606</t>
  </si>
  <si>
    <t>CRITICAL : aeslcl-core-pepsi-error.log
Fichier aeslcl-core-pepsi-error.log  : Erreur 00 c.d.c.l.e.r.ServerExchangeClientReporter   An HTTP exception occured : 400 Mauvaise Requ??te.
https://sp-infotech.ca-cedicam.fr/Consignes/HCT0064E.doc</t>
  </si>
  <si>
    <t>INC0018607</t>
  </si>
  <si>
    <t>CRITICAL : display-core-pepsi-error.log
Fichier display-core-pepsi-error.log : Erreur 00 c.d.r.c.c.e.a.CbpControllerAdvice   Technical exception INTERNAL_ERROR caught, cause : Could not open JPA EntityManager for transaction
https://sp-infotech.ca-cedicam.fr/Consignes/HCT0010E.doc</t>
  </si>
  <si>
    <t>INC0018608</t>
  </si>
  <si>
    <t>CRITICAL : eli-core-pepsi-error.log
Fichier eli-core-pepsi-error.log : Erreur 26 c.d.c.l.e.r.ServerExchangeClientReporter   An HTTP exception occured : 400 Mauvaise Requ??te.
https://sp-infotech.ca-cedicam.fr/Consignes/HCT0010E.doc</t>
  </si>
  <si>
    <t>INC0018609</t>
  </si>
  <si>
    <t>INC0018610</t>
  </si>
  <si>
    <t>INC0018717</t>
  </si>
  <si>
    <t>INC0018719</t>
  </si>
  <si>
    <t>INC0018721</t>
  </si>
  <si>
    <t>INC0018976</t>
  </si>
  <si>
    <t>CRITICAL : aeslcl-core-pepsi-error.log
Fichier aeslcl-core-pepsi-error.log  : Erreur 00 c.d.r.c.c.e.a.CbpControllerAdvice   Technical exception INTERNAL_ERROR caught, cause : Request method   GET   not supported.
https://sp-infotech.ca-cedicam.fr/Consignes/HCT0064E.doc</t>
  </si>
  <si>
    <t>INC0019095</t>
  </si>
  <si>
    <t>INC0019146</t>
  </si>
  <si>
    <t>INC0019548</t>
  </si>
  <si>
    <t>CRITICAL : cms-core-pepsi-error.log
Fichier cms-core-pepsi-error.log : Erreur 00 c.d.r.c.c.e.a.CbpControllerAdvice   Technical exception INTERNAL_ERROR caught, cause : org.hibernate.exception.JDBCConnectionException: Unable to acquire JDBC Connection.
https://sp-infotech.ca-cedicam.fr/Consignes/HCT0010E.doc</t>
  </si>
  <si>
    <t>etat2</t>
  </si>
  <si>
    <t>INC0020623</t>
  </si>
  <si>
    <t>CRITICAL : aes-core-pepsi-error.log
Fichier aes-core-pepsi-error.log  : Erreur 26 c.d.r.c.c.e.a.CbpControllerAdvice   Technical exception INTERNAL_ERROR caught, cause : Could not extract response: no suitable HttpMessageConverter found for response type [class com.dejamobile.cbp.aes.ca.infrastructure.client.cms.dto.CmsCardCreationPanResponse] and content type [text/html</t>
  </si>
  <si>
    <t>INC0020624</t>
  </si>
  <si>
    <t>CRITICAL : hub-core-pepsi-error.log
Fichier hub-core-pepsi-error.log : Erreur 00 c.d.c.l.e.r.ServerExchangeClientReporter   An HTTP exception occured : I/O error on POST request for  http://localhost-app:63000/rtt-cbp-display/api-front/v1/internal/exchange : Unexpected end of file from server</t>
  </si>
  <si>
    <t>INC0020740</t>
  </si>
  <si>
    <t>CRITICAL : wb-core-pepsi-error.log
Fichier wb-core-pepsi-error.log : Erreur 26 o.s.boot.web.support.ErrorPageFilter   Cannot forward to error page for request [/api-wb/v1/wb-init] as the response has already been committed. As a result, the response may have the wrong status code. If your application is running on WebSphere Application Server you may be able to resolve this problem by setting com.ibm.ws.webcontainer.invokeFlushAfterService to false.</t>
  </si>
  <si>
    <t>INC0020929</t>
  </si>
  <si>
    <t>INC0020930</t>
  </si>
  <si>
    <t>CRITICAL : hub-core-pepsi-error.log
Fichier hub-core-pepsi-error.log : Erreur 00 c.d.r.c.c.e.a.CbpControllerAdvice   Technical exception INTERNAL_ERROR caught, cause : I/O error on POST request for  http://localhost-app:63000/eipengine/RestService/restws/retrieveSseByEndUser : Unexpected end of file from server</t>
  </si>
  <si>
    <t>INC0020931</t>
  </si>
  <si>
    <t>CRITICAL : dam-core-pepsi-error.log
Fichier dam-core-pepsi-error.log : Erreur 26 c.d.r.c.c.e.a.CbpControllerAdvice   Technical exception INTERNAL_ERROR caught, cause : 400 Mauvaise Requ??te.</t>
  </si>
  <si>
    <t>INC0020932</t>
  </si>
  <si>
    <t>CRITICAL : aes-core-pepsi-error.log
Fichier aes-core-pepsi-error.log  : Erreur 26 c.d.c.a.c.i.s.n.s.CaNiceServerSoapImpl   Technical exception, cause : Could not extract response: no suitable HttpMessageConverter found for response type [class java.lang.Void] and content type [text/html</t>
  </si>
  <si>
    <t>INC0020956</t>
  </si>
  <si>
    <t>date détection incident</t>
  </si>
  <si>
    <t>Date de détection de l'incident</t>
  </si>
  <si>
    <t>date jour</t>
  </si>
  <si>
    <t>délai trait</t>
  </si>
  <si>
    <t>délai résolution</t>
  </si>
  <si>
    <t>délai depuis l'ouvert</t>
  </si>
  <si>
    <t>1 jours</t>
  </si>
  <si>
    <t>[TRAITEMENT DES OPERATIONS PORTEURS][P3 - Moyenne]</t>
  </si>
  <si>
    <t>[MONETIQUE COMMERCANTS][P3 - Average]</t>
  </si>
  <si>
    <t>[Degradation][GESTION DES OFFRES, DES CONTRATS ET DES EQUIPEMENTS PORTEURS][P3 - Average]</t>
  </si>
  <si>
    <t>[Degradation][DELIVRANCE D'AUTORISATIONS][P3 - Average]</t>
  </si>
  <si>
    <t>[APPLICATIONS INTERNES][P3 - Average]</t>
  </si>
  <si>
    <t>INC0020934</t>
  </si>
  <si>
    <t>INC0021262</t>
  </si>
  <si>
    <t>CRITICAL : dam-core-pepsi-error.log
Fichier dam-core-pepsi-error.log : Erreur 26 c.d.r.c.c.e.a.CbpControllerAdvice   Technical exception INTERNAL_ERROR caught, cause : 502 Proxy Error.</t>
  </si>
  <si>
    <t>INC0021263</t>
  </si>
  <si>
    <t>CRITICAL : cms-core-pepsi-error.log
Fichier cms-core-pepsi-error.log : Erreur 6012 c.d.r.c.c.e.a.CbpControllerAdvice LCL  Technical exception ERSB_PROCESSING_ERROR caught, cause : TSP Processing error cause : ReplenishmentNotificationResponse(super=TspResponse(responseCode=20, messageReasonCode=4002), tokenReferenceId=TRSBV2235833X0000000000000000000, schemeType=PU, applicationTransactionCounter=null, accountParametersIndex=null).</t>
  </si>
  <si>
    <t>INC0021311</t>
  </si>
  <si>
    <t>Lorsque "Ma Carte" n'est pas l'application de paiement mobile "prioritaire" (c'est à dire qu'elle n'est pas paramétrée comme application par défaut dans les paramètres "Paiement NFC" du smartphone), le paiement mobile en rentrant manuellement dans l'application "Ma Carte" (en mode MPIN-TAP ou BIO-TAP) qui doit être autorisé est en systématiquement en échec :
 - code erreur 03020 systématique si utilisation du MPIN - 
 - code erreur 03021 systématique si utilisation de la BIO</t>
  </si>
  <si>
    <t>INC0022259</t>
  </si>
  <si>
    <t>CRITICAL : 17/05/2019 05:06:02
aes-core-pepsi-error.log
Fichier aes-core-pepsi-error.log  : Erreur 26 c.d.c.l.e.r.ServerExchangeClientReporter   An HTTP exception occured : 502 Proxy Error.</t>
  </si>
  <si>
    <t>[MONETIQUE PORTEURS][P3 - Average]</t>
  </si>
  <si>
    <t>[Degradation][DECLARATIFS OPERATIONS PORTEURS][P4 - Low]</t>
  </si>
  <si>
    <t>[Degradation][E-COMMERCE][P3 - Average]</t>
  </si>
  <si>
    <t>INC0023848</t>
  </si>
  <si>
    <t>CRITICAL : 28/05/2019 23:26:13
eli-core-pepsi-error.log
Fichier eli-core-pepsi-error.log : Erreur 26 c.d.c.l.e.r.ServerExchangeClientReporter   An HTTP exception occured : I/O error on POST request for  http://localhost-app:63000/rtt-cbp-display/api-front/v1/internal/exchange : Unexpected end of file from server</t>
  </si>
  <si>
    <t>INC0023849</t>
  </si>
  <si>
    <t>CRITICAL : 29/05/2019 10:49:13
hub-core-pepsi-error.log
Fichier hub-core-pepsi-error.log : Erreur 00 c.d.r.c.c.e.a.CbpControllerAdvice   Technical exception INTERNAL_ERROR caught, cause : could not execute statement</t>
  </si>
  <si>
    <t>INC0023919</t>
  </si>
  <si>
    <t>CRITICAL : 29/05/2019 11:44:14
hub-core-pepsi-error.log
Fichier hub-core-pepsi-error.log : Erreur 00 c.d.r.c.c.e.a.CbpControllerAdvice   Technical exception INTERNAL_ERROR caught, cause : I/O error on POST request for  http://localhost-app:63000/eipengine/RestService/restws/retrieveSseByEndUser : Unexpected end of file from server</t>
  </si>
  <si>
    <t>INC0023950</t>
  </si>
  <si>
    <t>CRITICAL : 30/05/2019 00:23:03
dam-core-pepsi-error.log
Fichier dam-core-pepsi-error.log : Erreur 26 c.d.r.c.c.e.a.CbpControllerAdvice   Technical exception INTERNAL_ERROR caught, cause : multiple points.</t>
  </si>
  <si>
    <t>date résolution</t>
  </si>
  <si>
    <t>Anomalies globale SBP</t>
  </si>
  <si>
    <t>Anomalies par priorité (stock)</t>
  </si>
  <si>
    <t>Anomalies par priorité (en cours)</t>
  </si>
  <si>
    <t>Nombre d'anomalies SBP</t>
  </si>
  <si>
    <t>Ouverture</t>
  </si>
  <si>
    <t>Clôture</t>
  </si>
  <si>
    <t>Transferts</t>
  </si>
  <si>
    <t>Délai de traitement</t>
  </si>
  <si>
    <t>Délai sur stock</t>
  </si>
  <si>
    <t>Délai sur en cours</t>
  </si>
  <si>
    <t>Délai sur incidents à impact client (stock)</t>
  </si>
  <si>
    <t>Délai sur incidents à impact client (mois en cours)</t>
  </si>
  <si>
    <t>P1 - Critique</t>
  </si>
  <si>
    <t>1 à 2 jours</t>
  </si>
  <si>
    <t>2 à 15 jours</t>
  </si>
  <si>
    <t>15 à 30 jours</t>
  </si>
  <si>
    <t>30 jours et plus</t>
  </si>
  <si>
    <t>Anomalies avec impact client (en cours)</t>
  </si>
  <si>
    <t>Nombre d'anomalie créées avant ou pendant le mois concerné, par type de priorité</t>
  </si>
  <si>
    <t>Nombre d'anomalies créées avant ou pendant le mois concerné ET non encore closes au début du mois en cours, par type de priorité</t>
  </si>
  <si>
    <r>
      <t xml:space="preserve">Nombre d'anomalies créées avant ou pendant le mois concerné ET non encore closes au début du mois en cours, </t>
    </r>
    <r>
      <rPr>
        <u/>
        <sz val="10"/>
        <color theme="8" tint="-0.249977111117893"/>
        <rFont val="Calibri"/>
        <family val="2"/>
        <scheme val="minor"/>
      </rPr>
      <t>qui ont un impact client</t>
    </r>
    <r>
      <rPr>
        <sz val="10"/>
        <color theme="8" tint="-0.249977111117893"/>
        <rFont val="Calibri"/>
        <family val="2"/>
        <scheme val="minor"/>
      </rPr>
      <t>, par type de priorité</t>
    </r>
  </si>
  <si>
    <t>En cours fonction de leurs activités</t>
  </si>
  <si>
    <t>Nombre d'anomalies créées avant le mois concerné ET non encore closes au début du mois en cours</t>
  </si>
  <si>
    <t>Nombre d'anomalies ouvertes pendant le mois en cours</t>
  </si>
  <si>
    <t>Nombre d'anomalies closes pendant le mois en cours</t>
  </si>
  <si>
    <t>Nombre d'anomalies transférées pendant le mois en cours</t>
  </si>
  <si>
    <t>Nombre d'anomalies créées avant ou pendant le mois concerné ET non encore closes au début du mois en cours, triées par délai de traitement (colonne T)</t>
  </si>
  <si>
    <t>Nombre d'anomalies créées avant ou pendant le mois concerné, triées par délai de traitement (colonne T)</t>
  </si>
  <si>
    <r>
      <t xml:space="preserve">Nombre d'anomalies créées avant ou pendant le mois concerné, </t>
    </r>
    <r>
      <rPr>
        <u/>
        <sz val="10"/>
        <color theme="8" tint="-0.249977111117893"/>
        <rFont val="Calibri"/>
        <family val="2"/>
        <scheme val="minor"/>
      </rPr>
      <t>ayant un impact client</t>
    </r>
    <r>
      <rPr>
        <sz val="10"/>
        <color theme="8" tint="-0.249977111117893"/>
        <rFont val="Calibri"/>
        <family val="2"/>
        <scheme val="minor"/>
      </rPr>
      <t xml:space="preserve"> ,triées par délai de traitement (colonne T)</t>
    </r>
  </si>
  <si>
    <r>
      <t>Nombre d'anomalies créées avant ou pendant le mois concerné ET non encore closes au début du mois en cours,</t>
    </r>
    <r>
      <rPr>
        <u/>
        <sz val="10"/>
        <color theme="8" tint="-0.249977111117893"/>
        <rFont val="Calibri"/>
        <family val="2"/>
        <scheme val="minor"/>
      </rPr>
      <t xml:space="preserve"> ayant un impact client </t>
    </r>
    <r>
      <rPr>
        <sz val="10"/>
        <color theme="8" tint="-0.249977111117893"/>
        <rFont val="Calibri"/>
        <family val="2"/>
        <scheme val="minor"/>
      </rPr>
      <t>,triées par délai de traitement (colonne T)</t>
    </r>
  </si>
  <si>
    <t>X</t>
  </si>
  <si>
    <t>Transféré</t>
  </si>
  <si>
    <t>Vérifications</t>
  </si>
  <si>
    <t>J= dates jusqu'au dernier jour du mois en cours  
B = Niveau de criticité indiqué</t>
  </si>
  <si>
    <t>J= dates jusqu'au dernier jour du mois en cours  
B = Niveau de criticité indiqué
K = vide ou après le début du mois concerné</t>
  </si>
  <si>
    <t>J= dates jusqu'au dernier jour du mois en cours  
B = Niveau de criticité indiqué
K = vide ou après le début du mois concerné
M= oui</t>
  </si>
  <si>
    <t>Filtres ligne 1 onglet extract</t>
  </si>
  <si>
    <t>D = transféré pour le mois en cours</t>
  </si>
  <si>
    <t>J= dates du mois en cours</t>
  </si>
  <si>
    <t>J= dates jusqu'au dernier jour du mois précédent
K = vide ou après le début du mois concerné</t>
  </si>
  <si>
    <t>K = dates du mois en cours</t>
  </si>
  <si>
    <t xml:space="preserve">J= dates jusqu'au dernier jour du mois
T = temps précisé en colonne C </t>
  </si>
  <si>
    <t xml:space="preserve">J= dates jusqu'au dernier jour du mois 
K = vide ou après le début du mois concerné
T = temps précisé en colonne C </t>
  </si>
  <si>
    <t>J= dates jusqu'au dernier jour du mois
T = temps précisé en colonne C 
M = oui</t>
  </si>
  <si>
    <t>J= dates jusqu'au dernier jour du mois
K = vide ou après le début du mois concerné
T = temps précisé en colonne C 
M = oui</t>
  </si>
  <si>
    <t>Nombre incident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</si>
</sst>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dd/mm/yyyy\ hh:mm:ss"/>
    <numFmt numFmtId="165" formatCode="dd/mm/yy;@"/>
    <numFmt numFmtId="166" formatCode="mmmm"/>
  </numFmts>
  <fonts count="17" x14ac:knownFonts="1">
    <font>
      <sz val="11"/>
      <color indexed="8"/>
      <name val="Calibri"/>
      <family val="2"/>
      <scheme val="minor"/>
    </font>
    <font>
      <b/>
      <sz val="11"/>
      <name val="Calibri"/>
      <family val="2"/>
    </font>
    <font>
      <b/>
      <sz val="11"/>
      <name val="Calibri"/>
      <family val="2"/>
    </font>
    <font>
      <b/>
      <sz val="8"/>
      <name val="Calibri"/>
      <family val="2"/>
    </font>
    <font>
      <sz val="8"/>
      <color indexed="8"/>
      <name val="Calibri"/>
      <family val="2"/>
      <scheme val="minor"/>
    </font>
    <font>
      <b/>
      <sz val="11"/>
      <color theme="0"/>
      <name val="Calibri"/>
      <family val="2"/>
      <scheme val="minor"/>
    </font>
    <font>
      <b/>
      <sz val="12"/>
      <color indexed="8"/>
      <name val="Calibri"/>
      <family val="2"/>
      <scheme val="minor"/>
    </font>
    <font>
      <b/>
      <sz val="14"/>
      <color indexed="8"/>
      <name val="Calibri"/>
      <family val="2"/>
      <scheme val="minor"/>
    </font>
    <font>
      <i/>
      <sz val="10"/>
      <color indexed="8"/>
      <name val="Calibri"/>
      <family val="2"/>
      <scheme val="minor"/>
    </font>
    <font>
      <sz val="11"/>
      <color theme="0"/>
      <name val="Calibri"/>
      <family val="2"/>
      <scheme val="minor"/>
    </font>
    <font>
      <sz val="10"/>
      <color theme="8" tint="-0.249977111117893"/>
      <name val="Calibri"/>
      <family val="2"/>
      <scheme val="minor"/>
    </font>
    <font>
      <u/>
      <sz val="10"/>
      <color theme="8" tint="-0.249977111117893"/>
      <name val="Calibri"/>
      <family val="2"/>
      <scheme val="minor"/>
    </font>
    <font>
      <b/>
      <sz val="11"/>
      <color indexed="8"/>
      <name val="Calibri"/>
      <family val="2"/>
      <scheme val="minor"/>
    </font>
    <font>
      <b/>
      <sz val="11"/>
      <color theme="0"/>
      <name val="Calibri"/>
      <family val="2"/>
    </font>
    <font>
      <i/>
      <sz val="11"/>
      <color indexed="8"/>
      <name val="Calibri"/>
      <family val="2"/>
      <scheme val="minor"/>
    </font>
    <font>
      <sz val="9"/>
      <color indexed="8"/>
      <name val="Calibri"/>
      <family val="2"/>
      <scheme val="minor"/>
    </font>
    <font>
      <b/>
      <sz val="11"/>
      <color rgb="FFFF0000"/>
      <name val="Calibri"/>
      <family val="2"/>
      <scheme val="minor"/>
    </font>
  </fonts>
  <fills count="10">
    <fill>
      <patternFill patternType="none"/>
    </fill>
    <fill>
      <patternFill patternType="gray125"/>
    </fill>
    <fill>
      <patternFill patternType="solid">
        <fgColor theme="5" tint="0.39997558519241921"/>
        <bgColor indexed="64"/>
      </patternFill>
    </fill>
    <fill>
      <patternFill patternType="solid">
        <fgColor theme="4" tint="-0.249977111117893"/>
        <bgColor indexed="64"/>
      </patternFill>
    </fill>
    <fill>
      <patternFill patternType="solid">
        <fgColor rgb="FF0070C0"/>
        <bgColor indexed="64"/>
      </patternFill>
    </fill>
    <fill>
      <patternFill patternType="solid">
        <fgColor theme="4" tint="0.79998168889431442"/>
        <bgColor indexed="64"/>
      </patternFill>
    </fill>
    <fill>
      <patternFill patternType="solid">
        <fgColor theme="4" tint="0.59999389629810485"/>
        <bgColor indexed="64"/>
      </patternFill>
    </fill>
    <fill>
      <patternFill patternType="solid">
        <fgColor theme="0" tint="-4.9989318521683403E-2"/>
        <bgColor indexed="64"/>
      </patternFill>
    </fill>
    <fill>
      <patternFill patternType="solid">
        <fgColor theme="0"/>
        <bgColor indexed="64"/>
      </patternFill>
    </fill>
    <fill>
      <patternFill patternType="solid">
        <fgColor rgb="FFFFFF00"/>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right style="medium">
        <color indexed="64"/>
      </right>
      <top/>
      <bottom/>
      <diagonal/>
    </border>
    <border>
      <left/>
      <right style="medium">
        <color indexed="64"/>
      </right>
      <top/>
      <bottom style="medium">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style="medium">
        <color indexed="64"/>
      </top>
      <bottom/>
      <diagonal/>
    </border>
    <border>
      <left style="medium">
        <color indexed="64"/>
      </left>
      <right/>
      <top/>
      <bottom/>
      <diagonal/>
    </border>
    <border>
      <left/>
      <right/>
      <top style="medium">
        <color indexed="64"/>
      </top>
      <bottom/>
      <diagonal/>
    </border>
  </borders>
  <cellStyleXfs count="1">
    <xf numFmtId="0" fontId="0" fillId="0" borderId="0"/>
  </cellStyleXfs>
  <cellXfs count="89">
    <xf numFmtId="0" fontId="0" fillId="0" borderId="0" xfId="0"/>
    <xf numFmtId="0" fontId="0" fillId="0" borderId="0" xfId="0" applyBorder="1"/>
    <xf numFmtId="0" fontId="2" fillId="2"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0" xfId="0" applyBorder="1" applyAlignment="1">
      <alignment horizontal="center" vertical="center"/>
    </xf>
    <xf numFmtId="0" fontId="1" fillId="2" borderId="1" xfId="0" applyFont="1" applyFill="1" applyBorder="1" applyAlignment="1">
      <alignment horizontal="left" vertical="center" wrapText="1"/>
    </xf>
    <xf numFmtId="0" fontId="2" fillId="2" borderId="1" xfId="0" applyFont="1" applyFill="1" applyBorder="1" applyAlignment="1">
      <alignment horizontal="left" vertical="center" wrapText="1"/>
    </xf>
    <xf numFmtId="165" fontId="1" fillId="2" borderId="1" xfId="0" applyNumberFormat="1" applyFont="1" applyFill="1" applyBorder="1" applyAlignment="1">
      <alignment horizontal="left" vertical="center" wrapText="1"/>
    </xf>
    <xf numFmtId="0" fontId="3" fillId="2" borderId="1" xfId="0" applyFont="1" applyFill="1" applyBorder="1" applyAlignment="1">
      <alignment horizontal="left" vertical="center" wrapText="1"/>
    </xf>
    <xf numFmtId="0" fontId="0" fillId="2" borderId="1" xfId="0" applyFill="1" applyBorder="1" applyAlignment="1">
      <alignment horizontal="left" vertical="center" wrapText="1"/>
    </xf>
    <xf numFmtId="0" fontId="0" fillId="0" borderId="0" xfId="0" applyBorder="1" applyAlignment="1">
      <alignment vertical="center" wrapText="1"/>
    </xf>
    <xf numFmtId="0" fontId="0" fillId="0" borderId="1" xfId="0" applyBorder="1" applyAlignment="1">
      <alignment horizontal="left" vertical="center" wrapText="1"/>
    </xf>
    <xf numFmtId="165" fontId="0" fillId="0" borderId="1" xfId="0" applyNumberFormat="1" applyBorder="1" applyAlignment="1">
      <alignment horizontal="left" vertical="center"/>
    </xf>
    <xf numFmtId="0" fontId="4" fillId="0" borderId="1" xfId="0" applyFont="1" applyBorder="1" applyAlignment="1">
      <alignment horizontal="left" vertical="center" wrapText="1"/>
    </xf>
    <xf numFmtId="0" fontId="0" fillId="0" borderId="1" xfId="0" applyBorder="1" applyAlignment="1">
      <alignment horizontal="left" vertical="center"/>
    </xf>
    <xf numFmtId="0" fontId="0" fillId="0" borderId="1" xfId="0" applyBorder="1" applyAlignment="1">
      <alignment vertical="center"/>
    </xf>
    <xf numFmtId="0" fontId="0" fillId="0" borderId="0" xfId="0" applyBorder="1" applyAlignment="1">
      <alignment vertical="center"/>
    </xf>
    <xf numFmtId="0" fontId="0" fillId="0" borderId="1" xfId="0" applyFont="1" applyBorder="1" applyAlignment="1">
      <alignment horizontal="left" vertical="center" wrapText="1"/>
    </xf>
    <xf numFmtId="0" fontId="0" fillId="0" borderId="1" xfId="0" applyFont="1" applyBorder="1" applyAlignment="1">
      <alignment horizontal="left" vertical="center"/>
    </xf>
    <xf numFmtId="0" fontId="0" fillId="0" borderId="0" xfId="0" applyFont="1" applyAlignment="1">
      <alignment vertical="center"/>
    </xf>
    <xf numFmtId="0" fontId="0" fillId="0" borderId="0" xfId="0" applyAlignment="1">
      <alignment vertical="center"/>
    </xf>
    <xf numFmtId="0" fontId="0" fillId="0" borderId="1" xfId="0" applyBorder="1" applyAlignment="1">
      <alignment vertical="center" wrapText="1"/>
    </xf>
    <xf numFmtId="0" fontId="0" fillId="0" borderId="0" xfId="0" applyBorder="1" applyAlignment="1">
      <alignment horizontal="left" vertical="center"/>
    </xf>
    <xf numFmtId="165" fontId="0" fillId="0" borderId="0" xfId="0" applyNumberFormat="1" applyBorder="1" applyAlignment="1">
      <alignment horizontal="left" vertical="center"/>
    </xf>
    <xf numFmtId="0" fontId="4" fillId="0" borderId="0" xfId="0" applyFont="1" applyBorder="1" applyAlignment="1">
      <alignment horizontal="left" vertical="center"/>
    </xf>
    <xf numFmtId="0" fontId="0" fillId="0" borderId="0" xfId="0" applyBorder="1" applyAlignment="1">
      <alignment horizontal="left" vertical="center" wrapText="1"/>
    </xf>
    <xf numFmtId="14" fontId="2" fillId="2" borderId="1" xfId="0" applyNumberFormat="1" applyFont="1" applyFill="1" applyBorder="1" applyAlignment="1">
      <alignment horizontal="center" vertical="center" wrapText="1"/>
    </xf>
    <xf numFmtId="14" fontId="0" fillId="0" borderId="1" xfId="0" applyNumberFormat="1" applyBorder="1" applyAlignment="1">
      <alignment horizontal="center" vertical="center"/>
    </xf>
    <xf numFmtId="14" fontId="0" fillId="0" borderId="1" xfId="0" applyNumberFormat="1" applyFont="1" applyBorder="1" applyAlignment="1">
      <alignment horizontal="center" vertical="center"/>
    </xf>
    <xf numFmtId="14" fontId="0" fillId="0" borderId="0" xfId="0" applyNumberFormat="1" applyBorder="1" applyAlignment="1">
      <alignment horizontal="center" vertical="center"/>
    </xf>
    <xf numFmtId="0" fontId="5" fillId="3" borderId="1" xfId="0" applyFont="1" applyFill="1" applyBorder="1" applyAlignment="1">
      <alignment horizontal="left" vertical="center" wrapText="1"/>
    </xf>
    <xf numFmtId="165" fontId="5" fillId="3" borderId="1" xfId="0" applyNumberFormat="1" applyFont="1" applyFill="1" applyBorder="1" applyAlignment="1">
      <alignment horizontal="left" vertical="center" wrapText="1"/>
    </xf>
    <xf numFmtId="0" fontId="5" fillId="3" borderId="1" xfId="0" applyFont="1" applyFill="1" applyBorder="1" applyAlignment="1">
      <alignment vertical="center" wrapText="1"/>
    </xf>
    <xf numFmtId="14" fontId="5" fillId="3" borderId="1" xfId="0" applyNumberFormat="1" applyFont="1" applyFill="1" applyBorder="1" applyAlignment="1">
      <alignment horizontal="center" vertical="center" wrapText="1"/>
    </xf>
    <xf numFmtId="0" fontId="6" fillId="0" borderId="0" xfId="0" applyFont="1"/>
    <xf numFmtId="0" fontId="8" fillId="0" borderId="0" xfId="0" applyFont="1" applyAlignment="1">
      <alignment horizontal="right"/>
    </xf>
    <xf numFmtId="0" fontId="0" fillId="0" borderId="2" xfId="0" applyBorder="1"/>
    <xf numFmtId="0" fontId="0" fillId="0" borderId="5" xfId="0" applyBorder="1"/>
    <xf numFmtId="0" fontId="0" fillId="5" borderId="0" xfId="0" applyFill="1"/>
    <xf numFmtId="0" fontId="0" fillId="5" borderId="5" xfId="0" applyFill="1" applyBorder="1"/>
    <xf numFmtId="0" fontId="0" fillId="6" borderId="0" xfId="0" applyFill="1"/>
    <xf numFmtId="0" fontId="0" fillId="7" borderId="0" xfId="0" applyFill="1"/>
    <xf numFmtId="0" fontId="0" fillId="7" borderId="5" xfId="0" applyFill="1" applyBorder="1"/>
    <xf numFmtId="0" fontId="0" fillId="7" borderId="2" xfId="0" applyFill="1" applyBorder="1"/>
    <xf numFmtId="0" fontId="0" fillId="7" borderId="3" xfId="0" applyFill="1" applyBorder="1"/>
    <xf numFmtId="0" fontId="0" fillId="6" borderId="2" xfId="0" applyFill="1" applyBorder="1"/>
    <xf numFmtId="0" fontId="0" fillId="6" borderId="5" xfId="0" applyFill="1" applyBorder="1"/>
    <xf numFmtId="0" fontId="0" fillId="6" borderId="3" xfId="0" applyFill="1" applyBorder="1"/>
    <xf numFmtId="166" fontId="5" fillId="4" borderId="0" xfId="0" applyNumberFormat="1" applyFont="1" applyFill="1" applyAlignment="1">
      <alignment horizontal="center"/>
    </xf>
    <xf numFmtId="14" fontId="0" fillId="0" borderId="0" xfId="0" applyNumberFormat="1" applyAlignment="1">
      <alignment vertical="top"/>
    </xf>
    <xf numFmtId="14" fontId="0" fillId="0" borderId="0" xfId="0" applyNumberFormat="1"/>
    <xf numFmtId="0" fontId="10" fillId="0" borderId="0" xfId="0" applyFont="1" applyAlignment="1">
      <alignment horizontal="center" vertical="center" wrapText="1"/>
    </xf>
    <xf numFmtId="0" fontId="8" fillId="8" borderId="0" xfId="0" applyFont="1" applyFill="1" applyAlignment="1">
      <alignment horizontal="right"/>
    </xf>
    <xf numFmtId="0" fontId="6" fillId="0" borderId="0" xfId="0" applyFont="1" applyAlignment="1">
      <alignment vertical="center"/>
    </xf>
    <xf numFmtId="0" fontId="10" fillId="0" borderId="0" xfId="0" applyFont="1" applyAlignment="1">
      <alignment horizontal="right" vertical="center" wrapText="1"/>
    </xf>
    <xf numFmtId="0" fontId="0" fillId="0" borderId="3" xfId="0" applyBorder="1" applyAlignment="1">
      <alignment vertical="center"/>
    </xf>
    <xf numFmtId="0" fontId="0" fillId="5" borderId="0" xfId="0" applyFill="1" applyAlignment="1">
      <alignment vertical="center"/>
    </xf>
    <xf numFmtId="0" fontId="0" fillId="0" borderId="4" xfId="0" applyBorder="1" applyAlignment="1">
      <alignment vertical="center"/>
    </xf>
    <xf numFmtId="14" fontId="9" fillId="0" borderId="3" xfId="0" applyNumberFormat="1" applyFont="1" applyBorder="1" applyAlignment="1">
      <alignment vertical="center"/>
    </xf>
    <xf numFmtId="0" fontId="0" fillId="5" borderId="4" xfId="0" applyFill="1" applyBorder="1" applyAlignment="1">
      <alignment vertical="center"/>
    </xf>
    <xf numFmtId="0" fontId="0" fillId="6" borderId="0" xfId="0" applyFill="1" applyAlignment="1">
      <alignment vertical="center"/>
    </xf>
    <xf numFmtId="0" fontId="0" fillId="6" borderId="2" xfId="0" applyFill="1" applyBorder="1" applyAlignment="1">
      <alignment vertical="center"/>
    </xf>
    <xf numFmtId="0" fontId="13" fillId="0" borderId="0" xfId="0" applyFont="1"/>
    <xf numFmtId="0" fontId="9" fillId="0" borderId="0" xfId="0" applyFont="1"/>
    <xf numFmtId="0" fontId="9" fillId="0" borderId="0" xfId="0" applyFont="1" applyAlignment="1">
      <alignment vertical="top" wrapText="1"/>
    </xf>
    <xf numFmtId="164" fontId="9" fillId="0" borderId="0" xfId="0" applyNumberFormat="1" applyFont="1" applyAlignment="1">
      <alignment vertical="top"/>
    </xf>
    <xf numFmtId="0" fontId="0" fillId="0" borderId="0" xfId="0" applyAlignment="1">
      <alignment wrapText="1"/>
    </xf>
    <xf numFmtId="166" fontId="5" fillId="4" borderId="6" xfId="0" applyNumberFormat="1" applyFont="1" applyFill="1" applyBorder="1" applyAlignment="1">
      <alignment horizontal="center"/>
    </xf>
    <xf numFmtId="0" fontId="0" fillId="0" borderId="7" xfId="0" applyBorder="1" applyAlignment="1">
      <alignment wrapText="1"/>
    </xf>
    <xf numFmtId="166" fontId="5" fillId="4" borderId="8" xfId="0" applyNumberFormat="1" applyFont="1" applyFill="1" applyBorder="1" applyAlignment="1">
      <alignment horizontal="center"/>
    </xf>
    <xf numFmtId="0" fontId="12" fillId="9" borderId="0" xfId="0" applyFont="1" applyFill="1" applyAlignment="1">
      <alignment horizontal="left" vertical="center"/>
    </xf>
    <xf numFmtId="0" fontId="7" fillId="9" borderId="0" xfId="0" applyFont="1" applyFill="1" applyAlignment="1">
      <alignment horizontal="center" vertical="center"/>
    </xf>
    <xf numFmtId="0" fontId="14" fillId="9" borderId="0" xfId="0" applyFont="1" applyFill="1" applyAlignment="1">
      <alignment horizontal="left" vertical="center"/>
    </xf>
    <xf numFmtId="0" fontId="12" fillId="9" borderId="0" xfId="0" applyFont="1" applyFill="1" applyAlignment="1">
      <alignment horizontal="left" vertical="center" wrapText="1"/>
    </xf>
    <xf numFmtId="0" fontId="0" fillId="5" borderId="5" xfId="0" applyFill="1" applyBorder="1" applyAlignment="1">
      <alignment vertical="center"/>
    </xf>
    <xf numFmtId="0" fontId="0" fillId="0" borderId="7" xfId="0" applyBorder="1"/>
    <xf numFmtId="0" fontId="0" fillId="0" borderId="0" xfId="0" applyFill="1" applyBorder="1"/>
    <xf numFmtId="14" fontId="15" fillId="0" borderId="0" xfId="0" applyNumberFormat="1" applyFont="1"/>
    <xf numFmtId="0" fontId="16" fillId="0" borderId="0" xfId="0" applyFont="1" applyAlignment="1">
      <alignment vertical="center"/>
    </xf>
    <xf numFmtId="0" fontId="16" fillId="0" borderId="0" xfId="0" applyFont="1"/>
    <xf numFmtId="0" fontId="16" fillId="7" borderId="0" xfId="0" applyFont="1" applyFill="1"/>
    <xf numFmtId="0" fontId="16" fillId="7" borderId="2" xfId="0" applyFont="1" applyFill="1" applyBorder="1"/>
    <xf numFmtId="0" fontId="16" fillId="5" borderId="0" xfId="0" applyFont="1" applyFill="1" applyAlignment="1">
      <alignment vertical="center"/>
    </xf>
    <xf numFmtId="0" fontId="16" fillId="5" borderId="0" xfId="0" applyFont="1" applyFill="1"/>
    <xf numFmtId="0" fontId="16" fillId="6" borderId="0" xfId="0" applyFont="1" applyFill="1"/>
    <xf numFmtId="0" fontId="16" fillId="6" borderId="2" xfId="0" applyFont="1" applyFill="1" applyBorder="1"/>
    <xf numFmtId="0" fontId="12" fillId="9" borderId="0" xfId="0" applyFont="1" applyFill="1" applyAlignment="1">
      <alignment horizontal="center" vertical="center" wrapText="1"/>
    </xf>
    <xf numFmtId="0" fontId="12" fillId="9" borderId="0" xfId="0" applyFont="1" applyFill="1" applyAlignment="1">
      <alignment horizontal="left" vertical="center" wrapText="1"/>
    </xf>
    <xf numFmtId="0" fontId="10" fillId="0" borderId="0" xfId="0" applyFont="1" applyAlignment="1">
      <alignment horizontal="center" vertical="center" wrapText="1"/>
    </xf>
  </cellXfs>
  <cellStyles count="1">
    <cellStyle name="Normal" xfId="0" builtinId="0"/>
  </cellStyles>
  <dxfs count="5">
    <dxf>
      <fill>
        <patternFill>
          <bgColor rgb="FFFF0000"/>
        </patternFill>
      </fill>
    </dxf>
    <dxf>
      <fill>
        <patternFill>
          <bgColor rgb="FFFF0000"/>
        </patternFill>
      </fill>
    </dxf>
    <dxf>
      <font>
        <b/>
        <i val="0"/>
      </font>
      <fill>
        <patternFill>
          <bgColor theme="5" tint="0.39994506668294322"/>
        </patternFill>
      </fill>
    </dxf>
    <dxf>
      <font>
        <b/>
        <i val="0"/>
        <color theme="0"/>
      </font>
      <fill>
        <patternFill>
          <bgColor rgb="FFC00000"/>
        </patternFill>
      </fill>
    </dxf>
    <dxf>
      <fill>
        <patternFill>
          <bgColor rgb="FFC00000"/>
        </patternFill>
      </fill>
    </dxf>
  </dxfs>
  <tableStyles count="0" defaultTableStyle="TableStyleMedium2" defaultPivotStyle="PivotStyleLight16"/>
  <colors>
    <mruColors>
      <color rgb="FF008FFA"/>
      <color rgb="FF11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7"/>
  <sheetViews>
    <sheetView zoomScale="70" zoomScaleNormal="70" workbookViewId="0">
      <selection activeCell="J2" sqref="J2"/>
    </sheetView>
  </sheetViews>
  <sheetFormatPr baseColWidth="10" defaultColWidth="8.7109375" defaultRowHeight="15" x14ac:dyDescent="0.25"/>
  <cols>
    <col min="1" max="4" width="10" style="63" customWidth="1"/>
    <col min="5" max="5" width="18" style="63" customWidth="1"/>
    <col min="6" max="6" width="13" style="63" customWidth="1"/>
    <col min="7" max="7" width="11" style="63" customWidth="1"/>
    <col min="8" max="8" width="10" style="63" customWidth="1"/>
    <col min="9" max="10" width="20.7109375" style="63" customWidth="1"/>
    <col min="11" max="11" width="36.140625" style="63" customWidth="1"/>
    <col min="12" max="12" width="11" style="63" customWidth="1"/>
    <col min="13" max="13" width="19" style="63" customWidth="1"/>
    <col min="14" max="16384" width="8.7109375" style="63"/>
  </cols>
  <sheetData>
    <row r="1" spans="1:13" x14ac:dyDescent="0.25">
      <c r="A1" s="62" t="s">
        <v>0</v>
      </c>
      <c r="B1" s="62" t="s">
        <v>1</v>
      </c>
      <c r="C1" s="62" t="s">
        <v>2</v>
      </c>
      <c r="D1" s="62" t="s">
        <v>3</v>
      </c>
      <c r="E1" s="62" t="s">
        <v>4</v>
      </c>
      <c r="F1" s="62" t="s">
        <v>5</v>
      </c>
      <c r="G1" s="62" t="s">
        <v>6</v>
      </c>
      <c r="H1" s="62" t="s">
        <v>7</v>
      </c>
      <c r="I1" s="62" t="s">
        <v>344</v>
      </c>
      <c r="J1" s="62" t="s">
        <v>8</v>
      </c>
      <c r="K1" s="62" t="s">
        <v>290</v>
      </c>
      <c r="L1" s="62" t="s">
        <v>9</v>
      </c>
      <c r="M1" s="62" t="s">
        <v>10</v>
      </c>
    </row>
    <row r="2" spans="1:13" ht="409.5" x14ac:dyDescent="0.25">
      <c r="A2" s="64" t="s">
        <v>102</v>
      </c>
      <c r="B2" s="64" t="s">
        <v>103</v>
      </c>
      <c r="C2" s="64" t="s">
        <v>13</v>
      </c>
      <c r="D2" s="64" t="s">
        <v>25</v>
      </c>
      <c r="E2" s="64" t="s">
        <v>104</v>
      </c>
      <c r="F2" s="64" t="s">
        <v>16</v>
      </c>
      <c r="G2" s="64" t="s">
        <v>26</v>
      </c>
      <c r="H2" s="64" t="s">
        <v>292</v>
      </c>
      <c r="I2" s="65">
        <v>42999</v>
      </c>
      <c r="J2" s="65">
        <v>43514.863854166666</v>
      </c>
      <c r="K2" s="65"/>
      <c r="L2" s="64" t="s">
        <v>106</v>
      </c>
      <c r="M2" s="64" t="s">
        <v>29</v>
      </c>
    </row>
    <row r="3" spans="1:13" ht="409.5" x14ac:dyDescent="0.25">
      <c r="A3" s="64" t="s">
        <v>220</v>
      </c>
      <c r="B3" s="64" t="s">
        <v>12</v>
      </c>
      <c r="C3" s="64" t="s">
        <v>258</v>
      </c>
      <c r="D3" s="64" t="s">
        <v>176</v>
      </c>
      <c r="E3" s="64" t="s">
        <v>293</v>
      </c>
      <c r="F3" s="64" t="s">
        <v>16</v>
      </c>
      <c r="G3" s="64" t="s">
        <v>168</v>
      </c>
      <c r="H3" s="64" t="s">
        <v>27</v>
      </c>
      <c r="I3" s="65">
        <v>43332.510416666664</v>
      </c>
      <c r="J3" s="65">
        <v>43514.863923611112</v>
      </c>
      <c r="K3" s="65">
        <v>43543.419374999998</v>
      </c>
      <c r="L3" s="64" t="s">
        <v>222</v>
      </c>
      <c r="M3" s="64" t="s">
        <v>29</v>
      </c>
    </row>
    <row r="4" spans="1:13" ht="409.5" x14ac:dyDescent="0.25">
      <c r="A4" s="64" t="s">
        <v>100</v>
      </c>
      <c r="B4" s="64" t="s">
        <v>12</v>
      </c>
      <c r="C4" s="64" t="s">
        <v>258</v>
      </c>
      <c r="D4" s="64" t="s">
        <v>25</v>
      </c>
      <c r="E4" s="64" t="s">
        <v>294</v>
      </c>
      <c r="F4" s="64" t="s">
        <v>16</v>
      </c>
      <c r="G4" s="64" t="s">
        <v>26</v>
      </c>
      <c r="H4" s="64" t="s">
        <v>27</v>
      </c>
      <c r="I4" s="65">
        <v>43391.456944444442</v>
      </c>
      <c r="J4" s="65">
        <v>43514.863946759258</v>
      </c>
      <c r="K4" s="65">
        <v>43573.691493055558</v>
      </c>
      <c r="L4" s="64" t="s">
        <v>101</v>
      </c>
      <c r="M4" s="64" t="s">
        <v>29</v>
      </c>
    </row>
    <row r="5" spans="1:13" ht="409.5" x14ac:dyDescent="0.25">
      <c r="A5" s="64" t="s">
        <v>24</v>
      </c>
      <c r="B5" s="64" t="s">
        <v>12</v>
      </c>
      <c r="C5" s="64" t="s">
        <v>258</v>
      </c>
      <c r="D5" s="64" t="s">
        <v>25</v>
      </c>
      <c r="E5" s="64" t="s">
        <v>294</v>
      </c>
      <c r="F5" s="64" t="s">
        <v>16</v>
      </c>
      <c r="G5" s="64" t="s">
        <v>26</v>
      </c>
      <c r="H5" s="64" t="s">
        <v>27</v>
      </c>
      <c r="I5" s="65">
        <v>43391.469444444447</v>
      </c>
      <c r="J5" s="65">
        <v>43514.863946759258</v>
      </c>
      <c r="K5" s="65">
        <v>43573.694178240738</v>
      </c>
      <c r="L5" s="64" t="s">
        <v>28</v>
      </c>
      <c r="M5" s="64" t="s">
        <v>29</v>
      </c>
    </row>
    <row r="6" spans="1:13" ht="409.5" x14ac:dyDescent="0.25">
      <c r="A6" s="64" t="s">
        <v>140</v>
      </c>
      <c r="B6" s="64" t="s">
        <v>12</v>
      </c>
      <c r="C6" s="64" t="s">
        <v>221</v>
      </c>
      <c r="D6" s="64" t="s">
        <v>25</v>
      </c>
      <c r="E6" s="64" t="s">
        <v>15</v>
      </c>
      <c r="F6" s="64" t="s">
        <v>16</v>
      </c>
      <c r="G6" s="64" t="s">
        <v>26</v>
      </c>
      <c r="H6" s="64" t="s">
        <v>27</v>
      </c>
      <c r="I6" s="65">
        <v>43391.748611111114</v>
      </c>
      <c r="J6" s="65">
        <v>43514.863946759258</v>
      </c>
      <c r="K6" s="65">
        <v>43619.415902777779</v>
      </c>
      <c r="L6" s="64" t="s">
        <v>141</v>
      </c>
      <c r="M6" s="64" t="s">
        <v>29</v>
      </c>
    </row>
    <row r="7" spans="1:13" ht="409.5" x14ac:dyDescent="0.25">
      <c r="A7" s="64" t="s">
        <v>66</v>
      </c>
      <c r="B7" s="64" t="s">
        <v>12</v>
      </c>
      <c r="C7" s="64" t="s">
        <v>221</v>
      </c>
      <c r="D7" s="64" t="s">
        <v>25</v>
      </c>
      <c r="E7" s="64" t="s">
        <v>15</v>
      </c>
      <c r="F7" s="64" t="s">
        <v>16</v>
      </c>
      <c r="G7" s="64" t="s">
        <v>26</v>
      </c>
      <c r="H7" s="64" t="s">
        <v>27</v>
      </c>
      <c r="I7" s="65">
        <v>43391.827777777777</v>
      </c>
      <c r="J7" s="65">
        <v>43514.863946759258</v>
      </c>
      <c r="K7" s="65">
        <v>43619.415185185186</v>
      </c>
      <c r="L7" s="64" t="s">
        <v>67</v>
      </c>
      <c r="M7" s="64" t="s">
        <v>29</v>
      </c>
    </row>
    <row r="8" spans="1:13" ht="409.5" x14ac:dyDescent="0.25">
      <c r="A8" s="64" t="s">
        <v>117</v>
      </c>
      <c r="B8" s="64" t="s">
        <v>12</v>
      </c>
      <c r="C8" s="64" t="s">
        <v>258</v>
      </c>
      <c r="D8" s="64" t="s">
        <v>25</v>
      </c>
      <c r="E8" s="64" t="s">
        <v>294</v>
      </c>
      <c r="F8" s="64" t="s">
        <v>16</v>
      </c>
      <c r="G8" s="64" t="s">
        <v>26</v>
      </c>
      <c r="H8" s="64" t="s">
        <v>27</v>
      </c>
      <c r="I8" s="65">
        <v>43392.4</v>
      </c>
      <c r="J8" s="65">
        <v>43514.863946759258</v>
      </c>
      <c r="K8" s="65">
        <v>43573.694884259261</v>
      </c>
      <c r="L8" s="64" t="s">
        <v>118</v>
      </c>
      <c r="M8" s="64" t="s">
        <v>29</v>
      </c>
    </row>
    <row r="9" spans="1:13" ht="409.5" x14ac:dyDescent="0.25">
      <c r="A9" s="64" t="s">
        <v>45</v>
      </c>
      <c r="B9" s="64" t="s">
        <v>12</v>
      </c>
      <c r="C9" s="64" t="s">
        <v>221</v>
      </c>
      <c r="D9" s="64" t="s">
        <v>25</v>
      </c>
      <c r="E9" s="64" t="s">
        <v>15</v>
      </c>
      <c r="F9" s="64" t="s">
        <v>16</v>
      </c>
      <c r="G9" s="64" t="s">
        <v>26</v>
      </c>
      <c r="H9" s="64" t="s">
        <v>27</v>
      </c>
      <c r="I9" s="65">
        <v>43392.583333333336</v>
      </c>
      <c r="J9" s="65">
        <v>43514.863946759258</v>
      </c>
      <c r="K9" s="65">
        <v>43619.413923611108</v>
      </c>
      <c r="L9" s="64" t="s">
        <v>46</v>
      </c>
      <c r="M9" s="64" t="s">
        <v>29</v>
      </c>
    </row>
    <row r="10" spans="1:13" ht="409.5" x14ac:dyDescent="0.25">
      <c r="A10" s="64" t="s">
        <v>64</v>
      </c>
      <c r="B10" s="64" t="s">
        <v>12</v>
      </c>
      <c r="C10" s="64" t="s">
        <v>258</v>
      </c>
      <c r="D10" s="64" t="s">
        <v>25</v>
      </c>
      <c r="E10" s="64" t="s">
        <v>294</v>
      </c>
      <c r="F10" s="64" t="s">
        <v>16</v>
      </c>
      <c r="G10" s="64" t="s">
        <v>26</v>
      </c>
      <c r="H10" s="64" t="s">
        <v>27</v>
      </c>
      <c r="I10" s="65">
        <v>43392.619444444441</v>
      </c>
      <c r="J10" s="65">
        <v>43514.863946759258</v>
      </c>
      <c r="K10" s="65">
        <v>43573.696076388886</v>
      </c>
      <c r="L10" s="64" t="s">
        <v>65</v>
      </c>
      <c r="M10" s="64" t="s">
        <v>29</v>
      </c>
    </row>
    <row r="11" spans="1:13" ht="409.5" x14ac:dyDescent="0.25">
      <c r="A11" s="64" t="s">
        <v>115</v>
      </c>
      <c r="B11" s="64" t="s">
        <v>12</v>
      </c>
      <c r="C11" s="64" t="s">
        <v>258</v>
      </c>
      <c r="D11" s="64" t="s">
        <v>25</v>
      </c>
      <c r="E11" s="64" t="s">
        <v>294</v>
      </c>
      <c r="F11" s="64" t="s">
        <v>16</v>
      </c>
      <c r="G11" s="64" t="s">
        <v>26</v>
      </c>
      <c r="H11" s="64" t="s">
        <v>27</v>
      </c>
      <c r="I11" s="65">
        <v>43393.505555555559</v>
      </c>
      <c r="J11" s="65">
        <v>43514.863946759258</v>
      </c>
      <c r="K11" s="65">
        <v>43580.476678240739</v>
      </c>
      <c r="L11" s="64" t="s">
        <v>116</v>
      </c>
      <c r="M11" s="64" t="s">
        <v>29</v>
      </c>
    </row>
    <row r="12" spans="1:13" ht="409.5" x14ac:dyDescent="0.25">
      <c r="A12" s="64" t="s">
        <v>43</v>
      </c>
      <c r="B12" s="64" t="s">
        <v>12</v>
      </c>
      <c r="C12" s="64" t="s">
        <v>258</v>
      </c>
      <c r="D12" s="64" t="s">
        <v>25</v>
      </c>
      <c r="E12" s="64" t="s">
        <v>294</v>
      </c>
      <c r="F12" s="64" t="s">
        <v>16</v>
      </c>
      <c r="G12" s="64" t="s">
        <v>26</v>
      </c>
      <c r="H12" s="64" t="s">
        <v>27</v>
      </c>
      <c r="I12" s="65">
        <v>43393.544444444444</v>
      </c>
      <c r="J12" s="65">
        <v>43514.863946759258</v>
      </c>
      <c r="K12" s="65">
        <v>43580.479224537034</v>
      </c>
      <c r="L12" s="64" t="s">
        <v>44</v>
      </c>
      <c r="M12" s="64" t="s">
        <v>29</v>
      </c>
    </row>
    <row r="13" spans="1:13" ht="409.5" x14ac:dyDescent="0.25">
      <c r="A13" s="64" t="s">
        <v>147</v>
      </c>
      <c r="B13" s="64" t="s">
        <v>12</v>
      </c>
      <c r="C13" s="64" t="s">
        <v>221</v>
      </c>
      <c r="D13" s="64" t="s">
        <v>25</v>
      </c>
      <c r="E13" s="64" t="s">
        <v>15</v>
      </c>
      <c r="F13" s="64" t="s">
        <v>16</v>
      </c>
      <c r="G13" s="64" t="s">
        <v>26</v>
      </c>
      <c r="H13" s="64" t="s">
        <v>27</v>
      </c>
      <c r="I13" s="65">
        <v>43396.439583333333</v>
      </c>
      <c r="J13" s="65">
        <v>43514.863958333335</v>
      </c>
      <c r="K13" s="65">
        <v>43619.420659722222</v>
      </c>
      <c r="L13" s="64" t="s">
        <v>148</v>
      </c>
      <c r="M13" s="64" t="s">
        <v>29</v>
      </c>
    </row>
    <row r="14" spans="1:13" ht="409.5" x14ac:dyDescent="0.25">
      <c r="A14" s="64" t="s">
        <v>72</v>
      </c>
      <c r="B14" s="64" t="s">
        <v>12</v>
      </c>
      <c r="C14" s="64" t="s">
        <v>221</v>
      </c>
      <c r="D14" s="64" t="s">
        <v>25</v>
      </c>
      <c r="E14" s="64" t="s">
        <v>15</v>
      </c>
      <c r="F14" s="64" t="s">
        <v>16</v>
      </c>
      <c r="G14" s="64" t="s">
        <v>26</v>
      </c>
      <c r="H14" s="64" t="s">
        <v>27</v>
      </c>
      <c r="I14" s="65">
        <v>43398.292361111111</v>
      </c>
      <c r="J14" s="65">
        <v>43514.863958333335</v>
      </c>
      <c r="K14" s="65">
        <v>43619.416377314818</v>
      </c>
      <c r="L14" s="64" t="s">
        <v>73</v>
      </c>
      <c r="M14" s="64" t="s">
        <v>29</v>
      </c>
    </row>
    <row r="15" spans="1:13" ht="409.5" x14ac:dyDescent="0.25">
      <c r="A15" s="64" t="s">
        <v>34</v>
      </c>
      <c r="B15" s="64" t="s">
        <v>12</v>
      </c>
      <c r="C15" s="64" t="s">
        <v>221</v>
      </c>
      <c r="D15" s="64" t="s">
        <v>25</v>
      </c>
      <c r="E15" s="64" t="s">
        <v>15</v>
      </c>
      <c r="F15" s="64" t="s">
        <v>16</v>
      </c>
      <c r="G15" s="64" t="s">
        <v>26</v>
      </c>
      <c r="H15" s="64" t="s">
        <v>27</v>
      </c>
      <c r="I15" s="65">
        <v>43400.473611111112</v>
      </c>
      <c r="J15" s="65">
        <v>43514.863958333335</v>
      </c>
      <c r="K15" s="65">
        <v>43619.419039351851</v>
      </c>
      <c r="L15" s="64" t="s">
        <v>35</v>
      </c>
      <c r="M15" s="64" t="s">
        <v>29</v>
      </c>
    </row>
    <row r="16" spans="1:13" ht="409.5" x14ac:dyDescent="0.25">
      <c r="A16" s="64" t="s">
        <v>84</v>
      </c>
      <c r="B16" s="64" t="s">
        <v>12</v>
      </c>
      <c r="C16" s="64" t="s">
        <v>221</v>
      </c>
      <c r="D16" s="64" t="s">
        <v>25</v>
      </c>
      <c r="E16" s="64" t="s">
        <v>15</v>
      </c>
      <c r="F16" s="64" t="s">
        <v>16</v>
      </c>
      <c r="G16" s="64" t="s">
        <v>26</v>
      </c>
      <c r="H16" s="64" t="s">
        <v>27</v>
      </c>
      <c r="I16" s="65">
        <v>43400.655555555553</v>
      </c>
      <c r="J16" s="65">
        <v>43514.863958333335</v>
      </c>
      <c r="K16" s="65">
        <v>43619.419768518521</v>
      </c>
      <c r="L16" s="64" t="s">
        <v>85</v>
      </c>
      <c r="M16" s="64" t="s">
        <v>29</v>
      </c>
    </row>
    <row r="17" spans="1:13" ht="409.5" x14ac:dyDescent="0.25">
      <c r="A17" s="64" t="s">
        <v>137</v>
      </c>
      <c r="B17" s="64" t="s">
        <v>12</v>
      </c>
      <c r="C17" s="64" t="s">
        <v>221</v>
      </c>
      <c r="D17" s="64" t="s">
        <v>25</v>
      </c>
      <c r="E17" s="64" t="s">
        <v>15</v>
      </c>
      <c r="F17" s="64" t="s">
        <v>16</v>
      </c>
      <c r="G17" s="64" t="s">
        <v>26</v>
      </c>
      <c r="H17" s="64" t="s">
        <v>27</v>
      </c>
      <c r="I17" s="65">
        <v>43400.805555555555</v>
      </c>
      <c r="J17" s="65">
        <v>43514.863958333335</v>
      </c>
      <c r="K17" s="65">
        <v>43619.416863425926</v>
      </c>
      <c r="L17" s="64" t="s">
        <v>138</v>
      </c>
      <c r="M17" s="64" t="s">
        <v>29</v>
      </c>
    </row>
    <row r="18" spans="1:13" ht="409.5" x14ac:dyDescent="0.25">
      <c r="A18" s="64" t="s">
        <v>98</v>
      </c>
      <c r="B18" s="64" t="s">
        <v>12</v>
      </c>
      <c r="C18" s="64" t="s">
        <v>221</v>
      </c>
      <c r="D18" s="64" t="s">
        <v>25</v>
      </c>
      <c r="E18" s="64" t="s">
        <v>15</v>
      </c>
      <c r="F18" s="64" t="s">
        <v>16</v>
      </c>
      <c r="G18" s="64" t="s">
        <v>26</v>
      </c>
      <c r="H18" s="64" t="s">
        <v>27</v>
      </c>
      <c r="I18" s="65">
        <v>43408.015277777777</v>
      </c>
      <c r="J18" s="65">
        <v>43514.863958333335</v>
      </c>
      <c r="K18" s="65">
        <v>43619.417974537035</v>
      </c>
      <c r="L18" s="64" t="s">
        <v>99</v>
      </c>
      <c r="M18" s="64" t="s">
        <v>29</v>
      </c>
    </row>
    <row r="19" spans="1:13" ht="409.5" x14ac:dyDescent="0.25">
      <c r="A19" s="64" t="s">
        <v>154</v>
      </c>
      <c r="B19" s="64" t="s">
        <v>12</v>
      </c>
      <c r="C19" s="64" t="s">
        <v>221</v>
      </c>
      <c r="D19" s="64" t="s">
        <v>25</v>
      </c>
      <c r="E19" s="64" t="s">
        <v>15</v>
      </c>
      <c r="F19" s="64" t="s">
        <v>16</v>
      </c>
      <c r="G19" s="64" t="s">
        <v>26</v>
      </c>
      <c r="H19" s="64" t="s">
        <v>27</v>
      </c>
      <c r="I19" s="65">
        <v>43409.822222222225</v>
      </c>
      <c r="J19" s="65">
        <v>43514.863958333335</v>
      </c>
      <c r="K19" s="65">
        <v>43619.418634259258</v>
      </c>
      <c r="L19" s="64" t="s">
        <v>155</v>
      </c>
      <c r="M19" s="64" t="s">
        <v>29</v>
      </c>
    </row>
    <row r="20" spans="1:13" ht="409.5" x14ac:dyDescent="0.25">
      <c r="A20" s="64" t="s">
        <v>86</v>
      </c>
      <c r="B20" s="64" t="s">
        <v>12</v>
      </c>
      <c r="C20" s="64" t="s">
        <v>221</v>
      </c>
      <c r="D20" s="64" t="s">
        <v>25</v>
      </c>
      <c r="E20" s="64" t="s">
        <v>15</v>
      </c>
      <c r="F20" s="64" t="s">
        <v>16</v>
      </c>
      <c r="G20" s="64" t="s">
        <v>26</v>
      </c>
      <c r="H20" s="64" t="s">
        <v>27</v>
      </c>
      <c r="I20" s="65">
        <v>43411.752083333333</v>
      </c>
      <c r="J20" s="65">
        <v>43514.863969907405</v>
      </c>
      <c r="K20" s="65">
        <v>43619.424884259257</v>
      </c>
      <c r="L20" s="64" t="s">
        <v>87</v>
      </c>
      <c r="M20" s="64" t="s">
        <v>29</v>
      </c>
    </row>
    <row r="21" spans="1:13" ht="409.5" x14ac:dyDescent="0.25">
      <c r="A21" s="64" t="s">
        <v>133</v>
      </c>
      <c r="B21" s="64" t="s">
        <v>12</v>
      </c>
      <c r="C21" s="64" t="s">
        <v>221</v>
      </c>
      <c r="D21" s="64" t="s">
        <v>25</v>
      </c>
      <c r="E21" s="64" t="s">
        <v>15</v>
      </c>
      <c r="F21" s="64" t="s">
        <v>16</v>
      </c>
      <c r="G21" s="64" t="s">
        <v>26</v>
      </c>
      <c r="H21" s="64" t="s">
        <v>27</v>
      </c>
      <c r="I21" s="65">
        <v>43412.370138888888</v>
      </c>
      <c r="J21" s="65">
        <v>43514.863969907405</v>
      </c>
      <c r="K21" s="65">
        <v>43619.421793981484</v>
      </c>
      <c r="L21" s="64" t="s">
        <v>134</v>
      </c>
      <c r="M21" s="64" t="s">
        <v>29</v>
      </c>
    </row>
    <row r="22" spans="1:13" ht="409.5" x14ac:dyDescent="0.25">
      <c r="A22" s="64" t="s">
        <v>78</v>
      </c>
      <c r="B22" s="64" t="s">
        <v>12</v>
      </c>
      <c r="C22" s="64" t="s">
        <v>221</v>
      </c>
      <c r="D22" s="64" t="s">
        <v>25</v>
      </c>
      <c r="E22" s="64" t="s">
        <v>15</v>
      </c>
      <c r="F22" s="64" t="s">
        <v>16</v>
      </c>
      <c r="G22" s="64" t="s">
        <v>26</v>
      </c>
      <c r="H22" s="64" t="s">
        <v>27</v>
      </c>
      <c r="I22" s="65">
        <v>43415.427083333336</v>
      </c>
      <c r="J22" s="65">
        <v>43514.863969907405</v>
      </c>
      <c r="K22" s="65">
        <v>43619.421400462961</v>
      </c>
      <c r="L22" s="64" t="s">
        <v>79</v>
      </c>
      <c r="M22" s="64" t="s">
        <v>29</v>
      </c>
    </row>
    <row r="23" spans="1:13" ht="409.5" x14ac:dyDescent="0.25">
      <c r="A23" s="64" t="s">
        <v>129</v>
      </c>
      <c r="B23" s="64" t="s">
        <v>12</v>
      </c>
      <c r="C23" s="64" t="s">
        <v>221</v>
      </c>
      <c r="D23" s="64" t="s">
        <v>25</v>
      </c>
      <c r="E23" s="64" t="s">
        <v>15</v>
      </c>
      <c r="F23" s="64" t="s">
        <v>16</v>
      </c>
      <c r="G23" s="64" t="s">
        <v>26</v>
      </c>
      <c r="H23" s="64" t="s">
        <v>27</v>
      </c>
      <c r="I23" s="65">
        <v>43415.429861111108</v>
      </c>
      <c r="J23" s="65">
        <v>43514.863969907405</v>
      </c>
      <c r="K23" s="65">
        <v>43619.422280092593</v>
      </c>
      <c r="L23" s="64" t="s">
        <v>130</v>
      </c>
      <c r="M23" s="64" t="s">
        <v>29</v>
      </c>
    </row>
    <row r="24" spans="1:13" ht="409.5" x14ac:dyDescent="0.25">
      <c r="A24" s="64" t="s">
        <v>126</v>
      </c>
      <c r="B24" s="64" t="s">
        <v>12</v>
      </c>
      <c r="C24" s="64" t="s">
        <v>258</v>
      </c>
      <c r="D24" s="64" t="s">
        <v>25</v>
      </c>
      <c r="E24" s="64" t="s">
        <v>294</v>
      </c>
      <c r="F24" s="64" t="s">
        <v>16</v>
      </c>
      <c r="G24" s="64" t="s">
        <v>26</v>
      </c>
      <c r="H24" s="64" t="s">
        <v>27</v>
      </c>
      <c r="I24" s="65">
        <v>43417.436805555553</v>
      </c>
      <c r="J24" s="65">
        <v>43514.863969907405</v>
      </c>
      <c r="K24" s="65">
        <v>43573.696828703702</v>
      </c>
      <c r="L24" s="64" t="s">
        <v>127</v>
      </c>
      <c r="M24" s="64" t="s">
        <v>29</v>
      </c>
    </row>
    <row r="25" spans="1:13" ht="409.5" x14ac:dyDescent="0.25">
      <c r="A25" s="64" t="s">
        <v>32</v>
      </c>
      <c r="B25" s="64" t="s">
        <v>12</v>
      </c>
      <c r="C25" s="64" t="s">
        <v>258</v>
      </c>
      <c r="D25" s="64" t="s">
        <v>25</v>
      </c>
      <c r="E25" s="64" t="s">
        <v>294</v>
      </c>
      <c r="F25" s="64" t="s">
        <v>16</v>
      </c>
      <c r="G25" s="64" t="s">
        <v>26</v>
      </c>
      <c r="H25" s="64" t="s">
        <v>27</v>
      </c>
      <c r="I25" s="65">
        <v>43417.470138888886</v>
      </c>
      <c r="J25" s="65">
        <v>43514.863969907405</v>
      </c>
      <c r="K25" s="65">
        <v>43573.697685185187</v>
      </c>
      <c r="L25" s="64" t="s">
        <v>33</v>
      </c>
      <c r="M25" s="64" t="s">
        <v>29</v>
      </c>
    </row>
    <row r="26" spans="1:13" ht="409.5" x14ac:dyDescent="0.25">
      <c r="A26" s="64" t="s">
        <v>59</v>
      </c>
      <c r="B26" s="64" t="s">
        <v>12</v>
      </c>
      <c r="C26" s="64" t="s">
        <v>221</v>
      </c>
      <c r="D26" s="64" t="s">
        <v>25</v>
      </c>
      <c r="E26" s="64" t="s">
        <v>15</v>
      </c>
      <c r="F26" s="64" t="s">
        <v>16</v>
      </c>
      <c r="G26" s="64" t="s">
        <v>26</v>
      </c>
      <c r="H26" s="64" t="s">
        <v>27</v>
      </c>
      <c r="I26" s="65">
        <v>43417.597222222219</v>
      </c>
      <c r="J26" s="65">
        <v>43514.863969907405</v>
      </c>
      <c r="K26" s="65">
        <v>43619.424328703702</v>
      </c>
      <c r="L26" s="64" t="s">
        <v>60</v>
      </c>
      <c r="M26" s="64" t="s">
        <v>29</v>
      </c>
    </row>
    <row r="27" spans="1:13" ht="409.5" x14ac:dyDescent="0.25">
      <c r="A27" s="64" t="s">
        <v>109</v>
      </c>
      <c r="B27" s="64" t="s">
        <v>12</v>
      </c>
      <c r="C27" s="64" t="s">
        <v>221</v>
      </c>
      <c r="D27" s="64" t="s">
        <v>25</v>
      </c>
      <c r="E27" s="64" t="s">
        <v>15</v>
      </c>
      <c r="F27" s="64" t="s">
        <v>16</v>
      </c>
      <c r="G27" s="64" t="s">
        <v>26</v>
      </c>
      <c r="H27" s="64" t="s">
        <v>27</v>
      </c>
      <c r="I27" s="65">
        <v>43417.73333333333</v>
      </c>
      <c r="J27" s="65">
        <v>43514.863969907405</v>
      </c>
      <c r="K27" s="65">
        <v>43619.423379629632</v>
      </c>
      <c r="L27" s="64" t="s">
        <v>110</v>
      </c>
      <c r="M27" s="64" t="s">
        <v>29</v>
      </c>
    </row>
    <row r="28" spans="1:13" ht="409.5" x14ac:dyDescent="0.25">
      <c r="A28" s="64" t="s">
        <v>54</v>
      </c>
      <c r="B28" s="64" t="s">
        <v>12</v>
      </c>
      <c r="C28" s="64" t="s">
        <v>221</v>
      </c>
      <c r="D28" s="64" t="s">
        <v>25</v>
      </c>
      <c r="E28" s="64" t="s">
        <v>15</v>
      </c>
      <c r="F28" s="64" t="s">
        <v>16</v>
      </c>
      <c r="G28" s="64" t="s">
        <v>26</v>
      </c>
      <c r="H28" s="64" t="s">
        <v>27</v>
      </c>
      <c r="I28" s="65">
        <v>43418.085416666669</v>
      </c>
      <c r="J28" s="65">
        <v>43514.863981481481</v>
      </c>
      <c r="K28" s="65">
        <v>43619.426782407405</v>
      </c>
      <c r="L28" s="64" t="s">
        <v>55</v>
      </c>
      <c r="M28" s="64" t="s">
        <v>29</v>
      </c>
    </row>
    <row r="29" spans="1:13" ht="409.5" x14ac:dyDescent="0.25">
      <c r="A29" s="64" t="s">
        <v>223</v>
      </c>
      <c r="B29" s="64" t="s">
        <v>12</v>
      </c>
      <c r="C29" s="64" t="s">
        <v>258</v>
      </c>
      <c r="D29" s="64" t="s">
        <v>176</v>
      </c>
      <c r="E29" s="64" t="s">
        <v>293</v>
      </c>
      <c r="F29" s="64" t="s">
        <v>16</v>
      </c>
      <c r="G29" s="64" t="s">
        <v>168</v>
      </c>
      <c r="H29" s="64" t="s">
        <v>27</v>
      </c>
      <c r="I29" s="65">
        <v>43426.439583333333</v>
      </c>
      <c r="J29" s="65">
        <v>43514.863981481481</v>
      </c>
      <c r="K29" s="65">
        <v>43544.725844907407</v>
      </c>
      <c r="L29" s="64" t="s">
        <v>224</v>
      </c>
      <c r="M29" s="64" t="s">
        <v>29</v>
      </c>
    </row>
    <row r="30" spans="1:13" ht="409.5" x14ac:dyDescent="0.25">
      <c r="A30" s="64" t="s">
        <v>41</v>
      </c>
      <c r="B30" s="64" t="s">
        <v>12</v>
      </c>
      <c r="C30" s="64" t="s">
        <v>221</v>
      </c>
      <c r="D30" s="64" t="s">
        <v>25</v>
      </c>
      <c r="E30" s="64" t="s">
        <v>15</v>
      </c>
      <c r="F30" s="64" t="s">
        <v>16</v>
      </c>
      <c r="G30" s="64" t="s">
        <v>26</v>
      </c>
      <c r="H30" s="64" t="s">
        <v>27</v>
      </c>
      <c r="I30" s="65">
        <v>43430.726388888892</v>
      </c>
      <c r="J30" s="65">
        <v>43514.863981481481</v>
      </c>
      <c r="K30" s="65">
        <v>43619.434652777774</v>
      </c>
      <c r="L30" s="64" t="s">
        <v>42</v>
      </c>
      <c r="M30" s="64" t="s">
        <v>29</v>
      </c>
    </row>
    <row r="31" spans="1:13" ht="409.5" x14ac:dyDescent="0.25">
      <c r="A31" s="64" t="s">
        <v>90</v>
      </c>
      <c r="B31" s="64" t="s">
        <v>12</v>
      </c>
      <c r="C31" s="64" t="s">
        <v>221</v>
      </c>
      <c r="D31" s="64" t="s">
        <v>25</v>
      </c>
      <c r="E31" s="64" t="s">
        <v>15</v>
      </c>
      <c r="F31" s="64" t="s">
        <v>16</v>
      </c>
      <c r="G31" s="64" t="s">
        <v>26</v>
      </c>
      <c r="H31" s="64" t="s">
        <v>27</v>
      </c>
      <c r="I31" s="65">
        <v>43430.793055555558</v>
      </c>
      <c r="J31" s="65">
        <v>43514.863981481481</v>
      </c>
      <c r="K31" s="65">
        <v>43619.431851851848</v>
      </c>
      <c r="L31" s="64" t="s">
        <v>91</v>
      </c>
      <c r="M31" s="64" t="s">
        <v>29</v>
      </c>
    </row>
    <row r="32" spans="1:13" ht="409.5" x14ac:dyDescent="0.25">
      <c r="A32" s="64" t="s">
        <v>225</v>
      </c>
      <c r="B32" s="64" t="s">
        <v>12</v>
      </c>
      <c r="C32" s="64" t="s">
        <v>258</v>
      </c>
      <c r="D32" s="64" t="s">
        <v>176</v>
      </c>
      <c r="E32" s="64" t="s">
        <v>293</v>
      </c>
      <c r="F32" s="64" t="s">
        <v>16</v>
      </c>
      <c r="G32" s="64" t="s">
        <v>168</v>
      </c>
      <c r="H32" s="64" t="s">
        <v>27</v>
      </c>
      <c r="I32" s="65">
        <v>43433.441666666666</v>
      </c>
      <c r="J32" s="65">
        <v>43514.863993055558</v>
      </c>
      <c r="K32" s="65">
        <v>43544.727002314816</v>
      </c>
      <c r="L32" s="64" t="s">
        <v>226</v>
      </c>
      <c r="M32" s="64" t="s">
        <v>29</v>
      </c>
    </row>
    <row r="33" spans="1:13" ht="409.5" x14ac:dyDescent="0.25">
      <c r="A33" s="64" t="s">
        <v>81</v>
      </c>
      <c r="B33" s="64" t="s">
        <v>12</v>
      </c>
      <c r="C33" s="64" t="s">
        <v>221</v>
      </c>
      <c r="D33" s="64" t="s">
        <v>25</v>
      </c>
      <c r="E33" s="64" t="s">
        <v>15</v>
      </c>
      <c r="F33" s="64" t="s">
        <v>16</v>
      </c>
      <c r="G33" s="64" t="s">
        <v>26</v>
      </c>
      <c r="H33" s="64" t="s">
        <v>27</v>
      </c>
      <c r="I33" s="65">
        <v>43433.477083333331</v>
      </c>
      <c r="J33" s="65">
        <v>43514.863993055558</v>
      </c>
      <c r="K33" s="65">
        <v>43619.43613425926</v>
      </c>
      <c r="L33" s="64" t="s">
        <v>82</v>
      </c>
      <c r="M33" s="64" t="s">
        <v>29</v>
      </c>
    </row>
    <row r="34" spans="1:13" ht="409.5" x14ac:dyDescent="0.25">
      <c r="A34" s="64" t="s">
        <v>62</v>
      </c>
      <c r="B34" s="64" t="s">
        <v>12</v>
      </c>
      <c r="C34" s="64" t="s">
        <v>221</v>
      </c>
      <c r="D34" s="64" t="s">
        <v>25</v>
      </c>
      <c r="E34" s="64" t="s">
        <v>15</v>
      </c>
      <c r="F34" s="64" t="s">
        <v>16</v>
      </c>
      <c r="G34" s="64" t="s">
        <v>26</v>
      </c>
      <c r="H34" s="64" t="s">
        <v>27</v>
      </c>
      <c r="I34" s="65">
        <v>43435.950694444444</v>
      </c>
      <c r="J34" s="65">
        <v>43514.863993055558</v>
      </c>
      <c r="K34" s="65">
        <v>43619.437152777777</v>
      </c>
      <c r="L34" s="64" t="s">
        <v>63</v>
      </c>
      <c r="M34" s="64" t="s">
        <v>29</v>
      </c>
    </row>
    <row r="35" spans="1:13" ht="409.5" x14ac:dyDescent="0.25">
      <c r="A35" s="64" t="s">
        <v>207</v>
      </c>
      <c r="B35" s="64" t="s">
        <v>12</v>
      </c>
      <c r="C35" s="64" t="s">
        <v>221</v>
      </c>
      <c r="D35" s="64" t="s">
        <v>204</v>
      </c>
      <c r="E35" s="64" t="s">
        <v>350</v>
      </c>
      <c r="F35" s="64" t="s">
        <v>16</v>
      </c>
      <c r="G35" s="64" t="s">
        <v>205</v>
      </c>
      <c r="H35" s="64" t="s">
        <v>208</v>
      </c>
      <c r="I35" s="65">
        <v>43430</v>
      </c>
      <c r="J35" s="65">
        <v>43514.863993055558</v>
      </c>
      <c r="K35" s="65">
        <v>43496.691620370373</v>
      </c>
      <c r="L35" s="64" t="s">
        <v>209</v>
      </c>
      <c r="M35" s="64" t="s">
        <v>29</v>
      </c>
    </row>
    <row r="36" spans="1:13" ht="409.5" x14ac:dyDescent="0.25">
      <c r="A36" s="64" t="s">
        <v>39</v>
      </c>
      <c r="B36" s="64" t="s">
        <v>12</v>
      </c>
      <c r="C36" s="64" t="s">
        <v>221</v>
      </c>
      <c r="D36" s="64" t="s">
        <v>25</v>
      </c>
      <c r="E36" s="64" t="s">
        <v>15</v>
      </c>
      <c r="F36" s="64" t="s">
        <v>16</v>
      </c>
      <c r="G36" s="64" t="s">
        <v>26</v>
      </c>
      <c r="H36" s="64" t="s">
        <v>27</v>
      </c>
      <c r="I36" s="65">
        <v>43438.820138888892</v>
      </c>
      <c r="J36" s="65">
        <v>43514.863993055558</v>
      </c>
      <c r="K36" s="65">
        <v>43619.436550925922</v>
      </c>
      <c r="L36" s="64" t="s">
        <v>40</v>
      </c>
      <c r="M36" s="64" t="s">
        <v>29</v>
      </c>
    </row>
    <row r="37" spans="1:13" ht="409.5" x14ac:dyDescent="0.25">
      <c r="A37" s="64" t="s">
        <v>68</v>
      </c>
      <c r="B37" s="64" t="s">
        <v>12</v>
      </c>
      <c r="C37" s="64" t="s">
        <v>13</v>
      </c>
      <c r="D37" s="64" t="s">
        <v>25</v>
      </c>
      <c r="E37" s="64" t="s">
        <v>15</v>
      </c>
      <c r="F37" s="64" t="s">
        <v>16</v>
      </c>
      <c r="G37" s="64" t="s">
        <v>26</v>
      </c>
      <c r="H37" s="64" t="s">
        <v>27</v>
      </c>
      <c r="I37" s="65">
        <v>43441.681250000001</v>
      </c>
      <c r="J37" s="65">
        <v>43514.864004629628</v>
      </c>
      <c r="K37" s="65"/>
      <c r="L37" s="64" t="s">
        <v>69</v>
      </c>
      <c r="M37" s="64" t="s">
        <v>29</v>
      </c>
    </row>
    <row r="38" spans="1:13" ht="409.5" x14ac:dyDescent="0.25">
      <c r="A38" s="64" t="s">
        <v>121</v>
      </c>
      <c r="B38" s="64" t="s">
        <v>12</v>
      </c>
      <c r="C38" s="64" t="s">
        <v>13</v>
      </c>
      <c r="D38" s="64" t="s">
        <v>25</v>
      </c>
      <c r="E38" s="64" t="s">
        <v>15</v>
      </c>
      <c r="F38" s="64" t="s">
        <v>16</v>
      </c>
      <c r="G38" s="64" t="s">
        <v>26</v>
      </c>
      <c r="H38" s="64" t="s">
        <v>27</v>
      </c>
      <c r="I38" s="65">
        <v>43441.684027777781</v>
      </c>
      <c r="J38" s="65">
        <v>43514.864004629628</v>
      </c>
      <c r="K38" s="65"/>
      <c r="L38" s="64" t="s">
        <v>122</v>
      </c>
      <c r="M38" s="64" t="s">
        <v>29</v>
      </c>
    </row>
    <row r="39" spans="1:13" ht="409.5" x14ac:dyDescent="0.25">
      <c r="A39" s="64" t="s">
        <v>124</v>
      </c>
      <c r="B39" s="64" t="s">
        <v>12</v>
      </c>
      <c r="C39" s="64" t="s">
        <v>221</v>
      </c>
      <c r="D39" s="64" t="s">
        <v>25</v>
      </c>
      <c r="E39" s="64" t="s">
        <v>15</v>
      </c>
      <c r="F39" s="64" t="s">
        <v>16</v>
      </c>
      <c r="G39" s="64" t="s">
        <v>26</v>
      </c>
      <c r="H39" s="64" t="s">
        <v>27</v>
      </c>
      <c r="I39" s="65">
        <v>43445.50277777778</v>
      </c>
      <c r="J39" s="65">
        <v>43514.864004629628</v>
      </c>
      <c r="K39" s="65">
        <v>43619.437650462962</v>
      </c>
      <c r="L39" s="64" t="s">
        <v>125</v>
      </c>
      <c r="M39" s="64" t="s">
        <v>29</v>
      </c>
    </row>
    <row r="40" spans="1:13" ht="409.5" x14ac:dyDescent="0.25">
      <c r="A40" s="64" t="s">
        <v>30</v>
      </c>
      <c r="B40" s="64" t="s">
        <v>12</v>
      </c>
      <c r="C40" s="64" t="s">
        <v>13</v>
      </c>
      <c r="D40" s="64" t="s">
        <v>25</v>
      </c>
      <c r="E40" s="64" t="s">
        <v>15</v>
      </c>
      <c r="F40" s="64" t="s">
        <v>16</v>
      </c>
      <c r="G40" s="64" t="s">
        <v>26</v>
      </c>
      <c r="H40" s="64" t="s">
        <v>27</v>
      </c>
      <c r="I40" s="65">
        <v>43448.01666666667</v>
      </c>
      <c r="J40" s="65">
        <v>43514.864004629628</v>
      </c>
      <c r="K40" s="65"/>
      <c r="L40" s="64" t="s">
        <v>31</v>
      </c>
      <c r="M40" s="64" t="s">
        <v>29</v>
      </c>
    </row>
    <row r="41" spans="1:13" ht="409.5" x14ac:dyDescent="0.25">
      <c r="A41" s="64" t="s">
        <v>191</v>
      </c>
      <c r="B41" s="64" t="s">
        <v>12</v>
      </c>
      <c r="C41" s="64" t="s">
        <v>13</v>
      </c>
      <c r="D41" s="64" t="s">
        <v>192</v>
      </c>
      <c r="E41" s="64" t="s">
        <v>177</v>
      </c>
      <c r="F41" s="64" t="s">
        <v>16</v>
      </c>
      <c r="G41" s="64" t="s">
        <v>193</v>
      </c>
      <c r="H41" s="64" t="s">
        <v>23</v>
      </c>
      <c r="I41" s="65">
        <v>43453.337500000001</v>
      </c>
      <c r="J41" s="65">
        <v>43514.864004629628</v>
      </c>
      <c r="K41" s="65"/>
      <c r="L41" s="64" t="s">
        <v>194</v>
      </c>
      <c r="M41" s="64" t="s">
        <v>29</v>
      </c>
    </row>
    <row r="42" spans="1:13" ht="409.5" x14ac:dyDescent="0.25">
      <c r="A42" s="64" t="s">
        <v>94</v>
      </c>
      <c r="B42" s="64" t="s">
        <v>12</v>
      </c>
      <c r="C42" s="64" t="s">
        <v>13</v>
      </c>
      <c r="D42" s="64" t="s">
        <v>25</v>
      </c>
      <c r="E42" s="64" t="s">
        <v>15</v>
      </c>
      <c r="F42" s="64" t="s">
        <v>16</v>
      </c>
      <c r="G42" s="64" t="s">
        <v>26</v>
      </c>
      <c r="H42" s="64" t="s">
        <v>27</v>
      </c>
      <c r="I42" s="65">
        <v>43456.594444444447</v>
      </c>
      <c r="J42" s="65">
        <v>43514.864004629628</v>
      </c>
      <c r="K42" s="65"/>
      <c r="L42" s="64" t="s">
        <v>95</v>
      </c>
      <c r="M42" s="64" t="s">
        <v>29</v>
      </c>
    </row>
    <row r="43" spans="1:13" ht="409.5" x14ac:dyDescent="0.25">
      <c r="A43" s="64" t="s">
        <v>227</v>
      </c>
      <c r="B43" s="64" t="s">
        <v>12</v>
      </c>
      <c r="C43" s="64" t="s">
        <v>258</v>
      </c>
      <c r="D43" s="64" t="s">
        <v>25</v>
      </c>
      <c r="E43" s="64" t="s">
        <v>294</v>
      </c>
      <c r="F43" s="64" t="s">
        <v>16</v>
      </c>
      <c r="G43" s="64" t="s">
        <v>26</v>
      </c>
      <c r="H43" s="64" t="s">
        <v>27</v>
      </c>
      <c r="I43" s="65">
        <v>43476.683333333334</v>
      </c>
      <c r="J43" s="65">
        <v>43514.864027777781</v>
      </c>
      <c r="K43" s="65">
        <v>43536.651469907411</v>
      </c>
      <c r="L43" s="64" t="s">
        <v>228</v>
      </c>
      <c r="M43" s="64" t="s">
        <v>29</v>
      </c>
    </row>
    <row r="44" spans="1:13" ht="409.5" x14ac:dyDescent="0.25">
      <c r="A44" s="64" t="s">
        <v>229</v>
      </c>
      <c r="B44" s="64" t="s">
        <v>12</v>
      </c>
      <c r="C44" s="64" t="s">
        <v>258</v>
      </c>
      <c r="D44" s="64" t="s">
        <v>25</v>
      </c>
      <c r="E44" s="64" t="s">
        <v>294</v>
      </c>
      <c r="F44" s="64" t="s">
        <v>16</v>
      </c>
      <c r="G44" s="64" t="s">
        <v>26</v>
      </c>
      <c r="H44" s="64" t="s">
        <v>27</v>
      </c>
      <c r="I44" s="65">
        <v>43476.683333333334</v>
      </c>
      <c r="J44" s="65">
        <v>43514.864027777781</v>
      </c>
      <c r="K44" s="65">
        <v>43536.650439814817</v>
      </c>
      <c r="L44" s="64" t="s">
        <v>230</v>
      </c>
      <c r="M44" s="64" t="s">
        <v>29</v>
      </c>
    </row>
    <row r="45" spans="1:13" ht="409.5" x14ac:dyDescent="0.25">
      <c r="A45" s="64" t="s">
        <v>231</v>
      </c>
      <c r="B45" s="64" t="s">
        <v>12</v>
      </c>
      <c r="C45" s="64" t="s">
        <v>258</v>
      </c>
      <c r="D45" s="64" t="s">
        <v>25</v>
      </c>
      <c r="E45" s="64" t="s">
        <v>294</v>
      </c>
      <c r="F45" s="64" t="s">
        <v>16</v>
      </c>
      <c r="G45" s="64" t="s">
        <v>26</v>
      </c>
      <c r="H45" s="64" t="s">
        <v>27</v>
      </c>
      <c r="I45" s="65">
        <v>43476.68472222222</v>
      </c>
      <c r="J45" s="65">
        <v>43514.864027777781</v>
      </c>
      <c r="K45" s="65">
        <v>43536.652453703704</v>
      </c>
      <c r="L45" s="64" t="s">
        <v>232</v>
      </c>
      <c r="M45" s="64" t="s">
        <v>29</v>
      </c>
    </row>
    <row r="46" spans="1:13" ht="409.5" x14ac:dyDescent="0.25">
      <c r="A46" s="64" t="s">
        <v>159</v>
      </c>
      <c r="B46" s="64" t="s">
        <v>12</v>
      </c>
      <c r="C46" s="64" t="s">
        <v>258</v>
      </c>
      <c r="D46" s="64" t="s">
        <v>14</v>
      </c>
      <c r="E46" s="64" t="s">
        <v>351</v>
      </c>
      <c r="F46" s="64" t="s">
        <v>16</v>
      </c>
      <c r="G46" s="64" t="s">
        <v>160</v>
      </c>
      <c r="H46" s="64" t="s">
        <v>18</v>
      </c>
      <c r="I46" s="65">
        <v>43482.59652777778</v>
      </c>
      <c r="J46" s="65">
        <v>43514.864039351851</v>
      </c>
      <c r="K46" s="65">
        <v>43563.632037037038</v>
      </c>
      <c r="L46" s="64" t="s">
        <v>161</v>
      </c>
      <c r="M46" s="64" t="s">
        <v>19</v>
      </c>
    </row>
    <row r="47" spans="1:13" ht="409.5" x14ac:dyDescent="0.25">
      <c r="A47" s="64" t="s">
        <v>142</v>
      </c>
      <c r="B47" s="64" t="s">
        <v>12</v>
      </c>
      <c r="C47" s="64" t="s">
        <v>13</v>
      </c>
      <c r="D47" s="64" t="s">
        <v>25</v>
      </c>
      <c r="E47" s="64" t="s">
        <v>15</v>
      </c>
      <c r="F47" s="64" t="s">
        <v>16</v>
      </c>
      <c r="G47" s="64" t="s">
        <v>26</v>
      </c>
      <c r="H47" s="64" t="s">
        <v>27</v>
      </c>
      <c r="I47" s="65">
        <v>43484.491666666669</v>
      </c>
      <c r="J47" s="65">
        <v>43514.864039351851</v>
      </c>
      <c r="K47" s="65"/>
      <c r="L47" s="64" t="s">
        <v>143</v>
      </c>
      <c r="M47" s="64" t="s">
        <v>29</v>
      </c>
    </row>
    <row r="48" spans="1:13" ht="409.5" x14ac:dyDescent="0.25">
      <c r="A48" s="64" t="s">
        <v>233</v>
      </c>
      <c r="B48" s="64" t="s">
        <v>12</v>
      </c>
      <c r="C48" s="64" t="s">
        <v>258</v>
      </c>
      <c r="D48" s="64" t="s">
        <v>176</v>
      </c>
      <c r="E48" s="64" t="s">
        <v>293</v>
      </c>
      <c r="F48" s="64" t="s">
        <v>16</v>
      </c>
      <c r="G48" s="64" t="s">
        <v>168</v>
      </c>
      <c r="H48" s="64" t="s">
        <v>27</v>
      </c>
      <c r="I48" s="65">
        <v>43495.615277777775</v>
      </c>
      <c r="J48" s="65">
        <v>43514.864050925928</v>
      </c>
      <c r="K48" s="65">
        <v>43544.622314814813</v>
      </c>
      <c r="L48" s="64" t="s">
        <v>234</v>
      </c>
      <c r="M48" s="64" t="s">
        <v>29</v>
      </c>
    </row>
    <row r="49" spans="1:13" ht="409.5" x14ac:dyDescent="0.25">
      <c r="A49" s="64" t="s">
        <v>235</v>
      </c>
      <c r="B49" s="64" t="s">
        <v>12</v>
      </c>
      <c r="C49" s="64" t="s">
        <v>258</v>
      </c>
      <c r="D49" s="64" t="s">
        <v>176</v>
      </c>
      <c r="E49" s="64" t="s">
        <v>293</v>
      </c>
      <c r="F49" s="64" t="s">
        <v>16</v>
      </c>
      <c r="G49" s="64" t="s">
        <v>168</v>
      </c>
      <c r="H49" s="64" t="s">
        <v>27</v>
      </c>
      <c r="I49" s="65">
        <v>43495.693055555559</v>
      </c>
      <c r="J49" s="65">
        <v>43514.864062499997</v>
      </c>
      <c r="K49" s="65">
        <v>43544.624143518522</v>
      </c>
      <c r="L49" s="64" t="s">
        <v>236</v>
      </c>
      <c r="M49" s="64" t="s">
        <v>29</v>
      </c>
    </row>
    <row r="50" spans="1:13" ht="409.5" x14ac:dyDescent="0.25">
      <c r="A50" s="64" t="s">
        <v>237</v>
      </c>
      <c r="B50" s="64" t="s">
        <v>12</v>
      </c>
      <c r="C50" s="64" t="s">
        <v>258</v>
      </c>
      <c r="D50" s="64" t="s">
        <v>176</v>
      </c>
      <c r="E50" s="64" t="s">
        <v>293</v>
      </c>
      <c r="F50" s="64" t="s">
        <v>16</v>
      </c>
      <c r="G50" s="64" t="s">
        <v>168</v>
      </c>
      <c r="H50" s="64" t="s">
        <v>27</v>
      </c>
      <c r="I50" s="65">
        <v>43496.410416666666</v>
      </c>
      <c r="J50" s="65">
        <v>43514.864062499997</v>
      </c>
      <c r="K50" s="65">
        <v>43544.6325</v>
      </c>
      <c r="L50" s="64" t="s">
        <v>238</v>
      </c>
      <c r="M50" s="64" t="s">
        <v>29</v>
      </c>
    </row>
    <row r="51" spans="1:13" ht="409.5" x14ac:dyDescent="0.25">
      <c r="A51" s="64" t="s">
        <v>165</v>
      </c>
      <c r="B51" s="64" t="s">
        <v>12</v>
      </c>
      <c r="C51" s="64" t="s">
        <v>258</v>
      </c>
      <c r="D51" s="64" t="s">
        <v>14</v>
      </c>
      <c r="E51" s="64" t="s">
        <v>22</v>
      </c>
      <c r="F51" s="64" t="s">
        <v>16</v>
      </c>
      <c r="G51" s="64" t="s">
        <v>163</v>
      </c>
      <c r="H51" s="64" t="s">
        <v>23</v>
      </c>
      <c r="I51" s="65">
        <v>43496.722222222219</v>
      </c>
      <c r="J51" s="65">
        <v>43514.864062499997</v>
      </c>
      <c r="K51" s="65">
        <v>43452.645532407405</v>
      </c>
      <c r="L51" s="64" t="s">
        <v>166</v>
      </c>
      <c r="M51" s="64" t="s">
        <v>19</v>
      </c>
    </row>
    <row r="52" spans="1:13" ht="409.5" x14ac:dyDescent="0.25">
      <c r="A52" s="64" t="s">
        <v>162</v>
      </c>
      <c r="B52" s="64" t="s">
        <v>12</v>
      </c>
      <c r="C52" s="64" t="s">
        <v>258</v>
      </c>
      <c r="D52" s="64" t="s">
        <v>14</v>
      </c>
      <c r="E52" s="64" t="s">
        <v>364</v>
      </c>
      <c r="F52" s="64" t="s">
        <v>16</v>
      </c>
      <c r="G52" s="64" t="s">
        <v>163</v>
      </c>
      <c r="H52" s="64" t="s">
        <v>18</v>
      </c>
      <c r="I52" s="65">
        <v>43497.665972222225</v>
      </c>
      <c r="J52" s="65">
        <v>43514.864074074074</v>
      </c>
      <c r="K52" s="65">
        <v>43563.662060185183</v>
      </c>
      <c r="L52" s="64" t="s">
        <v>164</v>
      </c>
      <c r="M52" s="64" t="s">
        <v>19</v>
      </c>
    </row>
    <row r="53" spans="1:13" ht="409.5" x14ac:dyDescent="0.25">
      <c r="A53" s="64" t="s">
        <v>239</v>
      </c>
      <c r="B53" s="64" t="s">
        <v>12</v>
      </c>
      <c r="C53" s="64" t="s">
        <v>258</v>
      </c>
      <c r="D53" s="64" t="s">
        <v>176</v>
      </c>
      <c r="E53" s="64" t="s">
        <v>293</v>
      </c>
      <c r="F53" s="64" t="s">
        <v>16</v>
      </c>
      <c r="G53" s="64" t="s">
        <v>168</v>
      </c>
      <c r="H53" s="64" t="s">
        <v>27</v>
      </c>
      <c r="I53" s="65">
        <v>43500.448611111111</v>
      </c>
      <c r="J53" s="65">
        <v>43514.864074074074</v>
      </c>
      <c r="K53" s="65">
        <v>43544.635555555556</v>
      </c>
      <c r="L53" s="64" t="s">
        <v>240</v>
      </c>
      <c r="M53" s="64" t="s">
        <v>29</v>
      </c>
    </row>
    <row r="54" spans="1:13" ht="409.5" x14ac:dyDescent="0.25">
      <c r="A54" s="64" t="s">
        <v>241</v>
      </c>
      <c r="B54" s="64" t="s">
        <v>12</v>
      </c>
      <c r="C54" s="64" t="s">
        <v>258</v>
      </c>
      <c r="D54" s="64" t="s">
        <v>176</v>
      </c>
      <c r="E54" s="64" t="s">
        <v>293</v>
      </c>
      <c r="F54" s="64" t="s">
        <v>16</v>
      </c>
      <c r="G54" s="64" t="s">
        <v>168</v>
      </c>
      <c r="H54" s="64" t="s">
        <v>27</v>
      </c>
      <c r="I54" s="65">
        <v>43500.759027777778</v>
      </c>
      <c r="J54" s="65">
        <v>43514.864074074074</v>
      </c>
      <c r="K54" s="65">
        <v>43544.64949074074</v>
      </c>
      <c r="L54" s="64" t="s">
        <v>242</v>
      </c>
      <c r="M54" s="64" t="s">
        <v>29</v>
      </c>
    </row>
    <row r="55" spans="1:13" ht="409.5" x14ac:dyDescent="0.25">
      <c r="A55" s="64" t="s">
        <v>243</v>
      </c>
      <c r="B55" s="64" t="s">
        <v>12</v>
      </c>
      <c r="C55" s="64" t="s">
        <v>258</v>
      </c>
      <c r="D55" s="64" t="s">
        <v>176</v>
      </c>
      <c r="E55" s="64" t="s">
        <v>293</v>
      </c>
      <c r="F55" s="64" t="s">
        <v>16</v>
      </c>
      <c r="G55" s="64" t="s">
        <v>168</v>
      </c>
      <c r="H55" s="64" t="s">
        <v>27</v>
      </c>
      <c r="I55" s="65">
        <v>43501.027083333334</v>
      </c>
      <c r="J55" s="65">
        <v>43514.864074074074</v>
      </c>
      <c r="K55" s="65">
        <v>43544.650902777779</v>
      </c>
      <c r="L55" s="64" t="s">
        <v>244</v>
      </c>
      <c r="M55" s="64" t="s">
        <v>29</v>
      </c>
    </row>
    <row r="56" spans="1:13" ht="409.5" x14ac:dyDescent="0.25">
      <c r="A56" s="64" t="s">
        <v>245</v>
      </c>
      <c r="B56" s="64" t="s">
        <v>12</v>
      </c>
      <c r="C56" s="64" t="s">
        <v>258</v>
      </c>
      <c r="D56" s="64" t="s">
        <v>176</v>
      </c>
      <c r="E56" s="64" t="s">
        <v>293</v>
      </c>
      <c r="F56" s="64" t="s">
        <v>16</v>
      </c>
      <c r="G56" s="64" t="s">
        <v>168</v>
      </c>
      <c r="H56" s="64" t="s">
        <v>27</v>
      </c>
      <c r="I56" s="65">
        <v>43501.404861111114</v>
      </c>
      <c r="J56" s="65">
        <v>43514.864074074074</v>
      </c>
      <c r="K56" s="65">
        <v>43544.636631944442</v>
      </c>
      <c r="L56" s="64" t="s">
        <v>246</v>
      </c>
      <c r="M56" s="64" t="s">
        <v>29</v>
      </c>
    </row>
    <row r="57" spans="1:13" ht="409.5" x14ac:dyDescent="0.25">
      <c r="A57" s="64" t="s">
        <v>247</v>
      </c>
      <c r="B57" s="64" t="s">
        <v>12</v>
      </c>
      <c r="C57" s="64" t="s">
        <v>258</v>
      </c>
      <c r="D57" s="64" t="s">
        <v>176</v>
      </c>
      <c r="E57" s="64" t="s">
        <v>293</v>
      </c>
      <c r="F57" s="64" t="s">
        <v>16</v>
      </c>
      <c r="G57" s="64" t="s">
        <v>168</v>
      </c>
      <c r="H57" s="64" t="s">
        <v>27</v>
      </c>
      <c r="I57" s="65">
        <v>43501.428472222222</v>
      </c>
      <c r="J57" s="65">
        <v>43514.864074074074</v>
      </c>
      <c r="K57" s="65">
        <v>43544.639062499999</v>
      </c>
      <c r="L57" s="64" t="s">
        <v>248</v>
      </c>
      <c r="M57" s="64" t="s">
        <v>29</v>
      </c>
    </row>
    <row r="58" spans="1:13" ht="409.5" x14ac:dyDescent="0.25">
      <c r="A58" s="64" t="s">
        <v>249</v>
      </c>
      <c r="B58" s="64" t="s">
        <v>12</v>
      </c>
      <c r="C58" s="64" t="s">
        <v>258</v>
      </c>
      <c r="D58" s="64" t="s">
        <v>176</v>
      </c>
      <c r="E58" s="64" t="s">
        <v>293</v>
      </c>
      <c r="F58" s="64" t="s">
        <v>16</v>
      </c>
      <c r="G58" s="64" t="s">
        <v>168</v>
      </c>
      <c r="H58" s="64" t="s">
        <v>27</v>
      </c>
      <c r="I58" s="65">
        <v>43501.434027777781</v>
      </c>
      <c r="J58" s="65">
        <v>43514.864074074074</v>
      </c>
      <c r="K58" s="65">
        <v>43544.640787037039</v>
      </c>
      <c r="L58" s="64" t="s">
        <v>250</v>
      </c>
      <c r="M58" s="64" t="s">
        <v>29</v>
      </c>
    </row>
    <row r="59" spans="1:13" ht="409.5" x14ac:dyDescent="0.25">
      <c r="A59" s="64" t="s">
        <v>175</v>
      </c>
      <c r="B59" s="64" t="s">
        <v>12</v>
      </c>
      <c r="C59" s="64" t="s">
        <v>13</v>
      </c>
      <c r="D59" s="64" t="s">
        <v>176</v>
      </c>
      <c r="E59" s="64" t="s">
        <v>177</v>
      </c>
      <c r="F59" s="64" t="s">
        <v>16</v>
      </c>
      <c r="G59" s="64" t="s">
        <v>168</v>
      </c>
      <c r="H59" s="64" t="s">
        <v>27</v>
      </c>
      <c r="I59" s="65">
        <v>43501.441666666666</v>
      </c>
      <c r="J59" s="65">
        <v>43514.864074074074</v>
      </c>
      <c r="K59" s="65"/>
      <c r="L59" s="64" t="s">
        <v>178</v>
      </c>
      <c r="M59" s="64" t="s">
        <v>29</v>
      </c>
    </row>
    <row r="60" spans="1:13" ht="409.5" x14ac:dyDescent="0.25">
      <c r="A60" s="64" t="s">
        <v>295</v>
      </c>
      <c r="B60" s="64" t="s">
        <v>103</v>
      </c>
      <c r="C60" s="64" t="s">
        <v>258</v>
      </c>
      <c r="D60" s="64" t="s">
        <v>192</v>
      </c>
      <c r="E60" s="64" t="s">
        <v>365</v>
      </c>
      <c r="F60" s="64" t="s">
        <v>16</v>
      </c>
      <c r="G60" s="64" t="s">
        <v>296</v>
      </c>
      <c r="H60" s="64" t="s">
        <v>297</v>
      </c>
      <c r="I60" s="65">
        <v>43502.404166666667</v>
      </c>
      <c r="J60" s="65">
        <v>43514.864085648151</v>
      </c>
      <c r="K60" s="65">
        <v>43535.704525462963</v>
      </c>
      <c r="L60" s="64" t="s">
        <v>298</v>
      </c>
      <c r="M60" s="64" t="s">
        <v>29</v>
      </c>
    </row>
    <row r="61" spans="1:13" ht="409.5" x14ac:dyDescent="0.25">
      <c r="A61" s="64" t="s">
        <v>201</v>
      </c>
      <c r="B61" s="64" t="s">
        <v>198</v>
      </c>
      <c r="C61" s="64" t="s">
        <v>258</v>
      </c>
      <c r="D61" s="64" t="s">
        <v>192</v>
      </c>
      <c r="E61" s="64" t="s">
        <v>199</v>
      </c>
      <c r="F61" s="64" t="s">
        <v>16</v>
      </c>
      <c r="G61" s="64" t="s">
        <v>193</v>
      </c>
      <c r="H61" s="64" t="s">
        <v>192</v>
      </c>
      <c r="I61" s="65">
        <v>43501.625</v>
      </c>
      <c r="J61" s="65">
        <v>43514.864085648151</v>
      </c>
      <c r="K61" s="65">
        <v>43572.695208333331</v>
      </c>
      <c r="L61" s="64" t="s">
        <v>202</v>
      </c>
      <c r="M61" s="64" t="s">
        <v>29</v>
      </c>
    </row>
    <row r="62" spans="1:13" ht="60" x14ac:dyDescent="0.25">
      <c r="A62" s="64" t="s">
        <v>203</v>
      </c>
      <c r="B62" s="64" t="s">
        <v>12</v>
      </c>
      <c r="C62" s="64" t="s">
        <v>221</v>
      </c>
      <c r="D62" s="64" t="s">
        <v>204</v>
      </c>
      <c r="E62" s="64" t="s">
        <v>15</v>
      </c>
      <c r="F62" s="64" t="s">
        <v>16</v>
      </c>
      <c r="G62" s="64" t="s">
        <v>205</v>
      </c>
      <c r="H62" s="64" t="s">
        <v>37</v>
      </c>
      <c r="I62" s="65">
        <v>43525.608784722222</v>
      </c>
      <c r="J62" s="65">
        <v>43521.287418981483</v>
      </c>
      <c r="K62" s="65">
        <v>43579.730196759258</v>
      </c>
      <c r="L62" s="64" t="s">
        <v>206</v>
      </c>
      <c r="M62" s="64" t="s">
        <v>29</v>
      </c>
    </row>
    <row r="63" spans="1:13" ht="409.5" x14ac:dyDescent="0.25">
      <c r="A63" s="64" t="s">
        <v>251</v>
      </c>
      <c r="B63" s="64" t="s">
        <v>12</v>
      </c>
      <c r="C63" s="64" t="s">
        <v>258</v>
      </c>
      <c r="D63" s="64" t="s">
        <v>25</v>
      </c>
      <c r="E63" s="64" t="s">
        <v>352</v>
      </c>
      <c r="F63" s="64" t="s">
        <v>16</v>
      </c>
      <c r="G63" s="64" t="s">
        <v>26</v>
      </c>
      <c r="H63" s="64" t="s">
        <v>37</v>
      </c>
      <c r="I63" s="65">
        <v>43521.459594907406</v>
      </c>
      <c r="J63" s="65">
        <v>43521.602858796294</v>
      </c>
      <c r="K63" s="65">
        <v>43536.662824074076</v>
      </c>
      <c r="L63" s="64" t="s">
        <v>252</v>
      </c>
      <c r="M63" s="64" t="s">
        <v>29</v>
      </c>
    </row>
    <row r="64" spans="1:13" ht="409.5" x14ac:dyDescent="0.25">
      <c r="A64" s="64" t="s">
        <v>253</v>
      </c>
      <c r="B64" s="64" t="s">
        <v>12</v>
      </c>
      <c r="C64" s="64" t="s">
        <v>258</v>
      </c>
      <c r="D64" s="64" t="s">
        <v>25</v>
      </c>
      <c r="E64" s="64" t="s">
        <v>352</v>
      </c>
      <c r="F64" s="64" t="s">
        <v>16</v>
      </c>
      <c r="G64" s="64" t="s">
        <v>26</v>
      </c>
      <c r="H64" s="64" t="s">
        <v>37</v>
      </c>
      <c r="I64" s="65">
        <v>43521.462384259263</v>
      </c>
      <c r="J64" s="65">
        <v>43521.603668981479</v>
      </c>
      <c r="K64" s="65">
        <v>43536.664340277777</v>
      </c>
      <c r="L64" s="64" t="s">
        <v>254</v>
      </c>
      <c r="M64" s="64" t="s">
        <v>29</v>
      </c>
    </row>
    <row r="65" spans="1:13" ht="300" x14ac:dyDescent="0.25">
      <c r="A65" s="64" t="s">
        <v>114</v>
      </c>
      <c r="B65" s="64" t="s">
        <v>12</v>
      </c>
      <c r="C65" s="64" t="s">
        <v>13</v>
      </c>
      <c r="D65" s="64" t="s">
        <v>25</v>
      </c>
      <c r="E65" s="64" t="s">
        <v>48</v>
      </c>
      <c r="F65" s="64" t="s">
        <v>16</v>
      </c>
      <c r="G65" s="64" t="s">
        <v>26</v>
      </c>
      <c r="H65" s="64" t="s">
        <v>37</v>
      </c>
      <c r="I65" s="65">
        <v>43521.472337962965</v>
      </c>
      <c r="J65" s="65">
        <v>43521.604421296295</v>
      </c>
      <c r="K65" s="65"/>
      <c r="L65" s="64" t="s">
        <v>77</v>
      </c>
      <c r="M65" s="64" t="s">
        <v>29</v>
      </c>
    </row>
    <row r="66" spans="1:13" ht="300" x14ac:dyDescent="0.25">
      <c r="A66" s="64" t="s">
        <v>76</v>
      </c>
      <c r="B66" s="64" t="s">
        <v>12</v>
      </c>
      <c r="C66" s="64" t="s">
        <v>13</v>
      </c>
      <c r="D66" s="64" t="s">
        <v>25</v>
      </c>
      <c r="E66" s="64" t="s">
        <v>48</v>
      </c>
      <c r="F66" s="64" t="s">
        <v>16</v>
      </c>
      <c r="G66" s="64" t="s">
        <v>26</v>
      </c>
      <c r="H66" s="64" t="s">
        <v>37</v>
      </c>
      <c r="I66" s="65">
        <v>43521.541689814818</v>
      </c>
      <c r="J66" s="65">
        <v>43521.605115740742</v>
      </c>
      <c r="K66" s="65"/>
      <c r="L66" s="64" t="s">
        <v>77</v>
      </c>
      <c r="M66" s="64" t="s">
        <v>29</v>
      </c>
    </row>
    <row r="67" spans="1:13" ht="409.5" x14ac:dyDescent="0.25">
      <c r="A67" s="64" t="s">
        <v>111</v>
      </c>
      <c r="B67" s="64" t="s">
        <v>12</v>
      </c>
      <c r="C67" s="64" t="s">
        <v>258</v>
      </c>
      <c r="D67" s="64" t="s">
        <v>25</v>
      </c>
      <c r="E67" s="64" t="s">
        <v>352</v>
      </c>
      <c r="F67" s="64" t="s">
        <v>16</v>
      </c>
      <c r="G67" s="64" t="s">
        <v>26</v>
      </c>
      <c r="H67" s="64" t="s">
        <v>37</v>
      </c>
      <c r="I67" s="65">
        <v>43521.673402777778</v>
      </c>
      <c r="J67" s="65">
        <v>43521.679328703707</v>
      </c>
      <c r="K67" s="65">
        <v>43560.446666666663</v>
      </c>
      <c r="L67" s="64" t="s">
        <v>53</v>
      </c>
      <c r="M67" s="64" t="s">
        <v>29</v>
      </c>
    </row>
    <row r="68" spans="1:13" ht="390" x14ac:dyDescent="0.25">
      <c r="A68" s="64" t="s">
        <v>255</v>
      </c>
      <c r="B68" s="64" t="s">
        <v>12</v>
      </c>
      <c r="C68" s="64" t="s">
        <v>258</v>
      </c>
      <c r="D68" s="64" t="s">
        <v>176</v>
      </c>
      <c r="E68" s="64" t="s">
        <v>259</v>
      </c>
      <c r="F68" s="64" t="s">
        <v>16</v>
      </c>
      <c r="G68" s="64" t="s">
        <v>168</v>
      </c>
      <c r="H68" s="64" t="s">
        <v>37</v>
      </c>
      <c r="I68" s="65">
        <v>43521.407500000001</v>
      </c>
      <c r="J68" s="65">
        <v>43521.72550925926</v>
      </c>
      <c r="K68" s="65">
        <v>43543.721087962964</v>
      </c>
      <c r="L68" s="64" t="s">
        <v>256</v>
      </c>
      <c r="M68" s="64" t="s">
        <v>29</v>
      </c>
    </row>
    <row r="69" spans="1:13" ht="300" x14ac:dyDescent="0.25">
      <c r="A69" s="64" t="s">
        <v>257</v>
      </c>
      <c r="B69" s="64" t="s">
        <v>12</v>
      </c>
      <c r="C69" s="64" t="s">
        <v>258</v>
      </c>
      <c r="D69" s="64" t="s">
        <v>176</v>
      </c>
      <c r="E69" s="64" t="s">
        <v>259</v>
      </c>
      <c r="F69" s="64" t="s">
        <v>16</v>
      </c>
      <c r="G69" s="64" t="s">
        <v>168</v>
      </c>
      <c r="H69" s="64" t="s">
        <v>37</v>
      </c>
      <c r="I69" s="65">
        <v>43522.064699074072</v>
      </c>
      <c r="J69" s="65">
        <v>43522.066261574073</v>
      </c>
      <c r="K69" s="65">
        <v>43523.406608796293</v>
      </c>
      <c r="L69" s="64" t="s">
        <v>260</v>
      </c>
      <c r="M69" s="64" t="s">
        <v>29</v>
      </c>
    </row>
    <row r="70" spans="1:13" ht="300" x14ac:dyDescent="0.25">
      <c r="A70" s="64" t="s">
        <v>261</v>
      </c>
      <c r="B70" s="64" t="s">
        <v>12</v>
      </c>
      <c r="C70" s="64" t="s">
        <v>258</v>
      </c>
      <c r="D70" s="64" t="s">
        <v>176</v>
      </c>
      <c r="E70" s="64" t="s">
        <v>259</v>
      </c>
      <c r="F70" s="64" t="s">
        <v>16</v>
      </c>
      <c r="G70" s="64" t="s">
        <v>168</v>
      </c>
      <c r="H70" s="64" t="s">
        <v>37</v>
      </c>
      <c r="I70" s="65">
        <v>43522.064722222225</v>
      </c>
      <c r="J70" s="65">
        <v>43522.066423611112</v>
      </c>
      <c r="K70" s="65">
        <v>43523.414895833332</v>
      </c>
      <c r="L70" s="64" t="s">
        <v>260</v>
      </c>
      <c r="M70" s="64" t="s">
        <v>29</v>
      </c>
    </row>
    <row r="71" spans="1:13" ht="409.5" x14ac:dyDescent="0.25">
      <c r="A71" s="64" t="s">
        <v>52</v>
      </c>
      <c r="B71" s="64" t="s">
        <v>12</v>
      </c>
      <c r="C71" s="64" t="s">
        <v>258</v>
      </c>
      <c r="D71" s="64" t="s">
        <v>25</v>
      </c>
      <c r="E71" s="64" t="s">
        <v>352</v>
      </c>
      <c r="F71" s="64" t="s">
        <v>16</v>
      </c>
      <c r="G71" s="64" t="s">
        <v>26</v>
      </c>
      <c r="H71" s="64" t="s">
        <v>37</v>
      </c>
      <c r="I71" s="65">
        <v>43522.804097222222</v>
      </c>
      <c r="J71" s="65">
        <v>43523.413182870368</v>
      </c>
      <c r="K71" s="65">
        <v>43560.448738425926</v>
      </c>
      <c r="L71" s="64" t="s">
        <v>53</v>
      </c>
      <c r="M71" s="64" t="s">
        <v>29</v>
      </c>
    </row>
    <row r="72" spans="1:13" ht="409.5" x14ac:dyDescent="0.25">
      <c r="A72" s="64" t="s">
        <v>119</v>
      </c>
      <c r="B72" s="64" t="s">
        <v>12</v>
      </c>
      <c r="C72" s="64" t="s">
        <v>258</v>
      </c>
      <c r="D72" s="64" t="s">
        <v>25</v>
      </c>
      <c r="E72" s="64" t="s">
        <v>353</v>
      </c>
      <c r="F72" s="64" t="s">
        <v>16</v>
      </c>
      <c r="G72" s="64" t="s">
        <v>26</v>
      </c>
      <c r="H72" s="64" t="s">
        <v>37</v>
      </c>
      <c r="I72" s="65">
        <v>43523.791620370372</v>
      </c>
      <c r="J72" s="65">
        <v>43524.391145833331</v>
      </c>
      <c r="K72" s="65">
        <v>43560.44804398148</v>
      </c>
      <c r="L72" s="64" t="s">
        <v>120</v>
      </c>
      <c r="M72" s="64" t="s">
        <v>29</v>
      </c>
    </row>
    <row r="73" spans="1:13" ht="409.5" x14ac:dyDescent="0.25">
      <c r="A73" s="64" t="s">
        <v>74</v>
      </c>
      <c r="B73" s="64" t="s">
        <v>12</v>
      </c>
      <c r="C73" s="64" t="s">
        <v>258</v>
      </c>
      <c r="D73" s="64" t="s">
        <v>25</v>
      </c>
      <c r="E73" s="64" t="s">
        <v>294</v>
      </c>
      <c r="F73" s="64" t="s">
        <v>16</v>
      </c>
      <c r="G73" s="64" t="s">
        <v>26</v>
      </c>
      <c r="H73" s="64" t="s">
        <v>37</v>
      </c>
      <c r="I73" s="65">
        <v>43524.49728009259</v>
      </c>
      <c r="J73" s="65">
        <v>43524.590451388889</v>
      </c>
      <c r="K73" s="65">
        <v>43560.450833333336</v>
      </c>
      <c r="L73" s="64" t="s">
        <v>75</v>
      </c>
      <c r="M73" s="64" t="s">
        <v>29</v>
      </c>
    </row>
    <row r="74" spans="1:13" ht="409.5" x14ac:dyDescent="0.25">
      <c r="A74" s="64" t="s">
        <v>36</v>
      </c>
      <c r="B74" s="64" t="s">
        <v>12</v>
      </c>
      <c r="C74" s="64" t="s">
        <v>258</v>
      </c>
      <c r="D74" s="64" t="s">
        <v>25</v>
      </c>
      <c r="E74" s="64" t="s">
        <v>294</v>
      </c>
      <c r="F74" s="64" t="s">
        <v>16</v>
      </c>
      <c r="G74" s="64" t="s">
        <v>26</v>
      </c>
      <c r="H74" s="64" t="s">
        <v>37</v>
      </c>
      <c r="I74" s="65">
        <v>43525.871087962965</v>
      </c>
      <c r="J74" s="65">
        <v>43525.875474537039</v>
      </c>
      <c r="K74" s="65">
        <v>43580.486064814817</v>
      </c>
      <c r="L74" s="64" t="s">
        <v>38</v>
      </c>
      <c r="M74" s="64" t="s">
        <v>29</v>
      </c>
    </row>
    <row r="75" spans="1:13" ht="409.5" x14ac:dyDescent="0.25">
      <c r="A75" s="64" t="s">
        <v>157</v>
      </c>
      <c r="B75" s="64" t="s">
        <v>12</v>
      </c>
      <c r="C75" s="64" t="s">
        <v>13</v>
      </c>
      <c r="D75" s="64" t="s">
        <v>25</v>
      </c>
      <c r="E75" s="64" t="s">
        <v>48</v>
      </c>
      <c r="F75" s="64" t="s">
        <v>16</v>
      </c>
      <c r="G75" s="64" t="s">
        <v>26</v>
      </c>
      <c r="H75" s="64" t="s">
        <v>37</v>
      </c>
      <c r="I75" s="65">
        <v>43527.050358796296</v>
      </c>
      <c r="J75" s="65">
        <v>43527.050868055558</v>
      </c>
      <c r="K75" s="65"/>
      <c r="L75" s="64" t="s">
        <v>158</v>
      </c>
      <c r="M75" s="64" t="s">
        <v>29</v>
      </c>
    </row>
    <row r="76" spans="1:13" ht="390" x14ac:dyDescent="0.25">
      <c r="A76" s="64" t="s">
        <v>107</v>
      </c>
      <c r="B76" s="64" t="s">
        <v>12</v>
      </c>
      <c r="C76" s="64" t="s">
        <v>13</v>
      </c>
      <c r="D76" s="64" t="s">
        <v>25</v>
      </c>
      <c r="E76" s="64" t="s">
        <v>48</v>
      </c>
      <c r="F76" s="64" t="s">
        <v>16</v>
      </c>
      <c r="G76" s="64" t="s">
        <v>26</v>
      </c>
      <c r="H76" s="64" t="s">
        <v>37</v>
      </c>
      <c r="I76" s="65">
        <v>43526.419050925928</v>
      </c>
      <c r="J76" s="65">
        <v>43528.407592592594</v>
      </c>
      <c r="K76" s="65"/>
      <c r="L76" s="64" t="s">
        <v>108</v>
      </c>
      <c r="M76" s="64" t="s">
        <v>29</v>
      </c>
    </row>
    <row r="77" spans="1:13" ht="409.5" x14ac:dyDescent="0.25">
      <c r="A77" s="64" t="s">
        <v>139</v>
      </c>
      <c r="B77" s="64" t="s">
        <v>12</v>
      </c>
      <c r="C77" s="64" t="s">
        <v>13</v>
      </c>
      <c r="D77" s="64" t="s">
        <v>25</v>
      </c>
      <c r="E77" s="64" t="s">
        <v>48</v>
      </c>
      <c r="F77" s="64" t="s">
        <v>16</v>
      </c>
      <c r="G77" s="64" t="s">
        <v>26</v>
      </c>
      <c r="H77" s="64" t="s">
        <v>37</v>
      </c>
      <c r="I77" s="65">
        <v>43528.506666666668</v>
      </c>
      <c r="J77" s="65">
        <v>43528.572002314817</v>
      </c>
      <c r="K77" s="65"/>
      <c r="L77" s="64" t="s">
        <v>120</v>
      </c>
      <c r="M77" s="64" t="s">
        <v>29</v>
      </c>
    </row>
    <row r="78" spans="1:13" ht="409.5" x14ac:dyDescent="0.25">
      <c r="A78" s="64" t="s">
        <v>112</v>
      </c>
      <c r="B78" s="64" t="s">
        <v>12</v>
      </c>
      <c r="C78" s="64" t="s">
        <v>258</v>
      </c>
      <c r="D78" s="64" t="s">
        <v>25</v>
      </c>
      <c r="E78" s="64" t="s">
        <v>366</v>
      </c>
      <c r="F78" s="64" t="s">
        <v>16</v>
      </c>
      <c r="G78" s="64" t="s">
        <v>26</v>
      </c>
      <c r="H78" s="64" t="s">
        <v>37</v>
      </c>
      <c r="I78" s="65">
        <v>43528.8675</v>
      </c>
      <c r="J78" s="65">
        <v>43529.415844907409</v>
      </c>
      <c r="K78" s="65">
        <v>43580.490486111114</v>
      </c>
      <c r="L78" s="64" t="s">
        <v>38</v>
      </c>
      <c r="M78" s="64" t="s">
        <v>29</v>
      </c>
    </row>
    <row r="79" spans="1:13" ht="345" x14ac:dyDescent="0.25">
      <c r="A79" s="64" t="s">
        <v>262</v>
      </c>
      <c r="B79" s="64" t="s">
        <v>12</v>
      </c>
      <c r="C79" s="64" t="s">
        <v>258</v>
      </c>
      <c r="D79" s="64" t="s">
        <v>176</v>
      </c>
      <c r="E79" s="64" t="s">
        <v>259</v>
      </c>
      <c r="F79" s="64" t="s">
        <v>16</v>
      </c>
      <c r="G79" s="64" t="s">
        <v>168</v>
      </c>
      <c r="H79" s="64" t="s">
        <v>37</v>
      </c>
      <c r="I79" s="65">
        <v>43526.064270833333</v>
      </c>
      <c r="J79" s="65">
        <v>43529.650625000002</v>
      </c>
      <c r="K79" s="65">
        <v>43544.596307870372</v>
      </c>
      <c r="L79" s="64" t="s">
        <v>263</v>
      </c>
      <c r="M79" s="64" t="s">
        <v>29</v>
      </c>
    </row>
    <row r="80" spans="1:13" ht="409.5" x14ac:dyDescent="0.25">
      <c r="A80" s="64" t="s">
        <v>47</v>
      </c>
      <c r="B80" s="64" t="s">
        <v>12</v>
      </c>
      <c r="C80" s="64" t="s">
        <v>13</v>
      </c>
      <c r="D80" s="64" t="s">
        <v>25</v>
      </c>
      <c r="E80" s="64" t="s">
        <v>48</v>
      </c>
      <c r="F80" s="64" t="s">
        <v>16</v>
      </c>
      <c r="G80" s="64" t="s">
        <v>26</v>
      </c>
      <c r="H80" s="64" t="s">
        <v>37</v>
      </c>
      <c r="I80" s="65">
        <v>43529.7112037037</v>
      </c>
      <c r="J80" s="65">
        <v>43529.719988425924</v>
      </c>
      <c r="K80" s="65"/>
      <c r="L80" s="64" t="s">
        <v>49</v>
      </c>
      <c r="M80" s="64" t="s">
        <v>29</v>
      </c>
    </row>
    <row r="81" spans="1:13" ht="390" x14ac:dyDescent="0.25">
      <c r="A81" s="64" t="s">
        <v>123</v>
      </c>
      <c r="B81" s="64" t="s">
        <v>12</v>
      </c>
      <c r="C81" s="64" t="s">
        <v>13</v>
      </c>
      <c r="D81" s="64" t="s">
        <v>25</v>
      </c>
      <c r="E81" s="64" t="s">
        <v>48</v>
      </c>
      <c r="F81" s="64" t="s">
        <v>16</v>
      </c>
      <c r="G81" s="64" t="s">
        <v>26</v>
      </c>
      <c r="H81" s="64" t="s">
        <v>37</v>
      </c>
      <c r="I81" s="65">
        <v>43529.761759259258</v>
      </c>
      <c r="J81" s="65">
        <v>43529.769004629627</v>
      </c>
      <c r="K81" s="65"/>
      <c r="L81" s="64" t="s">
        <v>93</v>
      </c>
      <c r="M81" s="64" t="s">
        <v>29</v>
      </c>
    </row>
    <row r="82" spans="1:13" ht="409.5" x14ac:dyDescent="0.25">
      <c r="A82" s="64" t="s">
        <v>61</v>
      </c>
      <c r="B82" s="64" t="s">
        <v>12</v>
      </c>
      <c r="C82" s="64" t="s">
        <v>13</v>
      </c>
      <c r="D82" s="64" t="s">
        <v>25</v>
      </c>
      <c r="E82" s="64" t="s">
        <v>15</v>
      </c>
      <c r="F82" s="64" t="s">
        <v>16</v>
      </c>
      <c r="G82" s="64" t="s">
        <v>26</v>
      </c>
      <c r="H82" s="64" t="s">
        <v>37</v>
      </c>
      <c r="I82" s="65">
        <v>43534.537858796299</v>
      </c>
      <c r="J82" s="65">
        <v>43535.429895833331</v>
      </c>
      <c r="K82" s="65"/>
      <c r="L82" s="64" t="s">
        <v>49</v>
      </c>
      <c r="M82" s="64" t="s">
        <v>29</v>
      </c>
    </row>
    <row r="83" spans="1:13" ht="390" x14ac:dyDescent="0.25">
      <c r="A83" s="64" t="s">
        <v>80</v>
      </c>
      <c r="B83" s="64" t="s">
        <v>12</v>
      </c>
      <c r="C83" s="64" t="s">
        <v>13</v>
      </c>
      <c r="D83" s="64" t="s">
        <v>25</v>
      </c>
      <c r="E83" s="64" t="s">
        <v>15</v>
      </c>
      <c r="F83" s="64" t="s">
        <v>16</v>
      </c>
      <c r="G83" s="64" t="s">
        <v>26</v>
      </c>
      <c r="H83" s="64" t="s">
        <v>37</v>
      </c>
      <c r="I83" s="65">
        <v>43535.431574074071</v>
      </c>
      <c r="J83" s="65">
        <v>43535.440312500003</v>
      </c>
      <c r="K83" s="65"/>
      <c r="L83" s="64" t="s">
        <v>58</v>
      </c>
      <c r="M83" s="64" t="s">
        <v>29</v>
      </c>
    </row>
    <row r="84" spans="1:13" ht="409.5" x14ac:dyDescent="0.25">
      <c r="A84" s="64" t="s">
        <v>156</v>
      </c>
      <c r="B84" s="64" t="s">
        <v>12</v>
      </c>
      <c r="C84" s="64" t="s">
        <v>13</v>
      </c>
      <c r="D84" s="64" t="s">
        <v>25</v>
      </c>
      <c r="E84" s="64" t="s">
        <v>15</v>
      </c>
      <c r="F84" s="64" t="s">
        <v>16</v>
      </c>
      <c r="G84" s="64" t="s">
        <v>26</v>
      </c>
      <c r="H84" s="64" t="s">
        <v>37</v>
      </c>
      <c r="I84" s="65">
        <v>43537.487523148149</v>
      </c>
      <c r="J84" s="65">
        <v>43537.633842592593</v>
      </c>
      <c r="K84" s="65"/>
      <c r="L84" s="64" t="s">
        <v>136</v>
      </c>
      <c r="M84" s="64" t="s">
        <v>29</v>
      </c>
    </row>
    <row r="85" spans="1:13" ht="409.5" x14ac:dyDescent="0.25">
      <c r="A85" s="64" t="s">
        <v>135</v>
      </c>
      <c r="B85" s="64" t="s">
        <v>12</v>
      </c>
      <c r="C85" s="64" t="s">
        <v>13</v>
      </c>
      <c r="D85" s="64" t="s">
        <v>25</v>
      </c>
      <c r="E85" s="64" t="s">
        <v>15</v>
      </c>
      <c r="F85" s="64" t="s">
        <v>16</v>
      </c>
      <c r="G85" s="64" t="s">
        <v>26</v>
      </c>
      <c r="H85" s="64" t="s">
        <v>37</v>
      </c>
      <c r="I85" s="65">
        <v>43537.487523148149</v>
      </c>
      <c r="J85" s="65">
        <v>43537.634652777779</v>
      </c>
      <c r="K85" s="65"/>
      <c r="L85" s="64" t="s">
        <v>136</v>
      </c>
      <c r="M85" s="64" t="s">
        <v>29</v>
      </c>
    </row>
    <row r="86" spans="1:13" ht="360" x14ac:dyDescent="0.25">
      <c r="A86" s="64" t="s">
        <v>50</v>
      </c>
      <c r="B86" s="64" t="s">
        <v>12</v>
      </c>
      <c r="C86" s="64" t="s">
        <v>258</v>
      </c>
      <c r="D86" s="64" t="s">
        <v>25</v>
      </c>
      <c r="E86" s="64" t="s">
        <v>294</v>
      </c>
      <c r="F86" s="64" t="s">
        <v>16</v>
      </c>
      <c r="G86" s="64" t="s">
        <v>26</v>
      </c>
      <c r="H86" s="64" t="s">
        <v>37</v>
      </c>
      <c r="I86" s="65">
        <v>43537.530381944445</v>
      </c>
      <c r="J86" s="65">
        <v>43537.637962962966</v>
      </c>
      <c r="K86" s="65">
        <v>43573.70349537037</v>
      </c>
      <c r="L86" s="64" t="s">
        <v>51</v>
      </c>
      <c r="M86" s="64" t="s">
        <v>29</v>
      </c>
    </row>
    <row r="87" spans="1:13" ht="360" x14ac:dyDescent="0.25">
      <c r="A87" s="64" t="s">
        <v>128</v>
      </c>
      <c r="B87" s="64" t="s">
        <v>12</v>
      </c>
      <c r="C87" s="64" t="s">
        <v>258</v>
      </c>
      <c r="D87" s="64" t="s">
        <v>25</v>
      </c>
      <c r="E87" s="64" t="s">
        <v>294</v>
      </c>
      <c r="F87" s="64" t="s">
        <v>16</v>
      </c>
      <c r="G87" s="64" t="s">
        <v>26</v>
      </c>
      <c r="H87" s="64" t="s">
        <v>37</v>
      </c>
      <c r="I87" s="65">
        <v>43537.531666666669</v>
      </c>
      <c r="J87" s="65">
        <v>43537.638599537036</v>
      </c>
      <c r="K87" s="65">
        <v>43573.704479166663</v>
      </c>
      <c r="L87" s="64" t="s">
        <v>51</v>
      </c>
      <c r="M87" s="64" t="s">
        <v>29</v>
      </c>
    </row>
    <row r="88" spans="1:13" ht="390" x14ac:dyDescent="0.25">
      <c r="A88" s="64" t="s">
        <v>57</v>
      </c>
      <c r="B88" s="64" t="s">
        <v>12</v>
      </c>
      <c r="C88" s="64" t="s">
        <v>13</v>
      </c>
      <c r="D88" s="64" t="s">
        <v>25</v>
      </c>
      <c r="E88" s="64" t="s">
        <v>15</v>
      </c>
      <c r="F88" s="64" t="s">
        <v>16</v>
      </c>
      <c r="G88" s="64" t="s">
        <v>26</v>
      </c>
      <c r="H88" s="64" t="s">
        <v>37</v>
      </c>
      <c r="I88" s="65">
        <v>43537.688148148147</v>
      </c>
      <c r="J88" s="65">
        <v>43537.693252314813</v>
      </c>
      <c r="K88" s="65"/>
      <c r="L88" s="64" t="s">
        <v>58</v>
      </c>
      <c r="M88" s="64" t="s">
        <v>29</v>
      </c>
    </row>
    <row r="89" spans="1:13" ht="360" x14ac:dyDescent="0.25">
      <c r="A89" s="64" t="s">
        <v>96</v>
      </c>
      <c r="B89" s="64" t="s">
        <v>12</v>
      </c>
      <c r="C89" s="64" t="s">
        <v>258</v>
      </c>
      <c r="D89" s="64" t="s">
        <v>25</v>
      </c>
      <c r="E89" s="64" t="s">
        <v>294</v>
      </c>
      <c r="F89" s="64" t="s">
        <v>16</v>
      </c>
      <c r="G89" s="64" t="s">
        <v>26</v>
      </c>
      <c r="H89" s="64" t="s">
        <v>37</v>
      </c>
      <c r="I89" s="65">
        <v>43537.772893518515</v>
      </c>
      <c r="J89" s="65">
        <v>43538.375833333332</v>
      </c>
      <c r="K89" s="65">
        <v>43573.705358796295</v>
      </c>
      <c r="L89" s="64" t="s">
        <v>97</v>
      </c>
      <c r="M89" s="64" t="s">
        <v>29</v>
      </c>
    </row>
    <row r="90" spans="1:13" ht="409.5" x14ac:dyDescent="0.25">
      <c r="A90" s="64" t="s">
        <v>83</v>
      </c>
      <c r="B90" s="64" t="s">
        <v>12</v>
      </c>
      <c r="C90" s="64" t="s">
        <v>258</v>
      </c>
      <c r="D90" s="64" t="s">
        <v>25</v>
      </c>
      <c r="E90" s="64" t="s">
        <v>294</v>
      </c>
      <c r="F90" s="64" t="s">
        <v>16</v>
      </c>
      <c r="G90" s="64" t="s">
        <v>26</v>
      </c>
      <c r="H90" s="64" t="s">
        <v>37</v>
      </c>
      <c r="I90" s="65">
        <v>43538.266122685185</v>
      </c>
      <c r="J90" s="65">
        <v>43538.377800925926</v>
      </c>
      <c r="K90" s="65">
        <v>43573.707141203704</v>
      </c>
      <c r="L90" s="64" t="s">
        <v>71</v>
      </c>
      <c r="M90" s="64" t="s">
        <v>29</v>
      </c>
    </row>
    <row r="91" spans="1:13" ht="409.5" x14ac:dyDescent="0.25">
      <c r="A91" s="64" t="s">
        <v>70</v>
      </c>
      <c r="B91" s="64" t="s">
        <v>12</v>
      </c>
      <c r="C91" s="64" t="s">
        <v>13</v>
      </c>
      <c r="D91" s="64" t="s">
        <v>25</v>
      </c>
      <c r="E91" s="64" t="s">
        <v>15</v>
      </c>
      <c r="F91" s="64" t="s">
        <v>16</v>
      </c>
      <c r="G91" s="64" t="s">
        <v>26</v>
      </c>
      <c r="H91" s="64" t="s">
        <v>37</v>
      </c>
      <c r="I91" s="65">
        <v>43538.266388888886</v>
      </c>
      <c r="J91" s="65">
        <v>43538.380752314813</v>
      </c>
      <c r="K91" s="65"/>
      <c r="L91" s="64" t="s">
        <v>71</v>
      </c>
      <c r="M91" s="64" t="s">
        <v>29</v>
      </c>
    </row>
    <row r="92" spans="1:13" ht="390" x14ac:dyDescent="0.25">
      <c r="A92" s="64" t="s">
        <v>88</v>
      </c>
      <c r="B92" s="64" t="s">
        <v>12</v>
      </c>
      <c r="C92" s="64" t="s">
        <v>13</v>
      </c>
      <c r="D92" s="64" t="s">
        <v>25</v>
      </c>
      <c r="E92" s="64" t="s">
        <v>15</v>
      </c>
      <c r="F92" s="64" t="s">
        <v>16</v>
      </c>
      <c r="G92" s="64" t="s">
        <v>26</v>
      </c>
      <c r="H92" s="64" t="s">
        <v>37</v>
      </c>
      <c r="I92" s="65">
        <v>43538.284733796296</v>
      </c>
      <c r="J92" s="65">
        <v>43538.383414351854</v>
      </c>
      <c r="K92" s="65"/>
      <c r="L92" s="64" t="s">
        <v>89</v>
      </c>
      <c r="M92" s="64" t="s">
        <v>29</v>
      </c>
    </row>
    <row r="93" spans="1:13" ht="409.5" x14ac:dyDescent="0.25">
      <c r="A93" s="64" t="s">
        <v>56</v>
      </c>
      <c r="B93" s="64" t="s">
        <v>12</v>
      </c>
      <c r="C93" s="64" t="s">
        <v>13</v>
      </c>
      <c r="D93" s="64" t="s">
        <v>25</v>
      </c>
      <c r="E93" s="64" t="s">
        <v>15</v>
      </c>
      <c r="F93" s="64" t="s">
        <v>16</v>
      </c>
      <c r="G93" s="64" t="s">
        <v>26</v>
      </c>
      <c r="H93" s="64" t="s">
        <v>37</v>
      </c>
      <c r="I93" s="65">
        <v>43539.840300925927</v>
      </c>
      <c r="J93" s="65">
        <v>43542.426076388889</v>
      </c>
      <c r="K93" s="65"/>
      <c r="L93" s="64" t="s">
        <v>49</v>
      </c>
      <c r="M93" s="64" t="s">
        <v>29</v>
      </c>
    </row>
    <row r="94" spans="1:13" ht="409.5" x14ac:dyDescent="0.25">
      <c r="A94" s="64" t="s">
        <v>170</v>
      </c>
      <c r="B94" s="64" t="s">
        <v>12</v>
      </c>
      <c r="C94" s="64" t="s">
        <v>258</v>
      </c>
      <c r="D94" s="64" t="s">
        <v>25</v>
      </c>
      <c r="E94" s="64" t="s">
        <v>259</v>
      </c>
      <c r="F94" s="64" t="s">
        <v>16</v>
      </c>
      <c r="G94" s="64" t="s">
        <v>168</v>
      </c>
      <c r="H94" s="64" t="s">
        <v>37</v>
      </c>
      <c r="I94" s="65">
        <v>43541.059641203705</v>
      </c>
      <c r="J94" s="65">
        <v>43542.457442129627</v>
      </c>
      <c r="K94" s="65">
        <v>43559.759236111109</v>
      </c>
      <c r="L94" s="64" t="s">
        <v>172</v>
      </c>
      <c r="M94" s="64" t="s">
        <v>29</v>
      </c>
    </row>
    <row r="95" spans="1:13" ht="390" x14ac:dyDescent="0.25">
      <c r="A95" s="64" t="s">
        <v>92</v>
      </c>
      <c r="B95" s="64" t="s">
        <v>12</v>
      </c>
      <c r="C95" s="64" t="s">
        <v>13</v>
      </c>
      <c r="D95" s="64" t="s">
        <v>25</v>
      </c>
      <c r="E95" s="64" t="s">
        <v>48</v>
      </c>
      <c r="F95" s="64" t="s">
        <v>16</v>
      </c>
      <c r="G95" s="64" t="s">
        <v>26</v>
      </c>
      <c r="H95" s="64" t="s">
        <v>37</v>
      </c>
      <c r="I95" s="65">
        <v>43542.786145833335</v>
      </c>
      <c r="J95" s="65">
        <v>43543.568668981483</v>
      </c>
      <c r="K95" s="65"/>
      <c r="L95" s="64" t="s">
        <v>93</v>
      </c>
      <c r="M95" s="64" t="s">
        <v>29</v>
      </c>
    </row>
    <row r="96" spans="1:13" ht="345" x14ac:dyDescent="0.25">
      <c r="A96" s="64" t="s">
        <v>264</v>
      </c>
      <c r="B96" s="64" t="s">
        <v>12</v>
      </c>
      <c r="C96" s="64" t="s">
        <v>258</v>
      </c>
      <c r="D96" s="64" t="s">
        <v>176</v>
      </c>
      <c r="E96" s="64" t="s">
        <v>259</v>
      </c>
      <c r="F96" s="64" t="s">
        <v>16</v>
      </c>
      <c r="G96" s="64" t="s">
        <v>168</v>
      </c>
      <c r="H96" s="64" t="s">
        <v>37</v>
      </c>
      <c r="I96" s="65">
        <v>43543.063981481479</v>
      </c>
      <c r="J96" s="65">
        <v>43543.713865740741</v>
      </c>
      <c r="K96" s="65">
        <v>43544.702916666669</v>
      </c>
      <c r="L96" s="64" t="s">
        <v>265</v>
      </c>
      <c r="M96" s="64" t="s">
        <v>29</v>
      </c>
    </row>
    <row r="97" spans="1:13" ht="360" x14ac:dyDescent="0.25">
      <c r="A97" s="64" t="s">
        <v>197</v>
      </c>
      <c r="B97" s="64" t="s">
        <v>198</v>
      </c>
      <c r="C97" s="64" t="s">
        <v>258</v>
      </c>
      <c r="D97" s="64" t="s">
        <v>192</v>
      </c>
      <c r="E97" s="64" t="s">
        <v>199</v>
      </c>
      <c r="F97" s="64" t="s">
        <v>16</v>
      </c>
      <c r="G97" s="64" t="s">
        <v>193</v>
      </c>
      <c r="H97" s="64" t="s">
        <v>192</v>
      </c>
      <c r="I97" s="65">
        <v>43516.412847222222</v>
      </c>
      <c r="J97" s="65">
        <v>43544.62400462963</v>
      </c>
      <c r="K97" s="65">
        <v>43564.699502314812</v>
      </c>
      <c r="L97" s="64" t="s">
        <v>200</v>
      </c>
      <c r="M97" s="64" t="s">
        <v>29</v>
      </c>
    </row>
    <row r="98" spans="1:13" ht="409.5" x14ac:dyDescent="0.25">
      <c r="A98" s="64" t="s">
        <v>131</v>
      </c>
      <c r="B98" s="64" t="s">
        <v>12</v>
      </c>
      <c r="C98" s="64" t="s">
        <v>13</v>
      </c>
      <c r="D98" s="64" t="s">
        <v>25</v>
      </c>
      <c r="E98" s="64" t="s">
        <v>15</v>
      </c>
      <c r="F98" s="64" t="s">
        <v>16</v>
      </c>
      <c r="G98" s="64" t="s">
        <v>26</v>
      </c>
      <c r="H98" s="64" t="s">
        <v>37</v>
      </c>
      <c r="I98" s="65">
        <v>43543.965254629627</v>
      </c>
      <c r="J98" s="65">
        <v>43544.421886574077</v>
      </c>
      <c r="K98" s="65"/>
      <c r="L98" s="64" t="s">
        <v>132</v>
      </c>
      <c r="M98" s="64" t="s">
        <v>29</v>
      </c>
    </row>
    <row r="99" spans="1:13" ht="409.5" x14ac:dyDescent="0.25">
      <c r="A99" s="64" t="s">
        <v>152</v>
      </c>
      <c r="B99" s="64" t="s">
        <v>12</v>
      </c>
      <c r="C99" s="64" t="s">
        <v>13</v>
      </c>
      <c r="D99" s="64" t="s">
        <v>25</v>
      </c>
      <c r="E99" s="64" t="s">
        <v>15</v>
      </c>
      <c r="F99" s="64" t="s">
        <v>16</v>
      </c>
      <c r="G99" s="64" t="s">
        <v>26</v>
      </c>
      <c r="H99" s="64" t="s">
        <v>37</v>
      </c>
      <c r="I99" s="65">
        <v>43544.507395833331</v>
      </c>
      <c r="J99" s="65">
        <v>43544.569837962961</v>
      </c>
      <c r="K99" s="65"/>
      <c r="L99" s="64" t="s">
        <v>153</v>
      </c>
      <c r="M99" s="64" t="s">
        <v>29</v>
      </c>
    </row>
    <row r="100" spans="1:13" ht="409.5" x14ac:dyDescent="0.25">
      <c r="A100" s="64" t="s">
        <v>167</v>
      </c>
      <c r="B100" s="64" t="s">
        <v>12</v>
      </c>
      <c r="C100" s="64" t="s">
        <v>258</v>
      </c>
      <c r="D100" s="64" t="s">
        <v>25</v>
      </c>
      <c r="E100" s="64" t="s">
        <v>259</v>
      </c>
      <c r="F100" s="64" t="s">
        <v>16</v>
      </c>
      <c r="G100" s="64" t="s">
        <v>168</v>
      </c>
      <c r="H100" s="64" t="s">
        <v>37</v>
      </c>
      <c r="I100" s="65">
        <v>43549.613981481481</v>
      </c>
      <c r="J100" s="65">
        <v>43549.614652777775</v>
      </c>
      <c r="K100" s="65">
        <v>43559.758460648147</v>
      </c>
      <c r="L100" s="64" t="s">
        <v>169</v>
      </c>
      <c r="M100" s="64" t="s">
        <v>29</v>
      </c>
    </row>
    <row r="101" spans="1:13" ht="409.5" x14ac:dyDescent="0.25">
      <c r="A101" s="64" t="s">
        <v>179</v>
      </c>
      <c r="B101" s="64" t="s">
        <v>12</v>
      </c>
      <c r="C101" s="64" t="s">
        <v>258</v>
      </c>
      <c r="D101" s="64" t="s">
        <v>25</v>
      </c>
      <c r="E101" s="64" t="s">
        <v>259</v>
      </c>
      <c r="F101" s="64" t="s">
        <v>16</v>
      </c>
      <c r="G101" s="64" t="s">
        <v>168</v>
      </c>
      <c r="H101" s="64" t="s">
        <v>37</v>
      </c>
      <c r="I101" s="65">
        <v>43549.856249999997</v>
      </c>
      <c r="J101" s="65">
        <v>43549.857164351852</v>
      </c>
      <c r="K101" s="65">
        <v>43559.756782407407</v>
      </c>
      <c r="L101" s="64" t="s">
        <v>180</v>
      </c>
      <c r="M101" s="64" t="s">
        <v>29</v>
      </c>
    </row>
    <row r="102" spans="1:13" ht="409.5" x14ac:dyDescent="0.25">
      <c r="A102" s="64" t="s">
        <v>187</v>
      </c>
      <c r="B102" s="64" t="s">
        <v>12</v>
      </c>
      <c r="C102" s="64" t="s">
        <v>258</v>
      </c>
      <c r="D102" s="64" t="s">
        <v>25</v>
      </c>
      <c r="E102" s="64" t="s">
        <v>354</v>
      </c>
      <c r="F102" s="64" t="s">
        <v>16</v>
      </c>
      <c r="G102" s="64" t="s">
        <v>168</v>
      </c>
      <c r="H102" s="64" t="s">
        <v>37</v>
      </c>
      <c r="I102" s="65">
        <v>43549.808182870373</v>
      </c>
      <c r="J102" s="65">
        <v>43550.514421296299</v>
      </c>
      <c r="K102" s="65">
        <v>43558.401909722219</v>
      </c>
      <c r="L102" s="64" t="s">
        <v>188</v>
      </c>
      <c r="M102" s="64" t="s">
        <v>29</v>
      </c>
    </row>
    <row r="103" spans="1:13" ht="409.5" x14ac:dyDescent="0.25">
      <c r="A103" s="64" t="s">
        <v>173</v>
      </c>
      <c r="B103" s="64" t="s">
        <v>12</v>
      </c>
      <c r="C103" s="64" t="s">
        <v>258</v>
      </c>
      <c r="D103" s="64" t="s">
        <v>25</v>
      </c>
      <c r="E103" s="64" t="s">
        <v>259</v>
      </c>
      <c r="F103" s="64" t="s">
        <v>16</v>
      </c>
      <c r="G103" s="64" t="s">
        <v>168</v>
      </c>
      <c r="H103" s="64" t="s">
        <v>37</v>
      </c>
      <c r="I103" s="65">
        <v>43550.808900462966</v>
      </c>
      <c r="J103" s="65">
        <v>43550.811793981484</v>
      </c>
      <c r="K103" s="65">
        <v>43559.753611111111</v>
      </c>
      <c r="L103" s="64" t="s">
        <v>174</v>
      </c>
      <c r="M103" s="64" t="s">
        <v>29</v>
      </c>
    </row>
    <row r="104" spans="1:13" ht="409.5" x14ac:dyDescent="0.25">
      <c r="A104" s="64" t="s">
        <v>183</v>
      </c>
      <c r="B104" s="64" t="s">
        <v>12</v>
      </c>
      <c r="C104" s="64" t="s">
        <v>258</v>
      </c>
      <c r="D104" s="64" t="s">
        <v>25</v>
      </c>
      <c r="E104" s="64" t="s">
        <v>259</v>
      </c>
      <c r="F104" s="64" t="s">
        <v>16</v>
      </c>
      <c r="G104" s="64" t="s">
        <v>168</v>
      </c>
      <c r="H104" s="64" t="s">
        <v>37</v>
      </c>
      <c r="I104" s="65">
        <v>43550.851203703707</v>
      </c>
      <c r="J104" s="65">
        <v>43550.851724537039</v>
      </c>
      <c r="K104" s="65">
        <v>43559.75304398148</v>
      </c>
      <c r="L104" s="64" t="s">
        <v>184</v>
      </c>
      <c r="M104" s="64" t="s">
        <v>29</v>
      </c>
    </row>
    <row r="105" spans="1:13" ht="105" x14ac:dyDescent="0.25">
      <c r="A105" s="64" t="s">
        <v>195</v>
      </c>
      <c r="B105" s="64" t="s">
        <v>12</v>
      </c>
      <c r="C105" s="64" t="s">
        <v>289</v>
      </c>
      <c r="D105" s="64" t="s">
        <v>192</v>
      </c>
      <c r="E105" s="64" t="s">
        <v>15</v>
      </c>
      <c r="F105" s="64" t="s">
        <v>16</v>
      </c>
      <c r="G105" s="64" t="s">
        <v>193</v>
      </c>
      <c r="H105" s="64" t="s">
        <v>37</v>
      </c>
      <c r="I105" s="65">
        <v>43551.340266203704</v>
      </c>
      <c r="J105" s="65">
        <v>43551.340266203704</v>
      </c>
      <c r="K105" s="65"/>
      <c r="L105" s="64" t="s">
        <v>196</v>
      </c>
      <c r="M105" s="64" t="s">
        <v>29</v>
      </c>
    </row>
    <row r="106" spans="1:13" ht="409.5" x14ac:dyDescent="0.25">
      <c r="A106" s="64" t="s">
        <v>181</v>
      </c>
      <c r="B106" s="64" t="s">
        <v>12</v>
      </c>
      <c r="C106" s="64" t="s">
        <v>258</v>
      </c>
      <c r="D106" s="64" t="s">
        <v>25</v>
      </c>
      <c r="E106" s="64" t="s">
        <v>259</v>
      </c>
      <c r="F106" s="64" t="s">
        <v>16</v>
      </c>
      <c r="G106" s="64" t="s">
        <v>168</v>
      </c>
      <c r="H106" s="64" t="s">
        <v>37</v>
      </c>
      <c r="I106" s="65">
        <v>43552.536122685182</v>
      </c>
      <c r="J106" s="65">
        <v>43552.537060185183</v>
      </c>
      <c r="K106" s="65">
        <v>43559.752523148149</v>
      </c>
      <c r="L106" s="64" t="s">
        <v>182</v>
      </c>
      <c r="M106" s="64" t="s">
        <v>29</v>
      </c>
    </row>
    <row r="107" spans="1:13" ht="409.5" x14ac:dyDescent="0.25">
      <c r="A107" s="64" t="s">
        <v>185</v>
      </c>
      <c r="B107" s="64" t="s">
        <v>12</v>
      </c>
      <c r="C107" s="64" t="s">
        <v>258</v>
      </c>
      <c r="D107" s="64" t="s">
        <v>25</v>
      </c>
      <c r="E107" s="64" t="s">
        <v>259</v>
      </c>
      <c r="F107" s="64" t="s">
        <v>16</v>
      </c>
      <c r="G107" s="64" t="s">
        <v>168</v>
      </c>
      <c r="H107" s="64" t="s">
        <v>37</v>
      </c>
      <c r="I107" s="65">
        <v>43552.59951388889</v>
      </c>
      <c r="J107" s="65">
        <v>43552.600717592592</v>
      </c>
      <c r="K107" s="65">
        <v>43559.751666666663</v>
      </c>
      <c r="L107" s="64" t="s">
        <v>186</v>
      </c>
      <c r="M107" s="64" t="s">
        <v>29</v>
      </c>
    </row>
    <row r="108" spans="1:13" ht="409.5" x14ac:dyDescent="0.25">
      <c r="A108" s="64" t="s">
        <v>149</v>
      </c>
      <c r="B108" s="64" t="s">
        <v>12</v>
      </c>
      <c r="C108" s="64" t="s">
        <v>13</v>
      </c>
      <c r="D108" s="64" t="s">
        <v>150</v>
      </c>
      <c r="E108" s="64" t="s">
        <v>48</v>
      </c>
      <c r="F108" s="64" t="s">
        <v>16</v>
      </c>
      <c r="G108" s="64" t="s">
        <v>26</v>
      </c>
      <c r="H108" s="64" t="s">
        <v>37</v>
      </c>
      <c r="I108" s="65">
        <v>43552.763402777775</v>
      </c>
      <c r="J108" s="65">
        <v>43553.389224537037</v>
      </c>
      <c r="K108" s="65"/>
      <c r="L108" s="64" t="s">
        <v>151</v>
      </c>
      <c r="M108" s="64" t="s">
        <v>29</v>
      </c>
    </row>
    <row r="109" spans="1:13" ht="409.5" x14ac:dyDescent="0.25">
      <c r="A109" s="64" t="s">
        <v>189</v>
      </c>
      <c r="B109" s="64" t="s">
        <v>12</v>
      </c>
      <c r="C109" s="64" t="s">
        <v>258</v>
      </c>
      <c r="D109" s="64" t="s">
        <v>25</v>
      </c>
      <c r="E109" s="64" t="s">
        <v>259</v>
      </c>
      <c r="F109" s="64" t="s">
        <v>16</v>
      </c>
      <c r="G109" s="64" t="s">
        <v>168</v>
      </c>
      <c r="H109" s="64" t="s">
        <v>37</v>
      </c>
      <c r="I109" s="65">
        <v>43554.811979166669</v>
      </c>
      <c r="J109" s="65">
        <v>43554.812534722223</v>
      </c>
      <c r="K109" s="65">
        <v>43559.750092592592</v>
      </c>
      <c r="L109" s="64" t="s">
        <v>190</v>
      </c>
      <c r="M109" s="64" t="s">
        <v>29</v>
      </c>
    </row>
    <row r="110" spans="1:13" ht="409.5" x14ac:dyDescent="0.25">
      <c r="A110" s="64" t="s">
        <v>144</v>
      </c>
      <c r="B110" s="64" t="s">
        <v>12</v>
      </c>
      <c r="C110" s="64" t="s">
        <v>13</v>
      </c>
      <c r="D110" s="64" t="s">
        <v>25</v>
      </c>
      <c r="E110" s="64" t="s">
        <v>145</v>
      </c>
      <c r="F110" s="64" t="s">
        <v>16</v>
      </c>
      <c r="G110" s="64" t="s">
        <v>26</v>
      </c>
      <c r="H110" s="64" t="s">
        <v>37</v>
      </c>
      <c r="I110" s="65">
        <v>43558.261678240742</v>
      </c>
      <c r="J110" s="65">
        <v>43558.40452546296</v>
      </c>
      <c r="K110" s="65"/>
      <c r="L110" s="64" t="s">
        <v>146</v>
      </c>
      <c r="M110" s="64" t="s">
        <v>29</v>
      </c>
    </row>
    <row r="111" spans="1:13" ht="405" x14ac:dyDescent="0.25">
      <c r="A111" s="64" t="s">
        <v>285</v>
      </c>
      <c r="B111" s="64" t="s">
        <v>12</v>
      </c>
      <c r="C111" s="64" t="s">
        <v>13</v>
      </c>
      <c r="D111" s="64" t="s">
        <v>25</v>
      </c>
      <c r="E111" s="64" t="s">
        <v>113</v>
      </c>
      <c r="F111" s="64" t="s">
        <v>16</v>
      </c>
      <c r="G111" s="64" t="s">
        <v>26</v>
      </c>
      <c r="H111" s="64" t="s">
        <v>37</v>
      </c>
      <c r="I111" s="65">
        <v>43559.573530092595</v>
      </c>
      <c r="J111" s="65">
        <v>43560.592129629629</v>
      </c>
      <c r="K111" s="65"/>
      <c r="L111" s="64" t="s">
        <v>286</v>
      </c>
      <c r="M111" s="64" t="s">
        <v>29</v>
      </c>
    </row>
    <row r="112" spans="1:13" ht="345" x14ac:dyDescent="0.25">
      <c r="A112" s="64" t="s">
        <v>288</v>
      </c>
      <c r="B112" s="64" t="s">
        <v>12</v>
      </c>
      <c r="C112" s="64" t="s">
        <v>13</v>
      </c>
      <c r="D112" s="64" t="s">
        <v>25</v>
      </c>
      <c r="E112" s="64" t="s">
        <v>48</v>
      </c>
      <c r="F112" s="64" t="s">
        <v>16</v>
      </c>
      <c r="G112" s="64" t="s">
        <v>26</v>
      </c>
      <c r="H112" s="64" t="s">
        <v>37</v>
      </c>
      <c r="I112" s="65">
        <v>43560.608680555553</v>
      </c>
      <c r="J112" s="65">
        <v>43560.609398148146</v>
      </c>
      <c r="K112" s="65"/>
      <c r="L112" s="64" t="s">
        <v>282</v>
      </c>
      <c r="M112" s="64" t="s">
        <v>29</v>
      </c>
    </row>
    <row r="113" spans="1:13" ht="409.5" x14ac:dyDescent="0.25">
      <c r="A113" s="64" t="s">
        <v>287</v>
      </c>
      <c r="B113" s="64" t="s">
        <v>12</v>
      </c>
      <c r="C113" s="64" t="s">
        <v>13</v>
      </c>
      <c r="D113" s="64" t="s">
        <v>25</v>
      </c>
      <c r="E113" s="64" t="s">
        <v>48</v>
      </c>
      <c r="F113" s="64" t="s">
        <v>16</v>
      </c>
      <c r="G113" s="64" t="s">
        <v>26</v>
      </c>
      <c r="H113" s="64" t="s">
        <v>37</v>
      </c>
      <c r="I113" s="65">
        <v>43560.641469907408</v>
      </c>
      <c r="J113" s="65">
        <v>43560.643136574072</v>
      </c>
      <c r="K113" s="65"/>
      <c r="L113" s="64" t="s">
        <v>153</v>
      </c>
      <c r="M113" s="64" t="s">
        <v>29</v>
      </c>
    </row>
    <row r="114" spans="1:13" ht="345" x14ac:dyDescent="0.25">
      <c r="A114" s="64" t="s">
        <v>281</v>
      </c>
      <c r="B114" s="64" t="s">
        <v>12</v>
      </c>
      <c r="C114" s="64" t="s">
        <v>13</v>
      </c>
      <c r="D114" s="64" t="s">
        <v>25</v>
      </c>
      <c r="E114" s="64" t="s">
        <v>48</v>
      </c>
      <c r="F114" s="64" t="s">
        <v>16</v>
      </c>
      <c r="G114" s="64" t="s">
        <v>26</v>
      </c>
      <c r="H114" s="64" t="s">
        <v>37</v>
      </c>
      <c r="I114" s="65">
        <v>43560.714062500003</v>
      </c>
      <c r="J114" s="65">
        <v>43560.715497685182</v>
      </c>
      <c r="K114" s="65"/>
      <c r="L114" s="64" t="s">
        <v>282</v>
      </c>
      <c r="M114" s="64" t="s">
        <v>29</v>
      </c>
    </row>
    <row r="115" spans="1:13" ht="409.5" x14ac:dyDescent="0.25">
      <c r="A115" s="64" t="s">
        <v>283</v>
      </c>
      <c r="B115" s="64" t="s">
        <v>12</v>
      </c>
      <c r="C115" s="64" t="s">
        <v>13</v>
      </c>
      <c r="D115" s="64" t="s">
        <v>25</v>
      </c>
      <c r="E115" s="64" t="s">
        <v>48</v>
      </c>
      <c r="F115" s="64" t="s">
        <v>16</v>
      </c>
      <c r="G115" s="64" t="s">
        <v>26</v>
      </c>
      <c r="H115" s="64" t="s">
        <v>37</v>
      </c>
      <c r="I115" s="65">
        <v>43560.81422453704</v>
      </c>
      <c r="J115" s="65">
        <v>43560.818310185183</v>
      </c>
      <c r="K115" s="65"/>
      <c r="L115" s="64" t="s">
        <v>284</v>
      </c>
      <c r="M115" s="64" t="s">
        <v>29</v>
      </c>
    </row>
    <row r="116" spans="1:13" ht="345" x14ac:dyDescent="0.25">
      <c r="A116" s="64" t="s">
        <v>299</v>
      </c>
      <c r="B116" s="64" t="s">
        <v>12</v>
      </c>
      <c r="C116" s="64" t="s">
        <v>13</v>
      </c>
      <c r="D116" s="64" t="s">
        <v>25</v>
      </c>
      <c r="E116" s="64" t="s">
        <v>48</v>
      </c>
      <c r="F116" s="64" t="s">
        <v>16</v>
      </c>
      <c r="G116" s="64" t="s">
        <v>26</v>
      </c>
      <c r="H116" s="64" t="s">
        <v>37</v>
      </c>
      <c r="I116" s="65">
        <v>43565.787708333337</v>
      </c>
      <c r="J116" s="65">
        <v>43566.437893518516</v>
      </c>
      <c r="K116" s="65"/>
      <c r="L116" s="64" t="s">
        <v>282</v>
      </c>
      <c r="M116" s="64" t="s">
        <v>29</v>
      </c>
    </row>
    <row r="117" spans="1:13" ht="345" x14ac:dyDescent="0.25">
      <c r="A117" s="64" t="s">
        <v>300</v>
      </c>
      <c r="B117" s="64" t="s">
        <v>12</v>
      </c>
      <c r="C117" s="64" t="s">
        <v>13</v>
      </c>
      <c r="D117" s="64" t="s">
        <v>25</v>
      </c>
      <c r="E117" s="64" t="s">
        <v>48</v>
      </c>
      <c r="F117" s="64" t="s">
        <v>16</v>
      </c>
      <c r="G117" s="64" t="s">
        <v>26</v>
      </c>
      <c r="H117" s="64" t="s">
        <v>37</v>
      </c>
      <c r="I117" s="65">
        <v>43565.983124999999</v>
      </c>
      <c r="J117" s="65">
        <v>43566.438298611109</v>
      </c>
      <c r="K117" s="65"/>
      <c r="L117" s="64" t="s">
        <v>282</v>
      </c>
      <c r="M117" s="64" t="s">
        <v>29</v>
      </c>
    </row>
    <row r="118" spans="1:13" ht="360" x14ac:dyDescent="0.25">
      <c r="A118" s="64" t="s">
        <v>308</v>
      </c>
      <c r="B118" s="64" t="s">
        <v>12</v>
      </c>
      <c r="C118" s="64" t="s">
        <v>13</v>
      </c>
      <c r="D118" s="64" t="s">
        <v>25</v>
      </c>
      <c r="E118" s="64" t="s">
        <v>48</v>
      </c>
      <c r="F118" s="64" t="s">
        <v>16</v>
      </c>
      <c r="G118" s="64" t="s">
        <v>26</v>
      </c>
      <c r="H118" s="64" t="s">
        <v>37</v>
      </c>
      <c r="I118" s="65">
        <v>43567.665995370371</v>
      </c>
      <c r="J118" s="65">
        <v>43567.694027777776</v>
      </c>
      <c r="K118" s="65"/>
      <c r="L118" s="64" t="s">
        <v>310</v>
      </c>
      <c r="M118" s="64" t="s">
        <v>29</v>
      </c>
    </row>
    <row r="119" spans="1:13" ht="375" x14ac:dyDescent="0.25">
      <c r="A119" s="64" t="s">
        <v>311</v>
      </c>
      <c r="B119" s="64" t="s">
        <v>12</v>
      </c>
      <c r="C119" s="64" t="s">
        <v>13</v>
      </c>
      <c r="D119" s="64" t="s">
        <v>25</v>
      </c>
      <c r="E119" s="64" t="s">
        <v>48</v>
      </c>
      <c r="F119" s="64" t="s">
        <v>16</v>
      </c>
      <c r="G119" s="64" t="s">
        <v>26</v>
      </c>
      <c r="H119" s="64" t="s">
        <v>37</v>
      </c>
      <c r="I119" s="65">
        <v>43567.666018518517</v>
      </c>
      <c r="J119" s="65">
        <v>43567.694895833331</v>
      </c>
      <c r="K119" s="65"/>
      <c r="L119" s="64" t="s">
        <v>312</v>
      </c>
      <c r="M119" s="64" t="s">
        <v>29</v>
      </c>
    </row>
    <row r="120" spans="1:13" ht="409.5" x14ac:dyDescent="0.25">
      <c r="A120" s="64" t="s">
        <v>313</v>
      </c>
      <c r="B120" s="64" t="s">
        <v>12</v>
      </c>
      <c r="C120" s="64" t="s">
        <v>13</v>
      </c>
      <c r="D120" s="64" t="s">
        <v>25</v>
      </c>
      <c r="E120" s="64" t="s">
        <v>48</v>
      </c>
      <c r="F120" s="64" t="s">
        <v>16</v>
      </c>
      <c r="G120" s="64" t="s">
        <v>26</v>
      </c>
      <c r="H120" s="64" t="s">
        <v>37</v>
      </c>
      <c r="I120" s="65">
        <v>43567.666041666664</v>
      </c>
      <c r="J120" s="65">
        <v>43567.696631944447</v>
      </c>
      <c r="K120" s="65"/>
      <c r="L120" s="64" t="s">
        <v>314</v>
      </c>
      <c r="M120" s="64" t="s">
        <v>29</v>
      </c>
    </row>
    <row r="121" spans="1:13" ht="360" x14ac:dyDescent="0.25">
      <c r="A121" s="64" t="s">
        <v>315</v>
      </c>
      <c r="B121" s="64" t="s">
        <v>12</v>
      </c>
      <c r="C121" s="64" t="s">
        <v>13</v>
      </c>
      <c r="D121" s="64" t="s">
        <v>25</v>
      </c>
      <c r="E121" s="64" t="s">
        <v>48</v>
      </c>
      <c r="F121" s="64" t="s">
        <v>16</v>
      </c>
      <c r="G121" s="64" t="s">
        <v>26</v>
      </c>
      <c r="H121" s="64" t="s">
        <v>37</v>
      </c>
      <c r="I121" s="65">
        <v>43567.666041666664</v>
      </c>
      <c r="J121" s="65">
        <v>43567.698425925926</v>
      </c>
      <c r="K121" s="65"/>
      <c r="L121" s="64" t="s">
        <v>316</v>
      </c>
      <c r="M121" s="64" t="s">
        <v>29</v>
      </c>
    </row>
    <row r="122" spans="1:13" ht="375" x14ac:dyDescent="0.25">
      <c r="A122" s="64" t="s">
        <v>317</v>
      </c>
      <c r="B122" s="64" t="s">
        <v>12</v>
      </c>
      <c r="C122" s="64" t="s">
        <v>13</v>
      </c>
      <c r="D122" s="64" t="s">
        <v>25</v>
      </c>
      <c r="E122" s="64" t="s">
        <v>48</v>
      </c>
      <c r="F122" s="64" t="s">
        <v>16</v>
      </c>
      <c r="G122" s="64" t="s">
        <v>26</v>
      </c>
      <c r="H122" s="64" t="s">
        <v>37</v>
      </c>
      <c r="I122" s="65">
        <v>43567.691701388889</v>
      </c>
      <c r="J122" s="65">
        <v>43567.69935185185</v>
      </c>
      <c r="K122" s="65"/>
      <c r="L122" s="64" t="s">
        <v>312</v>
      </c>
      <c r="M122" s="64" t="s">
        <v>29</v>
      </c>
    </row>
    <row r="123" spans="1:13" ht="409.5" x14ac:dyDescent="0.25">
      <c r="A123" s="64" t="s">
        <v>318</v>
      </c>
      <c r="B123" s="64" t="s">
        <v>12</v>
      </c>
      <c r="C123" s="64" t="s">
        <v>13</v>
      </c>
      <c r="D123" s="64" t="s">
        <v>25</v>
      </c>
      <c r="E123" s="64" t="s">
        <v>48</v>
      </c>
      <c r="F123" s="64" t="s">
        <v>16</v>
      </c>
      <c r="G123" s="64" t="s">
        <v>26</v>
      </c>
      <c r="H123" s="64" t="s">
        <v>37</v>
      </c>
      <c r="I123" s="65">
        <v>43567.691724537035</v>
      </c>
      <c r="J123" s="65">
        <v>43567.700162037036</v>
      </c>
      <c r="K123" s="65"/>
      <c r="L123" s="64" t="s">
        <v>314</v>
      </c>
      <c r="M123" s="64" t="s">
        <v>29</v>
      </c>
    </row>
    <row r="124" spans="1:13" ht="409.5" x14ac:dyDescent="0.25">
      <c r="A124" s="64" t="s">
        <v>319</v>
      </c>
      <c r="B124" s="64" t="s">
        <v>12</v>
      </c>
      <c r="C124" s="64" t="s">
        <v>13</v>
      </c>
      <c r="D124" s="64" t="s">
        <v>25</v>
      </c>
      <c r="E124" s="64" t="s">
        <v>48</v>
      </c>
      <c r="F124" s="64" t="s">
        <v>16</v>
      </c>
      <c r="G124" s="64" t="s">
        <v>26</v>
      </c>
      <c r="H124" s="64" t="s">
        <v>37</v>
      </c>
      <c r="I124" s="65">
        <v>43567.908321759256</v>
      </c>
      <c r="J124" s="65">
        <v>43570.417199074072</v>
      </c>
      <c r="K124" s="65"/>
      <c r="L124" s="64" t="s">
        <v>151</v>
      </c>
      <c r="M124" s="64" t="s">
        <v>29</v>
      </c>
    </row>
    <row r="125" spans="1:13" ht="409.5" x14ac:dyDescent="0.25">
      <c r="A125" s="64" t="s">
        <v>320</v>
      </c>
      <c r="B125" s="64" t="s">
        <v>12</v>
      </c>
      <c r="C125" s="64" t="s">
        <v>13</v>
      </c>
      <c r="D125" s="64" t="s">
        <v>25</v>
      </c>
      <c r="E125" s="64" t="s">
        <v>48</v>
      </c>
      <c r="F125" s="64" t="s">
        <v>16</v>
      </c>
      <c r="G125" s="64" t="s">
        <v>26</v>
      </c>
      <c r="H125" s="64" t="s">
        <v>37</v>
      </c>
      <c r="I125" s="65">
        <v>43568.20753472222</v>
      </c>
      <c r="J125" s="65">
        <v>43570.419108796297</v>
      </c>
      <c r="K125" s="65"/>
      <c r="L125" s="64" t="s">
        <v>49</v>
      </c>
      <c r="M125" s="64" t="s">
        <v>29</v>
      </c>
    </row>
    <row r="126" spans="1:13" ht="409.5" x14ac:dyDescent="0.25">
      <c r="A126" s="64" t="s">
        <v>321</v>
      </c>
      <c r="B126" s="64" t="s">
        <v>12</v>
      </c>
      <c r="C126" s="64" t="s">
        <v>13</v>
      </c>
      <c r="D126" s="64" t="s">
        <v>25</v>
      </c>
      <c r="E126" s="64" t="s">
        <v>48</v>
      </c>
      <c r="F126" s="64" t="s">
        <v>16</v>
      </c>
      <c r="G126" s="64" t="s">
        <v>26</v>
      </c>
      <c r="H126" s="64" t="s">
        <v>37</v>
      </c>
      <c r="I126" s="65">
        <v>43568.762326388889</v>
      </c>
      <c r="J126" s="65">
        <v>43570.422743055555</v>
      </c>
      <c r="K126" s="65"/>
      <c r="L126" s="64" t="s">
        <v>49</v>
      </c>
      <c r="M126" s="64" t="s">
        <v>29</v>
      </c>
    </row>
    <row r="127" spans="1:13" ht="409.5" x14ac:dyDescent="0.25">
      <c r="A127" s="64" t="s">
        <v>322</v>
      </c>
      <c r="B127" s="64" t="s">
        <v>12</v>
      </c>
      <c r="C127" s="64" t="s">
        <v>13</v>
      </c>
      <c r="D127" s="64" t="s">
        <v>25</v>
      </c>
      <c r="E127" s="64" t="s">
        <v>48</v>
      </c>
      <c r="F127" s="64" t="s">
        <v>16</v>
      </c>
      <c r="G127" s="64" t="s">
        <v>26</v>
      </c>
      <c r="H127" s="64" t="s">
        <v>37</v>
      </c>
      <c r="I127" s="65">
        <v>43572.392835648148</v>
      </c>
      <c r="J127" s="65">
        <v>43572.447488425925</v>
      </c>
      <c r="K127" s="65"/>
      <c r="L127" s="64" t="s">
        <v>323</v>
      </c>
      <c r="M127" s="64" t="s">
        <v>29</v>
      </c>
    </row>
    <row r="128" spans="1:13" ht="390" x14ac:dyDescent="0.25">
      <c r="A128" s="64" t="s">
        <v>324</v>
      </c>
      <c r="B128" s="64" t="s">
        <v>12</v>
      </c>
      <c r="C128" s="64" t="s">
        <v>13</v>
      </c>
      <c r="D128" s="64" t="s">
        <v>25</v>
      </c>
      <c r="E128" s="64" t="s">
        <v>48</v>
      </c>
      <c r="F128" s="64" t="s">
        <v>16</v>
      </c>
      <c r="G128" s="64" t="s">
        <v>26</v>
      </c>
      <c r="H128" s="64" t="s">
        <v>37</v>
      </c>
      <c r="I128" s="65">
        <v>43572.898379629631</v>
      </c>
      <c r="J128" s="65">
        <v>43573.387152777781</v>
      </c>
      <c r="K128" s="65"/>
      <c r="L128" s="64" t="s">
        <v>58</v>
      </c>
      <c r="M128" s="64" t="s">
        <v>29</v>
      </c>
    </row>
    <row r="129" spans="1:13" ht="409.5" x14ac:dyDescent="0.25">
      <c r="A129" s="64" t="s">
        <v>326</v>
      </c>
      <c r="B129" s="64" t="s">
        <v>12</v>
      </c>
      <c r="C129" s="64" t="s">
        <v>171</v>
      </c>
      <c r="D129" s="64" t="s">
        <v>25</v>
      </c>
      <c r="E129" s="64" t="s">
        <v>48</v>
      </c>
      <c r="F129" s="64" t="s">
        <v>16</v>
      </c>
      <c r="G129" s="64" t="s">
        <v>26</v>
      </c>
      <c r="H129" s="64" t="s">
        <v>37</v>
      </c>
      <c r="I129" s="65">
        <v>43574.968113425923</v>
      </c>
      <c r="J129" s="65">
        <v>43578.422534722224</v>
      </c>
      <c r="K129" s="65"/>
      <c r="L129" s="64" t="s">
        <v>327</v>
      </c>
      <c r="M129" s="64" t="s">
        <v>29</v>
      </c>
    </row>
    <row r="130" spans="1:13" ht="165" x14ac:dyDescent="0.25">
      <c r="A130" s="64" t="s">
        <v>301</v>
      </c>
      <c r="B130" s="64" t="s">
        <v>12</v>
      </c>
      <c r="C130" s="64" t="s">
        <v>171</v>
      </c>
      <c r="D130" s="64" t="s">
        <v>17</v>
      </c>
      <c r="E130" s="64" t="s">
        <v>15</v>
      </c>
      <c r="F130" s="64" t="s">
        <v>16</v>
      </c>
      <c r="G130" s="64" t="s">
        <v>302</v>
      </c>
      <c r="H130" s="64" t="s">
        <v>37</v>
      </c>
      <c r="I130" s="65">
        <v>43579.409583333334</v>
      </c>
      <c r="J130" s="65">
        <v>43579.468958333331</v>
      </c>
      <c r="K130" s="65">
        <v>43579.411064814813</v>
      </c>
      <c r="L130" s="64" t="s">
        <v>303</v>
      </c>
      <c r="M130" s="64" t="s">
        <v>29</v>
      </c>
    </row>
    <row r="131" spans="1:13" ht="409.5" x14ac:dyDescent="0.25">
      <c r="A131" s="64" t="s">
        <v>329</v>
      </c>
      <c r="B131" s="64" t="s">
        <v>12</v>
      </c>
      <c r="C131" s="64" t="s">
        <v>13</v>
      </c>
      <c r="D131" s="64" t="s">
        <v>25</v>
      </c>
      <c r="E131" s="64" t="s">
        <v>15</v>
      </c>
      <c r="F131" s="64" t="s">
        <v>16</v>
      </c>
      <c r="G131" s="64" t="s">
        <v>26</v>
      </c>
      <c r="H131" s="64" t="s">
        <v>37</v>
      </c>
      <c r="I131" s="65">
        <v>43586.059270833335</v>
      </c>
      <c r="J131" s="65">
        <v>43587.502893518518</v>
      </c>
      <c r="K131" s="65"/>
      <c r="L131" s="64" t="s">
        <v>330</v>
      </c>
      <c r="M131" s="64" t="s">
        <v>29</v>
      </c>
    </row>
    <row r="132" spans="1:13" ht="409.5" x14ac:dyDescent="0.25">
      <c r="A132" s="64" t="s">
        <v>331</v>
      </c>
      <c r="B132" s="64" t="s">
        <v>12</v>
      </c>
      <c r="C132" s="64" t="s">
        <v>221</v>
      </c>
      <c r="D132" s="64" t="s">
        <v>25</v>
      </c>
      <c r="E132" s="64" t="s">
        <v>15</v>
      </c>
      <c r="F132" s="64" t="s">
        <v>16</v>
      </c>
      <c r="G132" s="64" t="s">
        <v>26</v>
      </c>
      <c r="H132" s="64" t="s">
        <v>37</v>
      </c>
      <c r="I132" s="65">
        <v>43587.461574074077</v>
      </c>
      <c r="J132" s="65">
        <v>43587.506527777776</v>
      </c>
      <c r="K132" s="65">
        <v>43591.465486111112</v>
      </c>
      <c r="L132" s="64" t="s">
        <v>332</v>
      </c>
      <c r="M132" s="64" t="s">
        <v>29</v>
      </c>
    </row>
    <row r="133" spans="1:13" ht="409.5" x14ac:dyDescent="0.25">
      <c r="A133" s="64" t="s">
        <v>333</v>
      </c>
      <c r="B133" s="64" t="s">
        <v>12</v>
      </c>
      <c r="C133" s="64" t="s">
        <v>13</v>
      </c>
      <c r="D133" s="64" t="s">
        <v>25</v>
      </c>
      <c r="E133" s="64" t="s">
        <v>15</v>
      </c>
      <c r="F133" s="64" t="s">
        <v>16</v>
      </c>
      <c r="G133" s="64" t="s">
        <v>26</v>
      </c>
      <c r="H133" s="64" t="s">
        <v>37</v>
      </c>
      <c r="I133" s="65">
        <v>43587.905949074076</v>
      </c>
      <c r="J133" s="65">
        <v>43588.419606481482</v>
      </c>
      <c r="K133" s="65"/>
      <c r="L133" s="64" t="s">
        <v>334</v>
      </c>
      <c r="M133" s="64" t="s">
        <v>29</v>
      </c>
    </row>
    <row r="134" spans="1:13" ht="409.5" x14ac:dyDescent="0.25">
      <c r="A134" s="64" t="s">
        <v>335</v>
      </c>
      <c r="B134" s="64" t="s">
        <v>12</v>
      </c>
      <c r="C134" s="64" t="s">
        <v>13</v>
      </c>
      <c r="D134" s="64" t="s">
        <v>25</v>
      </c>
      <c r="E134" s="64" t="s">
        <v>15</v>
      </c>
      <c r="F134" s="64" t="s">
        <v>16</v>
      </c>
      <c r="G134" s="64" t="s">
        <v>26</v>
      </c>
      <c r="H134" s="64" t="s">
        <v>37</v>
      </c>
      <c r="I134" s="65">
        <v>43588.734525462962</v>
      </c>
      <c r="J134" s="65">
        <v>43591.422766203701</v>
      </c>
      <c r="K134" s="65"/>
      <c r="L134" s="64" t="s">
        <v>334</v>
      </c>
      <c r="M134" s="64" t="s">
        <v>29</v>
      </c>
    </row>
    <row r="135" spans="1:13" ht="409.5" x14ac:dyDescent="0.25">
      <c r="A135" s="64" t="s">
        <v>336</v>
      </c>
      <c r="B135" s="64" t="s">
        <v>12</v>
      </c>
      <c r="C135" s="64" t="s">
        <v>13</v>
      </c>
      <c r="D135" s="64" t="s">
        <v>25</v>
      </c>
      <c r="E135" s="64" t="s">
        <v>15</v>
      </c>
      <c r="F135" s="64" t="s">
        <v>16</v>
      </c>
      <c r="G135" s="64" t="s">
        <v>26</v>
      </c>
      <c r="H135" s="64" t="s">
        <v>37</v>
      </c>
      <c r="I135" s="65">
        <v>43589.48228009259</v>
      </c>
      <c r="J135" s="65">
        <v>43591.424618055556</v>
      </c>
      <c r="K135" s="65"/>
      <c r="L135" s="64" t="s">
        <v>337</v>
      </c>
      <c r="M135" s="64" t="s">
        <v>29</v>
      </c>
    </row>
    <row r="136" spans="1:13" ht="300" x14ac:dyDescent="0.25">
      <c r="A136" s="64" t="s">
        <v>338</v>
      </c>
      <c r="B136" s="64" t="s">
        <v>12</v>
      </c>
      <c r="C136" s="64" t="s">
        <v>13</v>
      </c>
      <c r="D136" s="64" t="s">
        <v>25</v>
      </c>
      <c r="E136" s="64" t="s">
        <v>15</v>
      </c>
      <c r="F136" s="64" t="s">
        <v>16</v>
      </c>
      <c r="G136" s="64" t="s">
        <v>26</v>
      </c>
      <c r="H136" s="64" t="s">
        <v>37</v>
      </c>
      <c r="I136" s="65">
        <v>43590.575266203705</v>
      </c>
      <c r="J136" s="65">
        <v>43591.425891203704</v>
      </c>
      <c r="K136" s="65"/>
      <c r="L136" s="64" t="s">
        <v>339</v>
      </c>
      <c r="M136" s="64" t="s">
        <v>29</v>
      </c>
    </row>
    <row r="137" spans="1:13" ht="409.5" x14ac:dyDescent="0.25">
      <c r="A137" s="64" t="s">
        <v>340</v>
      </c>
      <c r="B137" s="64" t="s">
        <v>12</v>
      </c>
      <c r="C137" s="64" t="s">
        <v>13</v>
      </c>
      <c r="D137" s="64" t="s">
        <v>25</v>
      </c>
      <c r="E137" s="64" t="s">
        <v>15</v>
      </c>
      <c r="F137" s="64" t="s">
        <v>16</v>
      </c>
      <c r="G137" s="64" t="s">
        <v>26</v>
      </c>
      <c r="H137" s="64" t="s">
        <v>37</v>
      </c>
      <c r="I137" s="65">
        <v>43590.911296296297</v>
      </c>
      <c r="J137" s="65">
        <v>43591.426701388889</v>
      </c>
      <c r="K137" s="65"/>
      <c r="L137" s="64" t="s">
        <v>341</v>
      </c>
      <c r="M137" s="64" t="s">
        <v>29</v>
      </c>
    </row>
    <row r="138" spans="1:13" ht="409.5" x14ac:dyDescent="0.25">
      <c r="A138" s="64" t="s">
        <v>355</v>
      </c>
      <c r="B138" s="64" t="s">
        <v>12</v>
      </c>
      <c r="C138" s="64" t="s">
        <v>309</v>
      </c>
      <c r="D138" s="64" t="s">
        <v>17</v>
      </c>
      <c r="E138" s="64" t="s">
        <v>48</v>
      </c>
      <c r="F138" s="64" t="s">
        <v>16</v>
      </c>
      <c r="G138" s="64" t="s">
        <v>26</v>
      </c>
      <c r="H138" s="64" t="s">
        <v>37</v>
      </c>
      <c r="I138" s="65">
        <v>43591.339097222219</v>
      </c>
      <c r="J138" s="65">
        <v>43591.427858796298</v>
      </c>
      <c r="K138" s="65"/>
      <c r="L138" s="64" t="s">
        <v>332</v>
      </c>
      <c r="M138" s="64" t="s">
        <v>29</v>
      </c>
    </row>
    <row r="139" spans="1:13" ht="409.5" x14ac:dyDescent="0.25">
      <c r="A139" s="64" t="s">
        <v>342</v>
      </c>
      <c r="B139" s="64" t="s">
        <v>12</v>
      </c>
      <c r="C139" s="64" t="s">
        <v>13</v>
      </c>
      <c r="D139" s="64" t="s">
        <v>25</v>
      </c>
      <c r="E139" s="64" t="s">
        <v>15</v>
      </c>
      <c r="F139" s="64" t="s">
        <v>16</v>
      </c>
      <c r="G139" s="64" t="s">
        <v>26</v>
      </c>
      <c r="H139" s="64" t="s">
        <v>37</v>
      </c>
      <c r="I139" s="65">
        <v>43591.55400462963</v>
      </c>
      <c r="J139" s="65">
        <v>43591.568553240744</v>
      </c>
      <c r="K139" s="65"/>
      <c r="L139" s="64" t="s">
        <v>337</v>
      </c>
      <c r="M139" s="64" t="s">
        <v>29</v>
      </c>
    </row>
    <row r="140" spans="1:13" ht="300" x14ac:dyDescent="0.25">
      <c r="A140" s="64" t="s">
        <v>356</v>
      </c>
      <c r="B140" s="64" t="s">
        <v>12</v>
      </c>
      <c r="C140" s="64" t="s">
        <v>13</v>
      </c>
      <c r="D140" s="64" t="s">
        <v>25</v>
      </c>
      <c r="E140" s="64" t="s">
        <v>15</v>
      </c>
      <c r="F140" s="64" t="s">
        <v>16</v>
      </c>
      <c r="G140" s="64" t="s">
        <v>26</v>
      </c>
      <c r="H140" s="64" t="s">
        <v>37</v>
      </c>
      <c r="I140" s="65">
        <v>43593.045034722221</v>
      </c>
      <c r="J140" s="65">
        <v>43594.426087962966</v>
      </c>
      <c r="K140" s="65"/>
      <c r="L140" s="64" t="s">
        <v>357</v>
      </c>
      <c r="M140" s="64" t="s">
        <v>29</v>
      </c>
    </row>
    <row r="141" spans="1:13" ht="409.5" x14ac:dyDescent="0.25">
      <c r="A141" s="64" t="s">
        <v>358</v>
      </c>
      <c r="B141" s="64" t="s">
        <v>12</v>
      </c>
      <c r="C141" s="64" t="s">
        <v>13</v>
      </c>
      <c r="D141" s="64" t="s">
        <v>25</v>
      </c>
      <c r="E141" s="64" t="s">
        <v>15</v>
      </c>
      <c r="F141" s="64" t="s">
        <v>16</v>
      </c>
      <c r="G141" s="64" t="s">
        <v>26</v>
      </c>
      <c r="H141" s="64" t="s">
        <v>37</v>
      </c>
      <c r="I141" s="65">
        <v>43594.413240740738</v>
      </c>
      <c r="J141" s="65">
        <v>43594.427187499998</v>
      </c>
      <c r="K141" s="65"/>
      <c r="L141" s="64" t="s">
        <v>359</v>
      </c>
      <c r="M141" s="64" t="s">
        <v>29</v>
      </c>
    </row>
    <row r="142" spans="1:13" ht="409.5" x14ac:dyDescent="0.25">
      <c r="A142" s="64" t="s">
        <v>360</v>
      </c>
      <c r="B142" s="64" t="s">
        <v>12</v>
      </c>
      <c r="C142" s="64" t="s">
        <v>13</v>
      </c>
      <c r="D142" s="64" t="s">
        <v>14</v>
      </c>
      <c r="E142" s="64" t="s">
        <v>15</v>
      </c>
      <c r="F142" s="64" t="s">
        <v>16</v>
      </c>
      <c r="G142" s="64" t="s">
        <v>26</v>
      </c>
      <c r="H142" s="64" t="s">
        <v>307</v>
      </c>
      <c r="I142" s="65">
        <v>43594.59269675926</v>
      </c>
      <c r="J142" s="65">
        <v>43594.600891203707</v>
      </c>
      <c r="K142" s="65"/>
      <c r="L142" s="64" t="s">
        <v>361</v>
      </c>
      <c r="M142" s="64" t="s">
        <v>19</v>
      </c>
    </row>
    <row r="143" spans="1:13" ht="285" x14ac:dyDescent="0.25">
      <c r="A143" s="64" t="s">
        <v>362</v>
      </c>
      <c r="B143" s="64" t="s">
        <v>12</v>
      </c>
      <c r="C143" s="64" t="s">
        <v>309</v>
      </c>
      <c r="D143" s="64" t="s">
        <v>17</v>
      </c>
      <c r="E143" s="64" t="s">
        <v>48</v>
      </c>
      <c r="F143" s="64" t="s">
        <v>16</v>
      </c>
      <c r="G143" s="64" t="s">
        <v>26</v>
      </c>
      <c r="H143" s="64" t="s">
        <v>37</v>
      </c>
      <c r="I143" s="65">
        <v>43602.214259259257</v>
      </c>
      <c r="J143" s="65">
        <v>43602.417071759257</v>
      </c>
      <c r="K143" s="65"/>
      <c r="L143" s="64" t="s">
        <v>363</v>
      </c>
      <c r="M143" s="64" t="s">
        <v>29</v>
      </c>
    </row>
    <row r="144" spans="1:13" ht="409.5" x14ac:dyDescent="0.25">
      <c r="A144" s="64" t="s">
        <v>367</v>
      </c>
      <c r="B144" s="64" t="s">
        <v>12</v>
      </c>
      <c r="C144" s="64" t="s">
        <v>13</v>
      </c>
      <c r="D144" s="64" t="s">
        <v>25</v>
      </c>
      <c r="E144" s="64" t="s">
        <v>15</v>
      </c>
      <c r="F144" s="64" t="s">
        <v>16</v>
      </c>
      <c r="G144" s="64" t="s">
        <v>26</v>
      </c>
      <c r="H144" s="64" t="s">
        <v>37</v>
      </c>
      <c r="I144" s="65">
        <v>43613.976655092592</v>
      </c>
      <c r="J144" s="65">
        <v>43614.463530092595</v>
      </c>
      <c r="K144" s="65"/>
      <c r="L144" s="64" t="s">
        <v>368</v>
      </c>
      <c r="M144" s="64" t="s">
        <v>29</v>
      </c>
    </row>
    <row r="145" spans="1:13" ht="330" x14ac:dyDescent="0.25">
      <c r="A145" s="64" t="s">
        <v>369</v>
      </c>
      <c r="B145" s="64" t="s">
        <v>12</v>
      </c>
      <c r="C145" s="64" t="s">
        <v>13</v>
      </c>
      <c r="D145" s="64" t="s">
        <v>25</v>
      </c>
      <c r="E145" s="64" t="s">
        <v>15</v>
      </c>
      <c r="F145" s="64" t="s">
        <v>16</v>
      </c>
      <c r="G145" s="64" t="s">
        <v>26</v>
      </c>
      <c r="H145" s="64" t="s">
        <v>37</v>
      </c>
      <c r="I145" s="65">
        <v>43614.451215277775</v>
      </c>
      <c r="J145" s="65">
        <v>43614.465324074074</v>
      </c>
      <c r="K145" s="65"/>
      <c r="L145" s="64" t="s">
        <v>370</v>
      </c>
      <c r="M145" s="64" t="s">
        <v>29</v>
      </c>
    </row>
    <row r="146" spans="1:13" ht="409.5" x14ac:dyDescent="0.25">
      <c r="A146" s="64" t="s">
        <v>371</v>
      </c>
      <c r="B146" s="64" t="s">
        <v>12</v>
      </c>
      <c r="C146" s="64" t="s">
        <v>13</v>
      </c>
      <c r="D146" s="64" t="s">
        <v>25</v>
      </c>
      <c r="E146" s="64" t="s">
        <v>15</v>
      </c>
      <c r="F146" s="64" t="s">
        <v>16</v>
      </c>
      <c r="G146" s="64" t="s">
        <v>26</v>
      </c>
      <c r="H146" s="64" t="s">
        <v>37</v>
      </c>
      <c r="I146" s="65">
        <v>43614.48940972222</v>
      </c>
      <c r="J146" s="65">
        <v>43614.669328703705</v>
      </c>
      <c r="K146" s="65"/>
      <c r="L146" s="64" t="s">
        <v>372</v>
      </c>
      <c r="M146" s="64" t="s">
        <v>29</v>
      </c>
    </row>
    <row r="147" spans="1:13" ht="330" x14ac:dyDescent="0.25">
      <c r="A147" s="64" t="s">
        <v>373</v>
      </c>
      <c r="B147" s="64" t="s">
        <v>12</v>
      </c>
      <c r="C147" s="64" t="s">
        <v>13</v>
      </c>
      <c r="D147" s="64" t="s">
        <v>25</v>
      </c>
      <c r="E147" s="64" t="s">
        <v>15</v>
      </c>
      <c r="F147" s="64" t="s">
        <v>16</v>
      </c>
      <c r="G147" s="64" t="s">
        <v>26</v>
      </c>
      <c r="H147" s="64" t="s">
        <v>37</v>
      </c>
      <c r="I147" s="65">
        <v>43615.016319444447</v>
      </c>
      <c r="J147" s="65">
        <v>43615.034143518518</v>
      </c>
      <c r="K147" s="65"/>
      <c r="L147" s="64" t="s">
        <v>374</v>
      </c>
      <c r="M147" s="64" t="s">
        <v>29</v>
      </c>
    </row>
  </sheetData>
  <sheetProtection algorithmName="SHA-512" hashValue="t338JhHWMSCrBjgM745vV8/HmbKBq5LT/lTZDNX07klOTNPymyomOFMnFvSkXMschIAQD4JctaMJhT4QXkMvwA==" saltValue="xDGBao/4O7Uq0vH+w48nig==" spinCount="100000" sheet="1" objects="1" scenarios="1"/>
  <autoFilter ref="A1:M147"/>
  <sortState ref="A2:M116">
    <sortCondition ref="A2:A116"/>
  </sortState>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84"/>
  <sheetViews>
    <sheetView topLeftCell="D1" zoomScale="70" zoomScaleNormal="70" workbookViewId="0">
      <pane ySplit="1" topLeftCell="A2" activePane="bottomLeft" state="frozen"/>
      <selection pane="bottomLeft" activeCell="K8" sqref="K8"/>
    </sheetView>
  </sheetViews>
  <sheetFormatPr baseColWidth="10" defaultColWidth="9.140625" defaultRowHeight="15" x14ac:dyDescent="0.25"/>
  <cols>
    <col min="1" max="1" width="17.85546875" style="22" customWidth="1"/>
    <col min="2" max="2" width="17" style="22" customWidth="1"/>
    <col min="3" max="3" width="16" style="22" customWidth="1"/>
    <col min="4" max="4" width="17.85546875" style="4" customWidth="1"/>
    <col min="5" max="5" width="27.5703125" style="22" customWidth="1"/>
    <col min="6" max="6" width="16" style="22" hidden="1" customWidth="1"/>
    <col min="7" max="7" width="23.28515625" style="22" hidden="1" customWidth="1"/>
    <col min="8" max="8" width="14.7109375" style="22" hidden="1" customWidth="1"/>
    <col min="9" max="9" width="18.5703125" style="23" customWidth="1"/>
    <col min="10" max="11" width="20.85546875" style="29" customWidth="1"/>
    <col min="12" max="12" width="48.140625" style="24" customWidth="1"/>
    <col min="13" max="13" width="7.7109375" style="22" customWidth="1"/>
    <col min="14" max="14" width="40.28515625" style="25" hidden="1" customWidth="1"/>
    <col min="15" max="15" width="16.5703125" style="22" hidden="1" customWidth="1"/>
    <col min="16" max="16" width="10.5703125" style="22" customWidth="1"/>
    <col min="17" max="17" width="9.140625" style="22"/>
    <col min="18" max="18" width="20" style="29" customWidth="1"/>
    <col min="19" max="19" width="18.140625" style="23" bestFit="1" customWidth="1"/>
    <col min="20" max="22" width="12.85546875" style="16" customWidth="1"/>
    <col min="23" max="16384" width="9.140625" style="16"/>
  </cols>
  <sheetData>
    <row r="1" spans="1:23" s="10" customFormat="1" ht="45" x14ac:dyDescent="0.25">
      <c r="A1" s="5" t="s">
        <v>16</v>
      </c>
      <c r="B1" s="6" t="s">
        <v>1</v>
      </c>
      <c r="C1" s="6" t="s">
        <v>2</v>
      </c>
      <c r="D1" s="2" t="s">
        <v>3</v>
      </c>
      <c r="E1" s="6" t="s">
        <v>4</v>
      </c>
      <c r="F1" s="6" t="s">
        <v>5</v>
      </c>
      <c r="G1" s="6" t="s">
        <v>6</v>
      </c>
      <c r="H1" s="6" t="s">
        <v>7</v>
      </c>
      <c r="I1" s="7" t="s">
        <v>343</v>
      </c>
      <c r="J1" s="26" t="s">
        <v>8</v>
      </c>
      <c r="K1" s="26" t="s">
        <v>291</v>
      </c>
      <c r="L1" s="8" t="s">
        <v>9</v>
      </c>
      <c r="M1" s="6" t="s">
        <v>10</v>
      </c>
      <c r="N1" s="9" t="s">
        <v>210</v>
      </c>
      <c r="O1" s="9" t="s">
        <v>212</v>
      </c>
      <c r="P1" s="30" t="s">
        <v>211</v>
      </c>
      <c r="Q1" s="30" t="s">
        <v>328</v>
      </c>
      <c r="R1" s="33" t="s">
        <v>375</v>
      </c>
      <c r="S1" s="31" t="s">
        <v>345</v>
      </c>
      <c r="T1" s="32" t="s">
        <v>346</v>
      </c>
      <c r="U1" s="32" t="s">
        <v>347</v>
      </c>
      <c r="V1" s="32" t="s">
        <v>348</v>
      </c>
      <c r="W1" s="32" t="s">
        <v>421</v>
      </c>
    </row>
    <row r="2" spans="1:23" ht="120" customHeight="1" x14ac:dyDescent="0.25">
      <c r="A2" s="11" t="s">
        <v>102</v>
      </c>
      <c r="B2" s="11" t="s">
        <v>103</v>
      </c>
      <c r="C2" s="11" t="str">
        <f>VLOOKUP(extract!A2,import!A:C,3,FALSE)</f>
        <v>En cours</v>
      </c>
      <c r="D2" s="3" t="s">
        <v>406</v>
      </c>
      <c r="E2" s="11" t="s">
        <v>406</v>
      </c>
      <c r="F2" s="11" t="s">
        <v>16</v>
      </c>
      <c r="G2" s="11" t="s">
        <v>26</v>
      </c>
      <c r="H2" s="11" t="s">
        <v>105</v>
      </c>
      <c r="I2" s="12">
        <f>VLOOKUP(extract!A2,import!A:J,9,FALSE)</f>
        <v>42999</v>
      </c>
      <c r="J2" s="27">
        <v>43514.863854166666</v>
      </c>
      <c r="K2" s="27"/>
      <c r="L2" s="13" t="s">
        <v>406</v>
      </c>
      <c r="M2" s="11" t="s">
        <v>29</v>
      </c>
      <c r="N2" s="11" t="s">
        <v>271</v>
      </c>
      <c r="O2" s="14"/>
      <c r="P2" s="14">
        <f>SUM(IF(B2="P2 - Importante",3,0),IF(B2="P3 - Moyenne",2,0),IF(B2="P4 - Faible",1,0),IF(B2="P1 - Critique",4,0),IF(M2="Oui",2,0))</f>
        <v>1</v>
      </c>
      <c r="Q2" s="14" t="str">
        <f t="shared" ref="Q2:Q33" si="0">IF(C2="résolu","Clos",(IF(C2="Résolu techniquement","Clos",C2)))</f>
        <v>En cours</v>
      </c>
      <c r="R2" s="27" t="str">
        <f>IF(K2&gt;0,K2,"non résolu")</f>
        <v>non résolu</v>
      </c>
      <c r="S2" s="12">
        <f ca="1">TODAY()</f>
        <v>43665</v>
      </c>
      <c r="T2" s="15" t="str">
        <f ca="1">IF(Q2="Clos",U2,V2)</f>
        <v>30 et +</v>
      </c>
      <c r="U2" s="15" t="e">
        <f>IF(_xlfn.DAYS(R2,I2)&lt;=1,"1",IF(AND(_xlfn.DAYS(52,I2)&gt;1,_xlfn.DAYS(R2,I2)&lt;=2),"2",IF(AND(_xlfn.DAYS(R2,I2)&gt;2,_xlfn.DAYS(R2,I2)&lt;=15),"15",IF(AND(_xlfn.DAYS(R2,I2)&gt;15,_xlfn.DAYS(R2,I2)&lt;=30),"30",IF(_xlfn.DAYS(R2,I2)&gt;30,"30 et +","PB")))))</f>
        <v>#VALUE!</v>
      </c>
      <c r="V2" s="15" t="str">
        <f ca="1">IF(_xlfn.DAYS(S2,I2)&lt;=1,"1",IF(AND(_xlfn.DAYS(S2,I2)&gt;1,_xlfn.DAYS(S2,I2)&lt;=2),"2",IF(AND(_xlfn.DAYS(S2,I2)&gt;2,_xlfn.DAYS(S2,I2)&lt;=15),"15",IF(AND(_xlfn.DAYS(S2,I2)&gt;15,_xlfn.DAYS(S2,I2)&lt;=30),"30",IF(_xlfn.DAYS(S2,I2)&gt;30,"30 et +","PB")))))</f>
        <v>30 et +</v>
      </c>
      <c r="W2" s="16">
        <f>IF(ISBLANK(A2),0,1)</f>
        <v>1</v>
      </c>
    </row>
    <row r="3" spans="1:23" ht="30" x14ac:dyDescent="0.25">
      <c r="A3" s="11" t="s">
        <v>220</v>
      </c>
      <c r="B3" s="11" t="s">
        <v>12</v>
      </c>
      <c r="C3" s="11" t="str">
        <f>VLOOKUP(extract!A3,import!A:C,3,FALSE)</f>
        <v>Clos</v>
      </c>
      <c r="D3" s="3" t="s">
        <v>406</v>
      </c>
      <c r="E3" s="11" t="s">
        <v>406</v>
      </c>
      <c r="F3" s="11" t="s">
        <v>16</v>
      </c>
      <c r="G3" s="11" t="s">
        <v>168</v>
      </c>
      <c r="H3" s="11" t="s">
        <v>27</v>
      </c>
      <c r="I3" s="12">
        <f>VLOOKUP(extract!A3,import!A:J,9,FALSE)</f>
        <v>43332.510416666664</v>
      </c>
      <c r="J3" s="27">
        <v>43514.863923611112</v>
      </c>
      <c r="K3" s="27">
        <v>43543.419374999998</v>
      </c>
      <c r="L3" s="13" t="s">
        <v>406</v>
      </c>
      <c r="M3" s="11" t="s">
        <v>29</v>
      </c>
      <c r="N3" s="11"/>
      <c r="O3" s="14"/>
      <c r="P3" s="14">
        <f t="shared" ref="P3:P66" si="1">SUM(IF(B3="P2 - Importante",3,0),IF(B3="P3 - Moyenne",2,0),IF(B3="P4 - Faible",1,0),IF(B3="P1 - Critique",4,0),IF(M3="Oui",2,0))</f>
        <v>2</v>
      </c>
      <c r="Q3" s="14" t="str">
        <f t="shared" si="0"/>
        <v>Clos</v>
      </c>
      <c r="R3" s="27">
        <f t="shared" ref="R3:R66" si="2">IF(K3&gt;0,K3,"non résolu")</f>
        <v>43543.419374999998</v>
      </c>
      <c r="S3" s="12">
        <f t="shared" ref="S3:S66" ca="1" si="3">TODAY()</f>
        <v>43665</v>
      </c>
      <c r="T3" s="15" t="str">
        <f t="shared" ref="T3:T65" si="4">IF(Q3="Clos",U3,V3)</f>
        <v>30 et +</v>
      </c>
      <c r="U3" s="15" t="str">
        <f t="shared" ref="U3:U66" si="5">IF(_xlfn.DAYS(R3,I3)&lt;=1,"1",IF(AND(_xlfn.DAYS(52,I3)&gt;1,_xlfn.DAYS(R3,I3)&lt;=2),"2",IF(AND(_xlfn.DAYS(R3,I3)&gt;2,_xlfn.DAYS(R3,I3)&lt;=15),"15",IF(AND(_xlfn.DAYS(R3,I3)&gt;15,_xlfn.DAYS(R3,I3)&lt;=30),"30",IF(_xlfn.DAYS(R3,I3)&gt;30,"30 et +","PB")))))</f>
        <v>30 et +</v>
      </c>
      <c r="V3" s="15" t="str">
        <f t="shared" ref="V3:V66" ca="1" si="6">IF(_xlfn.DAYS(S3,I3)&lt;=1,"1",IF(AND(_xlfn.DAYS(S3,I3)&gt;1,_xlfn.DAYS(S3,I3)&lt;=2),"2",IF(AND(_xlfn.DAYS(S3,I3)&gt;2,_xlfn.DAYS(S3,I3)&lt;=15),"15",IF(AND(_xlfn.DAYS(S3,I3)&gt;15,_xlfn.DAYS(S3,I3)&lt;=30),"30",IF(_xlfn.DAYS(S3,I3)&gt;30,"30 et +","PB")))))</f>
        <v>30 et +</v>
      </c>
      <c r="W3" s="16">
        <f t="shared" ref="W3:W66" si="7">IF(ISBLANK(A3),0,1)</f>
        <v>1</v>
      </c>
    </row>
    <row r="4" spans="1:23" ht="30" x14ac:dyDescent="0.25">
      <c r="A4" s="11" t="s">
        <v>100</v>
      </c>
      <c r="B4" s="11" t="s">
        <v>12</v>
      </c>
      <c r="C4" s="11" t="str">
        <f>VLOOKUP(extract!A4,import!A:C,3,FALSE)</f>
        <v>Clos</v>
      </c>
      <c r="D4" s="3" t="s">
        <v>406</v>
      </c>
      <c r="E4" s="11" t="s">
        <v>406</v>
      </c>
      <c r="F4" s="11" t="s">
        <v>16</v>
      </c>
      <c r="G4" s="11" t="s">
        <v>26</v>
      </c>
      <c r="H4" s="11" t="s">
        <v>27</v>
      </c>
      <c r="I4" s="12">
        <f>VLOOKUP(extract!A4,import!A:J,9,FALSE)</f>
        <v>43391.456944444442</v>
      </c>
      <c r="J4" s="27">
        <v>43514.863946759258</v>
      </c>
      <c r="K4" s="27">
        <v>43573.691493055558</v>
      </c>
      <c r="L4" s="13" t="s">
        <v>406</v>
      </c>
      <c r="M4" s="11" t="s">
        <v>29</v>
      </c>
      <c r="N4" s="11" t="s">
        <v>272</v>
      </c>
      <c r="O4" s="14"/>
      <c r="P4" s="14">
        <f t="shared" si="1"/>
        <v>2</v>
      </c>
      <c r="Q4" s="14" t="str">
        <f t="shared" si="0"/>
        <v>Clos</v>
      </c>
      <c r="R4" s="27">
        <f t="shared" si="2"/>
        <v>43573.691493055558</v>
      </c>
      <c r="S4" s="12">
        <f t="shared" ca="1" si="3"/>
        <v>43665</v>
      </c>
      <c r="T4" s="15" t="str">
        <f t="shared" si="4"/>
        <v>30 et +</v>
      </c>
      <c r="U4" s="15" t="str">
        <f t="shared" si="5"/>
        <v>30 et +</v>
      </c>
      <c r="V4" s="15" t="str">
        <f t="shared" ca="1" si="6"/>
        <v>30 et +</v>
      </c>
      <c r="W4" s="16">
        <f t="shared" si="7"/>
        <v>1</v>
      </c>
    </row>
    <row r="5" spans="1:23" ht="30" x14ac:dyDescent="0.25">
      <c r="A5" s="11" t="s">
        <v>24</v>
      </c>
      <c r="B5" s="11" t="s">
        <v>12</v>
      </c>
      <c r="C5" s="11" t="str">
        <f>VLOOKUP(extract!A5,import!A:C,3,FALSE)</f>
        <v>Clos</v>
      </c>
      <c r="D5" s="3" t="s">
        <v>406</v>
      </c>
      <c r="E5" s="11" t="s">
        <v>406</v>
      </c>
      <c r="F5" s="11" t="s">
        <v>16</v>
      </c>
      <c r="G5" s="11" t="s">
        <v>26</v>
      </c>
      <c r="H5" s="11" t="s">
        <v>27</v>
      </c>
      <c r="I5" s="12">
        <f>VLOOKUP(extract!A5,import!A:J,9,FALSE)</f>
        <v>43391.469444444447</v>
      </c>
      <c r="J5" s="27">
        <v>43514.863946759258</v>
      </c>
      <c r="K5" s="27">
        <v>43573.694178240738</v>
      </c>
      <c r="L5" s="13" t="s">
        <v>406</v>
      </c>
      <c r="M5" s="11" t="s">
        <v>29</v>
      </c>
      <c r="N5" s="11" t="s">
        <v>272</v>
      </c>
      <c r="O5" s="14"/>
      <c r="P5" s="14">
        <f t="shared" si="1"/>
        <v>2</v>
      </c>
      <c r="Q5" s="14" t="str">
        <f t="shared" si="0"/>
        <v>Clos</v>
      </c>
      <c r="R5" s="27">
        <f t="shared" si="2"/>
        <v>43573.694178240738</v>
      </c>
      <c r="S5" s="12">
        <f t="shared" ca="1" si="3"/>
        <v>43665</v>
      </c>
      <c r="T5" s="15" t="str">
        <f t="shared" si="4"/>
        <v>30 et +</v>
      </c>
      <c r="U5" s="15" t="str">
        <f t="shared" si="5"/>
        <v>30 et +</v>
      </c>
      <c r="V5" s="15" t="str">
        <f t="shared" ca="1" si="6"/>
        <v>30 et +</v>
      </c>
      <c r="W5" s="16">
        <f t="shared" si="7"/>
        <v>1</v>
      </c>
    </row>
    <row r="6" spans="1:23" ht="30" x14ac:dyDescent="0.25">
      <c r="A6" s="11" t="s">
        <v>140</v>
      </c>
      <c r="B6" s="11" t="s">
        <v>12</v>
      </c>
      <c r="C6" s="11" t="str">
        <f>VLOOKUP(extract!A6,import!A:C,3,FALSE)</f>
        <v>Résolu</v>
      </c>
      <c r="D6" s="3" t="s">
        <v>406</v>
      </c>
      <c r="E6" s="11" t="s">
        <v>406</v>
      </c>
      <c r="F6" s="11" t="s">
        <v>16</v>
      </c>
      <c r="G6" s="11" t="s">
        <v>26</v>
      </c>
      <c r="H6" s="11" t="s">
        <v>27</v>
      </c>
      <c r="I6" s="12">
        <f>VLOOKUP(extract!A6,import!A:J,9,FALSE)</f>
        <v>43391.748611111114</v>
      </c>
      <c r="J6" s="27">
        <v>43514.863946759258</v>
      </c>
      <c r="K6" s="27">
        <v>43619.415902777779</v>
      </c>
      <c r="L6" s="13" t="s">
        <v>406</v>
      </c>
      <c r="M6" s="11" t="s">
        <v>29</v>
      </c>
      <c r="N6" s="11" t="s">
        <v>273</v>
      </c>
      <c r="O6" s="14"/>
      <c r="P6" s="14">
        <f t="shared" si="1"/>
        <v>2</v>
      </c>
      <c r="Q6" s="14" t="str">
        <f t="shared" si="0"/>
        <v>Clos</v>
      </c>
      <c r="R6" s="27">
        <f t="shared" si="2"/>
        <v>43619.415902777779</v>
      </c>
      <c r="S6" s="12">
        <f t="shared" ca="1" si="3"/>
        <v>43665</v>
      </c>
      <c r="T6" s="15" t="str">
        <f t="shared" si="4"/>
        <v>30 et +</v>
      </c>
      <c r="U6" s="15" t="str">
        <f t="shared" si="5"/>
        <v>30 et +</v>
      </c>
      <c r="V6" s="15" t="str">
        <f t="shared" ca="1" si="6"/>
        <v>30 et +</v>
      </c>
      <c r="W6" s="16">
        <f t="shared" si="7"/>
        <v>1</v>
      </c>
    </row>
    <row r="7" spans="1:23" ht="30" x14ac:dyDescent="0.25">
      <c r="A7" s="11" t="s">
        <v>66</v>
      </c>
      <c r="B7" s="11" t="s">
        <v>12</v>
      </c>
      <c r="C7" s="11" t="str">
        <f>VLOOKUP(extract!A7,import!A:C,3,FALSE)</f>
        <v>Résolu</v>
      </c>
      <c r="D7" s="3" t="s">
        <v>406</v>
      </c>
      <c r="E7" s="11" t="s">
        <v>406</v>
      </c>
      <c r="F7" s="11" t="s">
        <v>16</v>
      </c>
      <c r="G7" s="11" t="s">
        <v>26</v>
      </c>
      <c r="H7" s="11" t="s">
        <v>27</v>
      </c>
      <c r="I7" s="12">
        <f>VLOOKUP(extract!A7,import!A:J,9,FALSE)</f>
        <v>43391.827777777777</v>
      </c>
      <c r="J7" s="27">
        <v>43514.863946759258</v>
      </c>
      <c r="K7" s="27">
        <v>43619.415185185186</v>
      </c>
      <c r="L7" s="13" t="s">
        <v>406</v>
      </c>
      <c r="M7" s="11" t="s">
        <v>29</v>
      </c>
      <c r="N7" s="11" t="s">
        <v>273</v>
      </c>
      <c r="O7" s="14"/>
      <c r="P7" s="14">
        <f t="shared" si="1"/>
        <v>2</v>
      </c>
      <c r="Q7" s="14" t="str">
        <f t="shared" si="0"/>
        <v>Clos</v>
      </c>
      <c r="R7" s="27">
        <f t="shared" si="2"/>
        <v>43619.415185185186</v>
      </c>
      <c r="S7" s="12">
        <f t="shared" ca="1" si="3"/>
        <v>43665</v>
      </c>
      <c r="T7" s="15" t="str">
        <f t="shared" si="4"/>
        <v>30 et +</v>
      </c>
      <c r="U7" s="15" t="str">
        <f t="shared" si="5"/>
        <v>30 et +</v>
      </c>
      <c r="V7" s="15" t="str">
        <f t="shared" ca="1" si="6"/>
        <v>30 et +</v>
      </c>
      <c r="W7" s="16">
        <f t="shared" si="7"/>
        <v>1</v>
      </c>
    </row>
    <row r="8" spans="1:23" ht="30" x14ac:dyDescent="0.25">
      <c r="A8" s="11" t="s">
        <v>117</v>
      </c>
      <c r="B8" s="11" t="s">
        <v>12</v>
      </c>
      <c r="C8" s="11" t="str">
        <f>VLOOKUP(extract!A8,import!A:C,3,FALSE)</f>
        <v>Clos</v>
      </c>
      <c r="D8" s="3" t="s">
        <v>406</v>
      </c>
      <c r="E8" s="11" t="s">
        <v>406</v>
      </c>
      <c r="F8" s="11" t="s">
        <v>16</v>
      </c>
      <c r="G8" s="11" t="s">
        <v>26</v>
      </c>
      <c r="H8" s="11" t="s">
        <v>27</v>
      </c>
      <c r="I8" s="12">
        <f>VLOOKUP(extract!A8,import!A:J,9,FALSE)</f>
        <v>43392.4</v>
      </c>
      <c r="J8" s="27">
        <v>43514.863946759258</v>
      </c>
      <c r="K8" s="27">
        <v>43573.694884259261</v>
      </c>
      <c r="L8" s="13" t="s">
        <v>406</v>
      </c>
      <c r="M8" s="11" t="s">
        <v>29</v>
      </c>
      <c r="N8" s="11" t="s">
        <v>274</v>
      </c>
      <c r="O8" s="14"/>
      <c r="P8" s="14">
        <f t="shared" si="1"/>
        <v>2</v>
      </c>
      <c r="Q8" s="14" t="str">
        <f t="shared" si="0"/>
        <v>Clos</v>
      </c>
      <c r="R8" s="27">
        <f t="shared" si="2"/>
        <v>43573.694884259261</v>
      </c>
      <c r="S8" s="12">
        <f t="shared" ca="1" si="3"/>
        <v>43665</v>
      </c>
      <c r="T8" s="15" t="str">
        <f t="shared" si="4"/>
        <v>30 et +</v>
      </c>
      <c r="U8" s="15" t="str">
        <f t="shared" si="5"/>
        <v>30 et +</v>
      </c>
      <c r="V8" s="15" t="str">
        <f t="shared" ca="1" si="6"/>
        <v>30 et +</v>
      </c>
      <c r="W8" s="16">
        <f t="shared" si="7"/>
        <v>1</v>
      </c>
    </row>
    <row r="9" spans="1:23" ht="30" x14ac:dyDescent="0.25">
      <c r="A9" s="11" t="s">
        <v>45</v>
      </c>
      <c r="B9" s="11" t="s">
        <v>12</v>
      </c>
      <c r="C9" s="11" t="str">
        <f>VLOOKUP(extract!A9,import!A:C,3,FALSE)</f>
        <v>Résolu</v>
      </c>
      <c r="D9" s="3" t="s">
        <v>406</v>
      </c>
      <c r="E9" s="11" t="s">
        <v>406</v>
      </c>
      <c r="F9" s="11" t="s">
        <v>16</v>
      </c>
      <c r="G9" s="11" t="s">
        <v>26</v>
      </c>
      <c r="H9" s="11" t="s">
        <v>27</v>
      </c>
      <c r="I9" s="12">
        <f>VLOOKUP(extract!A9,import!A:J,9,FALSE)</f>
        <v>43392.583333333336</v>
      </c>
      <c r="J9" s="27">
        <v>43514.863946759258</v>
      </c>
      <c r="K9" s="27">
        <v>43619.413923611108</v>
      </c>
      <c r="L9" s="13" t="s">
        <v>406</v>
      </c>
      <c r="M9" s="11" t="s">
        <v>29</v>
      </c>
      <c r="N9" s="11" t="s">
        <v>275</v>
      </c>
      <c r="O9" s="14"/>
      <c r="P9" s="14">
        <f t="shared" si="1"/>
        <v>2</v>
      </c>
      <c r="Q9" s="14" t="str">
        <f t="shared" si="0"/>
        <v>Clos</v>
      </c>
      <c r="R9" s="27">
        <f t="shared" si="2"/>
        <v>43619.413923611108</v>
      </c>
      <c r="S9" s="12">
        <f t="shared" ca="1" si="3"/>
        <v>43665</v>
      </c>
      <c r="T9" s="15" t="str">
        <f t="shared" si="4"/>
        <v>30 et +</v>
      </c>
      <c r="U9" s="15" t="str">
        <f t="shared" si="5"/>
        <v>30 et +</v>
      </c>
      <c r="V9" s="15" t="str">
        <f t="shared" ca="1" si="6"/>
        <v>30 et +</v>
      </c>
      <c r="W9" s="16">
        <f t="shared" si="7"/>
        <v>1</v>
      </c>
    </row>
    <row r="10" spans="1:23" ht="30" x14ac:dyDescent="0.25">
      <c r="A10" s="11" t="s">
        <v>64</v>
      </c>
      <c r="B10" s="11" t="s">
        <v>12</v>
      </c>
      <c r="C10" s="11" t="str">
        <f>VLOOKUP(extract!A10,import!A:C,3,FALSE)</f>
        <v>Clos</v>
      </c>
      <c r="D10" s="3" t="s">
        <v>406</v>
      </c>
      <c r="E10" s="11" t="s">
        <v>406</v>
      </c>
      <c r="F10" s="11" t="s">
        <v>16</v>
      </c>
      <c r="G10" s="11" t="s">
        <v>26</v>
      </c>
      <c r="H10" s="11" t="s">
        <v>27</v>
      </c>
      <c r="I10" s="12">
        <f>VLOOKUP(extract!A10,import!A:J,9,FALSE)</f>
        <v>43392.619444444441</v>
      </c>
      <c r="J10" s="27">
        <v>43514.863946759258</v>
      </c>
      <c r="K10" s="27">
        <v>43573.696076388886</v>
      </c>
      <c r="L10" s="13" t="s">
        <v>406</v>
      </c>
      <c r="M10" s="11" t="s">
        <v>29</v>
      </c>
      <c r="N10" s="11" t="s">
        <v>272</v>
      </c>
      <c r="O10" s="14"/>
      <c r="P10" s="14">
        <f t="shared" si="1"/>
        <v>2</v>
      </c>
      <c r="Q10" s="14" t="str">
        <f t="shared" si="0"/>
        <v>Clos</v>
      </c>
      <c r="R10" s="27">
        <f t="shared" si="2"/>
        <v>43573.696076388886</v>
      </c>
      <c r="S10" s="12">
        <f t="shared" ca="1" si="3"/>
        <v>43665</v>
      </c>
      <c r="T10" s="15" t="str">
        <f t="shared" si="4"/>
        <v>30 et +</v>
      </c>
      <c r="U10" s="15" t="str">
        <f t="shared" si="5"/>
        <v>30 et +</v>
      </c>
      <c r="V10" s="15" t="str">
        <f t="shared" ca="1" si="6"/>
        <v>30 et +</v>
      </c>
      <c r="W10" s="16">
        <f t="shared" si="7"/>
        <v>1</v>
      </c>
    </row>
    <row r="11" spans="1:23" ht="30" x14ac:dyDescent="0.25">
      <c r="A11" s="11" t="s">
        <v>115</v>
      </c>
      <c r="B11" s="11" t="s">
        <v>12</v>
      </c>
      <c r="C11" s="11" t="str">
        <f>VLOOKUP(extract!A11,import!A:C,3,FALSE)</f>
        <v>Clos</v>
      </c>
      <c r="D11" s="3" t="s">
        <v>406</v>
      </c>
      <c r="E11" s="11" t="s">
        <v>406</v>
      </c>
      <c r="F11" s="11" t="s">
        <v>16</v>
      </c>
      <c r="G11" s="11" t="s">
        <v>26</v>
      </c>
      <c r="H11" s="11" t="s">
        <v>27</v>
      </c>
      <c r="I11" s="12">
        <f>VLOOKUP(extract!A11,import!A:J,9,FALSE)</f>
        <v>43393.505555555559</v>
      </c>
      <c r="J11" s="27">
        <v>43514.863946759258</v>
      </c>
      <c r="K11" s="27">
        <v>43580.476678240739</v>
      </c>
      <c r="L11" s="13" t="s">
        <v>406</v>
      </c>
      <c r="M11" s="11" t="s">
        <v>29</v>
      </c>
      <c r="N11" s="11" t="s">
        <v>275</v>
      </c>
      <c r="O11" s="14"/>
      <c r="P11" s="14">
        <f t="shared" si="1"/>
        <v>2</v>
      </c>
      <c r="Q11" s="14" t="str">
        <f t="shared" si="0"/>
        <v>Clos</v>
      </c>
      <c r="R11" s="27">
        <f t="shared" si="2"/>
        <v>43580.476678240739</v>
      </c>
      <c r="S11" s="12">
        <f t="shared" ca="1" si="3"/>
        <v>43665</v>
      </c>
      <c r="T11" s="15" t="str">
        <f t="shared" si="4"/>
        <v>30 et +</v>
      </c>
      <c r="U11" s="15" t="str">
        <f t="shared" si="5"/>
        <v>30 et +</v>
      </c>
      <c r="V11" s="15" t="str">
        <f t="shared" ca="1" si="6"/>
        <v>30 et +</v>
      </c>
      <c r="W11" s="16">
        <f t="shared" si="7"/>
        <v>1</v>
      </c>
    </row>
    <row r="12" spans="1:23" ht="30" x14ac:dyDescent="0.25">
      <c r="A12" s="11" t="s">
        <v>43</v>
      </c>
      <c r="B12" s="11" t="s">
        <v>12</v>
      </c>
      <c r="C12" s="11" t="str">
        <f>VLOOKUP(extract!A12,import!A:C,3,FALSE)</f>
        <v>Clos</v>
      </c>
      <c r="D12" s="3" t="s">
        <v>406</v>
      </c>
      <c r="E12" s="11" t="s">
        <v>406</v>
      </c>
      <c r="F12" s="11" t="s">
        <v>16</v>
      </c>
      <c r="G12" s="11" t="s">
        <v>26</v>
      </c>
      <c r="H12" s="11" t="s">
        <v>27</v>
      </c>
      <c r="I12" s="12">
        <f>VLOOKUP(extract!A12,import!A:J,9,FALSE)</f>
        <v>43393.544444444444</v>
      </c>
      <c r="J12" s="27">
        <v>43514.863946759258</v>
      </c>
      <c r="K12" s="27">
        <v>43580.479224537034</v>
      </c>
      <c r="L12" s="13" t="s">
        <v>406</v>
      </c>
      <c r="M12" s="11" t="s">
        <v>29</v>
      </c>
      <c r="N12" s="11" t="s">
        <v>275</v>
      </c>
      <c r="O12" s="14"/>
      <c r="P12" s="14">
        <f t="shared" si="1"/>
        <v>2</v>
      </c>
      <c r="Q12" s="14" t="str">
        <f t="shared" si="0"/>
        <v>Clos</v>
      </c>
      <c r="R12" s="27">
        <f t="shared" si="2"/>
        <v>43580.479224537034</v>
      </c>
      <c r="S12" s="12">
        <f t="shared" ca="1" si="3"/>
        <v>43665</v>
      </c>
      <c r="T12" s="15" t="str">
        <f t="shared" si="4"/>
        <v>30 et +</v>
      </c>
      <c r="U12" s="15" t="str">
        <f t="shared" si="5"/>
        <v>30 et +</v>
      </c>
      <c r="V12" s="15" t="str">
        <f t="shared" ca="1" si="6"/>
        <v>30 et +</v>
      </c>
      <c r="W12" s="16">
        <f t="shared" si="7"/>
        <v>1</v>
      </c>
    </row>
    <row r="13" spans="1:23" ht="30" x14ac:dyDescent="0.25">
      <c r="A13" s="11" t="s">
        <v>147</v>
      </c>
      <c r="B13" s="11" t="s">
        <v>12</v>
      </c>
      <c r="C13" s="11" t="str">
        <f>VLOOKUP(extract!A13,import!A:C,3,FALSE)</f>
        <v>Résolu</v>
      </c>
      <c r="D13" s="3" t="s">
        <v>406</v>
      </c>
      <c r="E13" s="11" t="s">
        <v>406</v>
      </c>
      <c r="F13" s="11" t="s">
        <v>16</v>
      </c>
      <c r="G13" s="11" t="s">
        <v>26</v>
      </c>
      <c r="H13" s="11" t="s">
        <v>27</v>
      </c>
      <c r="I13" s="12">
        <f>VLOOKUP(extract!A13,import!A:J,9,FALSE)</f>
        <v>43396.439583333333</v>
      </c>
      <c r="J13" s="27">
        <v>43514.863958333335</v>
      </c>
      <c r="K13" s="27">
        <v>43619.420659722222</v>
      </c>
      <c r="L13" s="13" t="s">
        <v>406</v>
      </c>
      <c r="M13" s="11" t="s">
        <v>29</v>
      </c>
      <c r="N13" s="11" t="s">
        <v>275</v>
      </c>
      <c r="O13" s="14"/>
      <c r="P13" s="14">
        <f t="shared" si="1"/>
        <v>2</v>
      </c>
      <c r="Q13" s="14" t="str">
        <f t="shared" si="0"/>
        <v>Clos</v>
      </c>
      <c r="R13" s="27">
        <f t="shared" si="2"/>
        <v>43619.420659722222</v>
      </c>
      <c r="S13" s="12">
        <f t="shared" ca="1" si="3"/>
        <v>43665</v>
      </c>
      <c r="T13" s="15" t="str">
        <f t="shared" si="4"/>
        <v>30 et +</v>
      </c>
      <c r="U13" s="15" t="str">
        <f t="shared" si="5"/>
        <v>30 et +</v>
      </c>
      <c r="V13" s="15" t="str">
        <f t="shared" ca="1" si="6"/>
        <v>30 et +</v>
      </c>
      <c r="W13" s="16">
        <f t="shared" si="7"/>
        <v>1</v>
      </c>
    </row>
    <row r="14" spans="1:23" ht="30" x14ac:dyDescent="0.25">
      <c r="A14" s="11" t="s">
        <v>72</v>
      </c>
      <c r="B14" s="11" t="s">
        <v>12</v>
      </c>
      <c r="C14" s="11" t="str">
        <f>VLOOKUP(extract!A14,import!A:C,3,FALSE)</f>
        <v>Résolu</v>
      </c>
      <c r="D14" s="3" t="s">
        <v>406</v>
      </c>
      <c r="E14" s="11" t="s">
        <v>406</v>
      </c>
      <c r="F14" s="11" t="s">
        <v>16</v>
      </c>
      <c r="G14" s="11" t="s">
        <v>26</v>
      </c>
      <c r="H14" s="11" t="s">
        <v>27</v>
      </c>
      <c r="I14" s="12">
        <f>VLOOKUP(extract!A14,import!A:J,9,FALSE)</f>
        <v>43398.292361111111</v>
      </c>
      <c r="J14" s="27">
        <v>43514.863958333335</v>
      </c>
      <c r="K14" s="27">
        <v>43619.416377314818</v>
      </c>
      <c r="L14" s="13" t="s">
        <v>406</v>
      </c>
      <c r="M14" s="11" t="s">
        <v>29</v>
      </c>
      <c r="N14" s="11" t="s">
        <v>276</v>
      </c>
      <c r="O14" s="14"/>
      <c r="P14" s="14">
        <f t="shared" si="1"/>
        <v>2</v>
      </c>
      <c r="Q14" s="14" t="str">
        <f t="shared" si="0"/>
        <v>Clos</v>
      </c>
      <c r="R14" s="27">
        <f t="shared" si="2"/>
        <v>43619.416377314818</v>
      </c>
      <c r="S14" s="12">
        <f t="shared" ca="1" si="3"/>
        <v>43665</v>
      </c>
      <c r="T14" s="15" t="str">
        <f t="shared" si="4"/>
        <v>30 et +</v>
      </c>
      <c r="U14" s="15" t="str">
        <f t="shared" si="5"/>
        <v>30 et +</v>
      </c>
      <c r="V14" s="15" t="str">
        <f t="shared" ca="1" si="6"/>
        <v>30 et +</v>
      </c>
      <c r="W14" s="16">
        <f t="shared" si="7"/>
        <v>1</v>
      </c>
    </row>
    <row r="15" spans="1:23" ht="30" x14ac:dyDescent="0.25">
      <c r="A15" s="11" t="s">
        <v>34</v>
      </c>
      <c r="B15" s="11" t="s">
        <v>12</v>
      </c>
      <c r="C15" s="11" t="str">
        <f>VLOOKUP(extract!A15,import!A:C,3,FALSE)</f>
        <v>Résolu</v>
      </c>
      <c r="D15" s="3" t="s">
        <v>406</v>
      </c>
      <c r="E15" s="11" t="s">
        <v>406</v>
      </c>
      <c r="F15" s="11" t="s">
        <v>16</v>
      </c>
      <c r="G15" s="11" t="s">
        <v>26</v>
      </c>
      <c r="H15" s="11" t="s">
        <v>27</v>
      </c>
      <c r="I15" s="12">
        <f>VLOOKUP(extract!A15,import!A:J,9,FALSE)</f>
        <v>43400.473611111112</v>
      </c>
      <c r="J15" s="27">
        <v>43514.863958333335</v>
      </c>
      <c r="K15" s="27">
        <v>43619.419039351851</v>
      </c>
      <c r="L15" s="13" t="s">
        <v>406</v>
      </c>
      <c r="M15" s="11" t="s">
        <v>29</v>
      </c>
      <c r="N15" s="11" t="s">
        <v>275</v>
      </c>
      <c r="O15" s="14"/>
      <c r="P15" s="14">
        <f t="shared" si="1"/>
        <v>2</v>
      </c>
      <c r="Q15" s="14" t="str">
        <f t="shared" si="0"/>
        <v>Clos</v>
      </c>
      <c r="R15" s="27">
        <f t="shared" si="2"/>
        <v>43619.419039351851</v>
      </c>
      <c r="S15" s="12">
        <f t="shared" ca="1" si="3"/>
        <v>43665</v>
      </c>
      <c r="T15" s="15" t="str">
        <f t="shared" si="4"/>
        <v>30 et +</v>
      </c>
      <c r="U15" s="15" t="str">
        <f t="shared" si="5"/>
        <v>30 et +</v>
      </c>
      <c r="V15" s="15" t="str">
        <f t="shared" ca="1" si="6"/>
        <v>30 et +</v>
      </c>
      <c r="W15" s="16">
        <f t="shared" si="7"/>
        <v>1</v>
      </c>
    </row>
    <row r="16" spans="1:23" ht="30" x14ac:dyDescent="0.25">
      <c r="A16" s="11" t="s">
        <v>84</v>
      </c>
      <c r="B16" s="11" t="s">
        <v>12</v>
      </c>
      <c r="C16" s="11" t="str">
        <f>VLOOKUP(extract!A16,import!A:C,3,FALSE)</f>
        <v>Résolu</v>
      </c>
      <c r="D16" s="3" t="s">
        <v>406</v>
      </c>
      <c r="E16" s="11" t="s">
        <v>406</v>
      </c>
      <c r="F16" s="11" t="s">
        <v>16</v>
      </c>
      <c r="G16" s="11" t="s">
        <v>26</v>
      </c>
      <c r="H16" s="11" t="s">
        <v>27</v>
      </c>
      <c r="I16" s="12">
        <f>VLOOKUP(extract!A16,import!A:J,9,FALSE)</f>
        <v>43400.655555555553</v>
      </c>
      <c r="J16" s="27">
        <v>43514.863958333335</v>
      </c>
      <c r="K16" s="27">
        <v>43619.419768518521</v>
      </c>
      <c r="L16" s="13" t="s">
        <v>406</v>
      </c>
      <c r="M16" s="11" t="s">
        <v>29</v>
      </c>
      <c r="N16" s="11" t="s">
        <v>275</v>
      </c>
      <c r="O16" s="14"/>
      <c r="P16" s="14">
        <f t="shared" si="1"/>
        <v>2</v>
      </c>
      <c r="Q16" s="14" t="str">
        <f t="shared" si="0"/>
        <v>Clos</v>
      </c>
      <c r="R16" s="27">
        <f t="shared" si="2"/>
        <v>43619.419768518521</v>
      </c>
      <c r="S16" s="12">
        <f t="shared" ca="1" si="3"/>
        <v>43665</v>
      </c>
      <c r="T16" s="15" t="str">
        <f t="shared" si="4"/>
        <v>30 et +</v>
      </c>
      <c r="U16" s="15" t="str">
        <f t="shared" si="5"/>
        <v>30 et +</v>
      </c>
      <c r="V16" s="15" t="str">
        <f t="shared" ca="1" si="6"/>
        <v>30 et +</v>
      </c>
      <c r="W16" s="16">
        <f t="shared" si="7"/>
        <v>1</v>
      </c>
    </row>
    <row r="17" spans="1:23" ht="30" x14ac:dyDescent="0.25">
      <c r="A17" s="11" t="s">
        <v>137</v>
      </c>
      <c r="B17" s="11" t="s">
        <v>12</v>
      </c>
      <c r="C17" s="11" t="str">
        <f>VLOOKUP(extract!A17,import!A:C,3,FALSE)</f>
        <v>Résolu</v>
      </c>
      <c r="D17" s="3" t="s">
        <v>406</v>
      </c>
      <c r="E17" s="11" t="s">
        <v>406</v>
      </c>
      <c r="F17" s="11" t="s">
        <v>16</v>
      </c>
      <c r="G17" s="11" t="s">
        <v>26</v>
      </c>
      <c r="H17" s="11" t="s">
        <v>27</v>
      </c>
      <c r="I17" s="12">
        <f>VLOOKUP(extract!A17,import!A:J,9,FALSE)</f>
        <v>43400.805555555555</v>
      </c>
      <c r="J17" s="27">
        <v>43514.863958333335</v>
      </c>
      <c r="K17" s="27">
        <v>43619.416863425926</v>
      </c>
      <c r="L17" s="13" t="s">
        <v>406</v>
      </c>
      <c r="M17" s="11" t="s">
        <v>29</v>
      </c>
      <c r="N17" s="14" t="s">
        <v>275</v>
      </c>
      <c r="O17" s="14"/>
      <c r="P17" s="14">
        <f t="shared" si="1"/>
        <v>2</v>
      </c>
      <c r="Q17" s="14" t="str">
        <f t="shared" si="0"/>
        <v>Clos</v>
      </c>
      <c r="R17" s="27">
        <f t="shared" si="2"/>
        <v>43619.416863425926</v>
      </c>
      <c r="S17" s="12">
        <f t="shared" ca="1" si="3"/>
        <v>43665</v>
      </c>
      <c r="T17" s="15" t="str">
        <f t="shared" si="4"/>
        <v>30 et +</v>
      </c>
      <c r="U17" s="15" t="str">
        <f t="shared" si="5"/>
        <v>30 et +</v>
      </c>
      <c r="V17" s="15" t="str">
        <f t="shared" ca="1" si="6"/>
        <v>30 et +</v>
      </c>
      <c r="W17" s="16">
        <f t="shared" si="7"/>
        <v>1</v>
      </c>
    </row>
    <row r="18" spans="1:23" ht="30" x14ac:dyDescent="0.25">
      <c r="A18" s="11" t="s">
        <v>98</v>
      </c>
      <c r="B18" s="11" t="s">
        <v>12</v>
      </c>
      <c r="C18" s="11" t="str">
        <f>VLOOKUP(extract!A18,import!A:C,3,FALSE)</f>
        <v>Résolu</v>
      </c>
      <c r="D18" s="3" t="s">
        <v>406</v>
      </c>
      <c r="E18" s="11" t="s">
        <v>406</v>
      </c>
      <c r="F18" s="11" t="s">
        <v>16</v>
      </c>
      <c r="G18" s="11" t="s">
        <v>26</v>
      </c>
      <c r="H18" s="11" t="s">
        <v>27</v>
      </c>
      <c r="I18" s="12">
        <f>VLOOKUP(extract!A18,import!A:J,9,FALSE)</f>
        <v>43408.015277777777</v>
      </c>
      <c r="J18" s="27">
        <v>43514.863958333335</v>
      </c>
      <c r="K18" s="27">
        <v>43619.417974537035</v>
      </c>
      <c r="L18" s="13" t="s">
        <v>406</v>
      </c>
      <c r="M18" s="11" t="s">
        <v>29</v>
      </c>
      <c r="N18" s="11" t="s">
        <v>275</v>
      </c>
      <c r="O18" s="14"/>
      <c r="P18" s="14">
        <f t="shared" si="1"/>
        <v>2</v>
      </c>
      <c r="Q18" s="14" t="str">
        <f t="shared" si="0"/>
        <v>Clos</v>
      </c>
      <c r="R18" s="27">
        <f t="shared" si="2"/>
        <v>43619.417974537035</v>
      </c>
      <c r="S18" s="12">
        <f t="shared" ca="1" si="3"/>
        <v>43665</v>
      </c>
      <c r="T18" s="15" t="str">
        <f t="shared" si="4"/>
        <v>30 et +</v>
      </c>
      <c r="U18" s="15" t="str">
        <f t="shared" si="5"/>
        <v>30 et +</v>
      </c>
      <c r="V18" s="15" t="str">
        <f t="shared" ca="1" si="6"/>
        <v>30 et +</v>
      </c>
      <c r="W18" s="16">
        <f t="shared" si="7"/>
        <v>1</v>
      </c>
    </row>
    <row r="19" spans="1:23" ht="30" x14ac:dyDescent="0.25">
      <c r="A19" s="11" t="s">
        <v>154</v>
      </c>
      <c r="B19" s="11" t="s">
        <v>12</v>
      </c>
      <c r="C19" s="11" t="str">
        <f>VLOOKUP(extract!A19,import!A:C,3,FALSE)</f>
        <v>Résolu</v>
      </c>
      <c r="D19" s="3" t="s">
        <v>406</v>
      </c>
      <c r="E19" s="11" t="s">
        <v>406</v>
      </c>
      <c r="F19" s="11" t="s">
        <v>16</v>
      </c>
      <c r="G19" s="11" t="s">
        <v>26</v>
      </c>
      <c r="H19" s="11" t="s">
        <v>27</v>
      </c>
      <c r="I19" s="12">
        <f>VLOOKUP(extract!A19,import!A:J,9,FALSE)</f>
        <v>43409.822222222225</v>
      </c>
      <c r="J19" s="27">
        <v>43514.863958333335</v>
      </c>
      <c r="K19" s="27">
        <v>43619.418634259258</v>
      </c>
      <c r="L19" s="13" t="s">
        <v>406</v>
      </c>
      <c r="M19" s="11" t="s">
        <v>29</v>
      </c>
      <c r="N19" s="11" t="s">
        <v>275</v>
      </c>
      <c r="O19" s="14"/>
      <c r="P19" s="14">
        <f t="shared" si="1"/>
        <v>2</v>
      </c>
      <c r="Q19" s="14" t="str">
        <f t="shared" si="0"/>
        <v>Clos</v>
      </c>
      <c r="R19" s="27">
        <f t="shared" si="2"/>
        <v>43619.418634259258</v>
      </c>
      <c r="S19" s="12">
        <f t="shared" ca="1" si="3"/>
        <v>43665</v>
      </c>
      <c r="T19" s="15" t="str">
        <f t="shared" si="4"/>
        <v>30 et +</v>
      </c>
      <c r="U19" s="15" t="str">
        <f t="shared" si="5"/>
        <v>30 et +</v>
      </c>
      <c r="V19" s="15" t="str">
        <f t="shared" ca="1" si="6"/>
        <v>30 et +</v>
      </c>
      <c r="W19" s="16">
        <f t="shared" si="7"/>
        <v>1</v>
      </c>
    </row>
    <row r="20" spans="1:23" ht="30" x14ac:dyDescent="0.25">
      <c r="A20" s="11" t="s">
        <v>86</v>
      </c>
      <c r="B20" s="11" t="s">
        <v>12</v>
      </c>
      <c r="C20" s="11" t="str">
        <f>VLOOKUP(extract!A20,import!A:C,3,FALSE)</f>
        <v>Résolu</v>
      </c>
      <c r="D20" s="3" t="s">
        <v>406</v>
      </c>
      <c r="E20" s="11" t="s">
        <v>406</v>
      </c>
      <c r="F20" s="11" t="s">
        <v>16</v>
      </c>
      <c r="G20" s="11" t="s">
        <v>26</v>
      </c>
      <c r="H20" s="11" t="s">
        <v>27</v>
      </c>
      <c r="I20" s="12">
        <f>VLOOKUP(extract!A20,import!A:J,9,FALSE)</f>
        <v>43411.752083333333</v>
      </c>
      <c r="J20" s="27">
        <v>43514.863969907405</v>
      </c>
      <c r="K20" s="27">
        <v>43619.424884259257</v>
      </c>
      <c r="L20" s="13" t="s">
        <v>406</v>
      </c>
      <c r="M20" s="11" t="s">
        <v>29</v>
      </c>
      <c r="N20" s="11" t="s">
        <v>276</v>
      </c>
      <c r="O20" s="14"/>
      <c r="P20" s="14">
        <f t="shared" si="1"/>
        <v>2</v>
      </c>
      <c r="Q20" s="14" t="str">
        <f t="shared" si="0"/>
        <v>Clos</v>
      </c>
      <c r="R20" s="27">
        <f t="shared" si="2"/>
        <v>43619.424884259257</v>
      </c>
      <c r="S20" s="12">
        <f t="shared" ca="1" si="3"/>
        <v>43665</v>
      </c>
      <c r="T20" s="15" t="str">
        <f t="shared" si="4"/>
        <v>30 et +</v>
      </c>
      <c r="U20" s="15" t="str">
        <f t="shared" si="5"/>
        <v>30 et +</v>
      </c>
      <c r="V20" s="15" t="str">
        <f t="shared" ca="1" si="6"/>
        <v>30 et +</v>
      </c>
      <c r="W20" s="16">
        <f t="shared" si="7"/>
        <v>1</v>
      </c>
    </row>
    <row r="21" spans="1:23" ht="30" x14ac:dyDescent="0.25">
      <c r="A21" s="11" t="s">
        <v>133</v>
      </c>
      <c r="B21" s="11" t="s">
        <v>12</v>
      </c>
      <c r="C21" s="11" t="str">
        <f>VLOOKUP(extract!A21,import!A:C,3,FALSE)</f>
        <v>Résolu</v>
      </c>
      <c r="D21" s="3" t="s">
        <v>406</v>
      </c>
      <c r="E21" s="11" t="s">
        <v>406</v>
      </c>
      <c r="F21" s="11" t="s">
        <v>16</v>
      </c>
      <c r="G21" s="11" t="s">
        <v>26</v>
      </c>
      <c r="H21" s="11" t="s">
        <v>27</v>
      </c>
      <c r="I21" s="12">
        <f>VLOOKUP(extract!A21,import!A:J,9,FALSE)</f>
        <v>43412.370138888888</v>
      </c>
      <c r="J21" s="27">
        <v>43514.863969907405</v>
      </c>
      <c r="K21" s="27">
        <v>43619.421793981484</v>
      </c>
      <c r="L21" s="13" t="s">
        <v>406</v>
      </c>
      <c r="M21" s="11" t="s">
        <v>29</v>
      </c>
      <c r="N21" s="11" t="s">
        <v>275</v>
      </c>
      <c r="O21" s="14"/>
      <c r="P21" s="14">
        <f t="shared" si="1"/>
        <v>2</v>
      </c>
      <c r="Q21" s="14" t="str">
        <f t="shared" si="0"/>
        <v>Clos</v>
      </c>
      <c r="R21" s="27">
        <f t="shared" si="2"/>
        <v>43619.421793981484</v>
      </c>
      <c r="S21" s="12">
        <f t="shared" ca="1" si="3"/>
        <v>43665</v>
      </c>
      <c r="T21" s="15" t="str">
        <f t="shared" si="4"/>
        <v>30 et +</v>
      </c>
      <c r="U21" s="15" t="str">
        <f t="shared" si="5"/>
        <v>30 et +</v>
      </c>
      <c r="V21" s="15" t="str">
        <f t="shared" ca="1" si="6"/>
        <v>30 et +</v>
      </c>
      <c r="W21" s="16">
        <f t="shared" si="7"/>
        <v>1</v>
      </c>
    </row>
    <row r="22" spans="1:23" ht="30" x14ac:dyDescent="0.25">
      <c r="A22" s="11" t="s">
        <v>78</v>
      </c>
      <c r="B22" s="11" t="s">
        <v>12</v>
      </c>
      <c r="C22" s="11" t="str">
        <f>VLOOKUP(extract!A22,import!A:C,3,FALSE)</f>
        <v>Résolu</v>
      </c>
      <c r="D22" s="3" t="s">
        <v>406</v>
      </c>
      <c r="E22" s="11" t="s">
        <v>406</v>
      </c>
      <c r="F22" s="11" t="s">
        <v>16</v>
      </c>
      <c r="G22" s="11" t="s">
        <v>26</v>
      </c>
      <c r="H22" s="11" t="s">
        <v>27</v>
      </c>
      <c r="I22" s="12">
        <f>VLOOKUP(extract!A22,import!A:J,9,FALSE)</f>
        <v>43415.427083333336</v>
      </c>
      <c r="J22" s="27">
        <v>43514.863969907405</v>
      </c>
      <c r="K22" s="27">
        <v>43619.421400462961</v>
      </c>
      <c r="L22" s="13" t="s">
        <v>406</v>
      </c>
      <c r="M22" s="11" t="s">
        <v>29</v>
      </c>
      <c r="N22" s="11" t="s">
        <v>275</v>
      </c>
      <c r="O22" s="14"/>
      <c r="P22" s="14">
        <f t="shared" si="1"/>
        <v>2</v>
      </c>
      <c r="Q22" s="14" t="str">
        <f t="shared" si="0"/>
        <v>Clos</v>
      </c>
      <c r="R22" s="27">
        <f t="shared" si="2"/>
        <v>43619.421400462961</v>
      </c>
      <c r="S22" s="12">
        <f t="shared" ca="1" si="3"/>
        <v>43665</v>
      </c>
      <c r="T22" s="15" t="str">
        <f t="shared" si="4"/>
        <v>30 et +</v>
      </c>
      <c r="U22" s="15" t="str">
        <f t="shared" si="5"/>
        <v>30 et +</v>
      </c>
      <c r="V22" s="15" t="str">
        <f t="shared" ca="1" si="6"/>
        <v>30 et +</v>
      </c>
      <c r="W22" s="16">
        <f t="shared" si="7"/>
        <v>1</v>
      </c>
    </row>
    <row r="23" spans="1:23" ht="30" x14ac:dyDescent="0.25">
      <c r="A23" s="11" t="s">
        <v>129</v>
      </c>
      <c r="B23" s="11" t="s">
        <v>12</v>
      </c>
      <c r="C23" s="11" t="str">
        <f>VLOOKUP(extract!A23,import!A:C,3,FALSE)</f>
        <v>Résolu</v>
      </c>
      <c r="D23" s="3" t="s">
        <v>406</v>
      </c>
      <c r="E23" s="11" t="s">
        <v>406</v>
      </c>
      <c r="F23" s="11" t="s">
        <v>16</v>
      </c>
      <c r="G23" s="11" t="s">
        <v>26</v>
      </c>
      <c r="H23" s="11" t="s">
        <v>27</v>
      </c>
      <c r="I23" s="12">
        <f>VLOOKUP(extract!A23,import!A:J,9,FALSE)</f>
        <v>43415.429861111108</v>
      </c>
      <c r="J23" s="27">
        <v>43514.863969907405</v>
      </c>
      <c r="K23" s="27">
        <v>43619.422280092593</v>
      </c>
      <c r="L23" s="13" t="s">
        <v>406</v>
      </c>
      <c r="M23" s="11" t="s">
        <v>29</v>
      </c>
      <c r="N23" s="14" t="s">
        <v>275</v>
      </c>
      <c r="O23" s="14"/>
      <c r="P23" s="14">
        <f t="shared" si="1"/>
        <v>2</v>
      </c>
      <c r="Q23" s="14" t="str">
        <f t="shared" si="0"/>
        <v>Clos</v>
      </c>
      <c r="R23" s="27">
        <f t="shared" si="2"/>
        <v>43619.422280092593</v>
      </c>
      <c r="S23" s="12">
        <f t="shared" ca="1" si="3"/>
        <v>43665</v>
      </c>
      <c r="T23" s="15" t="str">
        <f t="shared" si="4"/>
        <v>30 et +</v>
      </c>
      <c r="U23" s="15" t="str">
        <f t="shared" si="5"/>
        <v>30 et +</v>
      </c>
      <c r="V23" s="15" t="str">
        <f t="shared" ca="1" si="6"/>
        <v>30 et +</v>
      </c>
      <c r="W23" s="16">
        <f t="shared" si="7"/>
        <v>1</v>
      </c>
    </row>
    <row r="24" spans="1:23" ht="30" x14ac:dyDescent="0.25">
      <c r="A24" s="11" t="s">
        <v>126</v>
      </c>
      <c r="B24" s="11" t="s">
        <v>12</v>
      </c>
      <c r="C24" s="11" t="str">
        <f>VLOOKUP(extract!A24,import!A:C,3,FALSE)</f>
        <v>Clos</v>
      </c>
      <c r="D24" s="3" t="s">
        <v>406</v>
      </c>
      <c r="E24" s="11" t="s">
        <v>406</v>
      </c>
      <c r="F24" s="11" t="s">
        <v>16</v>
      </c>
      <c r="G24" s="11" t="s">
        <v>26</v>
      </c>
      <c r="H24" s="11" t="s">
        <v>27</v>
      </c>
      <c r="I24" s="12">
        <f>VLOOKUP(extract!A24,import!A:J,9,FALSE)</f>
        <v>43417.436805555553</v>
      </c>
      <c r="J24" s="27">
        <v>43514.863969907405</v>
      </c>
      <c r="K24" s="27">
        <v>43573.696828703702</v>
      </c>
      <c r="L24" s="13" t="s">
        <v>406</v>
      </c>
      <c r="M24" s="11" t="s">
        <v>29</v>
      </c>
      <c r="N24" s="11" t="s">
        <v>272</v>
      </c>
      <c r="O24" s="14"/>
      <c r="P24" s="14">
        <f t="shared" si="1"/>
        <v>2</v>
      </c>
      <c r="Q24" s="14" t="str">
        <f t="shared" si="0"/>
        <v>Clos</v>
      </c>
      <c r="R24" s="27">
        <f t="shared" si="2"/>
        <v>43573.696828703702</v>
      </c>
      <c r="S24" s="12">
        <f t="shared" ca="1" si="3"/>
        <v>43665</v>
      </c>
      <c r="T24" s="15" t="str">
        <f t="shared" si="4"/>
        <v>30 et +</v>
      </c>
      <c r="U24" s="15" t="str">
        <f t="shared" si="5"/>
        <v>30 et +</v>
      </c>
      <c r="V24" s="15" t="str">
        <f t="shared" ca="1" si="6"/>
        <v>30 et +</v>
      </c>
      <c r="W24" s="16">
        <f t="shared" si="7"/>
        <v>1</v>
      </c>
    </row>
    <row r="25" spans="1:23" ht="30" x14ac:dyDescent="0.25">
      <c r="A25" s="11" t="s">
        <v>32</v>
      </c>
      <c r="B25" s="11" t="s">
        <v>12</v>
      </c>
      <c r="C25" s="11" t="str">
        <f>VLOOKUP(extract!A25,import!A:C,3,FALSE)</f>
        <v>Clos</v>
      </c>
      <c r="D25" s="3" t="s">
        <v>406</v>
      </c>
      <c r="E25" s="11" t="s">
        <v>406</v>
      </c>
      <c r="F25" s="11" t="s">
        <v>16</v>
      </c>
      <c r="G25" s="11" t="s">
        <v>26</v>
      </c>
      <c r="H25" s="11" t="s">
        <v>27</v>
      </c>
      <c r="I25" s="12">
        <f>VLOOKUP(extract!A25,import!A:J,9,FALSE)</f>
        <v>43417.470138888886</v>
      </c>
      <c r="J25" s="27">
        <v>43514.863969907405</v>
      </c>
      <c r="K25" s="27">
        <v>43573.697685185187</v>
      </c>
      <c r="L25" s="13" t="s">
        <v>406</v>
      </c>
      <c r="M25" s="11" t="s">
        <v>29</v>
      </c>
      <c r="N25" s="11" t="s">
        <v>272</v>
      </c>
      <c r="O25" s="14"/>
      <c r="P25" s="14">
        <f t="shared" si="1"/>
        <v>2</v>
      </c>
      <c r="Q25" s="14" t="str">
        <f t="shared" si="0"/>
        <v>Clos</v>
      </c>
      <c r="R25" s="27">
        <f t="shared" si="2"/>
        <v>43573.697685185187</v>
      </c>
      <c r="S25" s="12">
        <f t="shared" ca="1" si="3"/>
        <v>43665</v>
      </c>
      <c r="T25" s="15" t="str">
        <f t="shared" si="4"/>
        <v>30 et +</v>
      </c>
      <c r="U25" s="15" t="str">
        <f t="shared" si="5"/>
        <v>30 et +</v>
      </c>
      <c r="V25" s="15" t="str">
        <f t="shared" ca="1" si="6"/>
        <v>30 et +</v>
      </c>
      <c r="W25" s="16">
        <f t="shared" si="7"/>
        <v>1</v>
      </c>
    </row>
    <row r="26" spans="1:23" ht="30" x14ac:dyDescent="0.25">
      <c r="A26" s="11" t="s">
        <v>59</v>
      </c>
      <c r="B26" s="11" t="s">
        <v>12</v>
      </c>
      <c r="C26" s="11" t="str">
        <f>VLOOKUP(extract!A26,import!A:C,3,FALSE)</f>
        <v>Résolu</v>
      </c>
      <c r="D26" s="3" t="s">
        <v>406</v>
      </c>
      <c r="E26" s="11" t="s">
        <v>406</v>
      </c>
      <c r="F26" s="11" t="s">
        <v>16</v>
      </c>
      <c r="G26" s="11" t="s">
        <v>26</v>
      </c>
      <c r="H26" s="11" t="s">
        <v>27</v>
      </c>
      <c r="I26" s="12">
        <f>VLOOKUP(extract!A26,import!A:J,9,FALSE)</f>
        <v>43417.597222222219</v>
      </c>
      <c r="J26" s="27">
        <v>43514.863969907405</v>
      </c>
      <c r="K26" s="27">
        <v>43619.424328703702</v>
      </c>
      <c r="L26" s="13" t="s">
        <v>406</v>
      </c>
      <c r="M26" s="11" t="s">
        <v>29</v>
      </c>
      <c r="N26" s="11" t="s">
        <v>273</v>
      </c>
      <c r="O26" s="14"/>
      <c r="P26" s="14">
        <f t="shared" si="1"/>
        <v>2</v>
      </c>
      <c r="Q26" s="14" t="str">
        <f t="shared" si="0"/>
        <v>Clos</v>
      </c>
      <c r="R26" s="27">
        <f t="shared" si="2"/>
        <v>43619.424328703702</v>
      </c>
      <c r="S26" s="12">
        <f t="shared" ca="1" si="3"/>
        <v>43665</v>
      </c>
      <c r="T26" s="15" t="str">
        <f t="shared" si="4"/>
        <v>30 et +</v>
      </c>
      <c r="U26" s="15" t="str">
        <f t="shared" si="5"/>
        <v>30 et +</v>
      </c>
      <c r="V26" s="15" t="str">
        <f t="shared" ca="1" si="6"/>
        <v>30 et +</v>
      </c>
      <c r="W26" s="16">
        <f t="shared" si="7"/>
        <v>1</v>
      </c>
    </row>
    <row r="27" spans="1:23" ht="30" x14ac:dyDescent="0.25">
      <c r="A27" s="11" t="s">
        <v>109</v>
      </c>
      <c r="B27" s="11" t="s">
        <v>12</v>
      </c>
      <c r="C27" s="11" t="str">
        <f>VLOOKUP(extract!A27,import!A:C,3,FALSE)</f>
        <v>Résolu</v>
      </c>
      <c r="D27" s="3" t="s">
        <v>406</v>
      </c>
      <c r="E27" s="11" t="s">
        <v>406</v>
      </c>
      <c r="F27" s="11" t="s">
        <v>16</v>
      </c>
      <c r="G27" s="11" t="s">
        <v>26</v>
      </c>
      <c r="H27" s="11" t="s">
        <v>27</v>
      </c>
      <c r="I27" s="12">
        <f>VLOOKUP(extract!A27,import!A:J,9,FALSE)</f>
        <v>43417.73333333333</v>
      </c>
      <c r="J27" s="27">
        <v>43514.863969907405</v>
      </c>
      <c r="K27" s="27">
        <v>43619.423379629632</v>
      </c>
      <c r="L27" s="13" t="s">
        <v>406</v>
      </c>
      <c r="M27" s="11" t="s">
        <v>29</v>
      </c>
      <c r="N27" s="11" t="s">
        <v>273</v>
      </c>
      <c r="O27" s="14"/>
      <c r="P27" s="14">
        <f t="shared" si="1"/>
        <v>2</v>
      </c>
      <c r="Q27" s="14" t="str">
        <f t="shared" si="0"/>
        <v>Clos</v>
      </c>
      <c r="R27" s="27">
        <f t="shared" si="2"/>
        <v>43619.423379629632</v>
      </c>
      <c r="S27" s="12">
        <f t="shared" ca="1" si="3"/>
        <v>43665</v>
      </c>
      <c r="T27" s="15" t="str">
        <f t="shared" si="4"/>
        <v>30 et +</v>
      </c>
      <c r="U27" s="15" t="str">
        <f t="shared" si="5"/>
        <v>30 et +</v>
      </c>
      <c r="V27" s="15" t="str">
        <f t="shared" ca="1" si="6"/>
        <v>30 et +</v>
      </c>
      <c r="W27" s="16">
        <f t="shared" si="7"/>
        <v>1</v>
      </c>
    </row>
    <row r="28" spans="1:23" ht="30" x14ac:dyDescent="0.25">
      <c r="A28" s="11" t="s">
        <v>54</v>
      </c>
      <c r="B28" s="11" t="s">
        <v>12</v>
      </c>
      <c r="C28" s="11" t="str">
        <f>VLOOKUP(extract!A28,import!A:C,3,FALSE)</f>
        <v>Résolu</v>
      </c>
      <c r="D28" s="3" t="s">
        <v>406</v>
      </c>
      <c r="E28" s="11" t="s">
        <v>406</v>
      </c>
      <c r="F28" s="11" t="s">
        <v>16</v>
      </c>
      <c r="G28" s="11" t="s">
        <v>26</v>
      </c>
      <c r="H28" s="11" t="s">
        <v>27</v>
      </c>
      <c r="I28" s="12">
        <f>VLOOKUP(extract!A28,import!A:J,9,FALSE)</f>
        <v>43418.085416666669</v>
      </c>
      <c r="J28" s="27">
        <v>43514.863981481481</v>
      </c>
      <c r="K28" s="27">
        <v>43619.426782407405</v>
      </c>
      <c r="L28" s="13" t="s">
        <v>406</v>
      </c>
      <c r="M28" s="11" t="s">
        <v>29</v>
      </c>
      <c r="N28" s="11" t="s">
        <v>275</v>
      </c>
      <c r="O28" s="14"/>
      <c r="P28" s="14">
        <f t="shared" si="1"/>
        <v>2</v>
      </c>
      <c r="Q28" s="14" t="str">
        <f t="shared" si="0"/>
        <v>Clos</v>
      </c>
      <c r="R28" s="27">
        <f t="shared" si="2"/>
        <v>43619.426782407405</v>
      </c>
      <c r="S28" s="12">
        <f t="shared" ca="1" si="3"/>
        <v>43665</v>
      </c>
      <c r="T28" s="15" t="str">
        <f t="shared" si="4"/>
        <v>30 et +</v>
      </c>
      <c r="U28" s="15" t="str">
        <f t="shared" si="5"/>
        <v>30 et +</v>
      </c>
      <c r="V28" s="15" t="str">
        <f t="shared" ca="1" si="6"/>
        <v>30 et +</v>
      </c>
      <c r="W28" s="16">
        <f t="shared" si="7"/>
        <v>1</v>
      </c>
    </row>
    <row r="29" spans="1:23" ht="30" x14ac:dyDescent="0.25">
      <c r="A29" s="11" t="s">
        <v>223</v>
      </c>
      <c r="B29" s="11" t="s">
        <v>12</v>
      </c>
      <c r="C29" s="11" t="str">
        <f>VLOOKUP(extract!A29,import!A:C,3,FALSE)</f>
        <v>Clos</v>
      </c>
      <c r="D29" s="3" t="s">
        <v>406</v>
      </c>
      <c r="E29" s="11" t="s">
        <v>406</v>
      </c>
      <c r="F29" s="11" t="s">
        <v>16</v>
      </c>
      <c r="G29" s="11" t="s">
        <v>168</v>
      </c>
      <c r="H29" s="11" t="s">
        <v>27</v>
      </c>
      <c r="I29" s="12">
        <f>VLOOKUP(extract!A29,import!A:J,9,FALSE)</f>
        <v>43426.439583333333</v>
      </c>
      <c r="J29" s="27">
        <v>43514.863981481481</v>
      </c>
      <c r="K29" s="27">
        <v>43544.725844907407</v>
      </c>
      <c r="L29" s="13" t="s">
        <v>406</v>
      </c>
      <c r="M29" s="11" t="s">
        <v>29</v>
      </c>
      <c r="N29" s="14"/>
      <c r="O29" s="14"/>
      <c r="P29" s="14">
        <f t="shared" si="1"/>
        <v>2</v>
      </c>
      <c r="Q29" s="14" t="str">
        <f t="shared" si="0"/>
        <v>Clos</v>
      </c>
      <c r="R29" s="27">
        <f t="shared" si="2"/>
        <v>43544.725844907407</v>
      </c>
      <c r="S29" s="12">
        <f t="shared" ca="1" si="3"/>
        <v>43665</v>
      </c>
      <c r="T29" s="15" t="str">
        <f t="shared" si="4"/>
        <v>30 et +</v>
      </c>
      <c r="U29" s="15" t="str">
        <f t="shared" si="5"/>
        <v>30 et +</v>
      </c>
      <c r="V29" s="15" t="str">
        <f t="shared" ca="1" si="6"/>
        <v>30 et +</v>
      </c>
      <c r="W29" s="16">
        <f t="shared" si="7"/>
        <v>1</v>
      </c>
    </row>
    <row r="30" spans="1:23" ht="30" x14ac:dyDescent="0.25">
      <c r="A30" s="11" t="s">
        <v>41</v>
      </c>
      <c r="B30" s="11" t="s">
        <v>12</v>
      </c>
      <c r="C30" s="11" t="str">
        <f>VLOOKUP(extract!A30,import!A:C,3,FALSE)</f>
        <v>Résolu</v>
      </c>
      <c r="D30" s="3" t="s">
        <v>406</v>
      </c>
      <c r="E30" s="11" t="s">
        <v>406</v>
      </c>
      <c r="F30" s="11" t="s">
        <v>16</v>
      </c>
      <c r="G30" s="11" t="s">
        <v>26</v>
      </c>
      <c r="H30" s="11" t="s">
        <v>27</v>
      </c>
      <c r="I30" s="12">
        <f>VLOOKUP(extract!A30,import!A:J,9,FALSE)</f>
        <v>43430.726388888892</v>
      </c>
      <c r="J30" s="27">
        <v>43514.863981481481</v>
      </c>
      <c r="K30" s="27">
        <v>43619.434652777774</v>
      </c>
      <c r="L30" s="13" t="s">
        <v>406</v>
      </c>
      <c r="M30" s="11" t="s">
        <v>29</v>
      </c>
      <c r="N30" s="11" t="s">
        <v>275</v>
      </c>
      <c r="O30" s="14"/>
      <c r="P30" s="14">
        <f t="shared" si="1"/>
        <v>2</v>
      </c>
      <c r="Q30" s="14" t="str">
        <f t="shared" si="0"/>
        <v>Clos</v>
      </c>
      <c r="R30" s="27">
        <f t="shared" si="2"/>
        <v>43619.434652777774</v>
      </c>
      <c r="S30" s="12">
        <f t="shared" ca="1" si="3"/>
        <v>43665</v>
      </c>
      <c r="T30" s="15" t="str">
        <f t="shared" si="4"/>
        <v>30 et +</v>
      </c>
      <c r="U30" s="15" t="str">
        <f t="shared" si="5"/>
        <v>30 et +</v>
      </c>
      <c r="V30" s="15" t="str">
        <f t="shared" ca="1" si="6"/>
        <v>30 et +</v>
      </c>
      <c r="W30" s="16">
        <f t="shared" si="7"/>
        <v>1</v>
      </c>
    </row>
    <row r="31" spans="1:23" ht="30" x14ac:dyDescent="0.25">
      <c r="A31" s="11" t="s">
        <v>90</v>
      </c>
      <c r="B31" s="11" t="s">
        <v>12</v>
      </c>
      <c r="C31" s="11" t="str">
        <f>VLOOKUP(extract!A31,import!A:C,3,FALSE)</f>
        <v>Résolu</v>
      </c>
      <c r="D31" s="3" t="s">
        <v>406</v>
      </c>
      <c r="E31" s="11" t="s">
        <v>406</v>
      </c>
      <c r="F31" s="11" t="s">
        <v>16</v>
      </c>
      <c r="G31" s="11" t="s">
        <v>26</v>
      </c>
      <c r="H31" s="11" t="s">
        <v>27</v>
      </c>
      <c r="I31" s="12">
        <f>VLOOKUP(extract!A31,import!A:J,9,FALSE)</f>
        <v>43430.793055555558</v>
      </c>
      <c r="J31" s="27">
        <v>43514.863981481481</v>
      </c>
      <c r="K31" s="27">
        <v>43619.431851851848</v>
      </c>
      <c r="L31" s="13" t="s">
        <v>406</v>
      </c>
      <c r="M31" s="11" t="s">
        <v>29</v>
      </c>
      <c r="N31" s="11" t="s">
        <v>275</v>
      </c>
      <c r="O31" s="14"/>
      <c r="P31" s="14">
        <f t="shared" si="1"/>
        <v>2</v>
      </c>
      <c r="Q31" s="14" t="str">
        <f t="shared" si="0"/>
        <v>Clos</v>
      </c>
      <c r="R31" s="27">
        <f t="shared" si="2"/>
        <v>43619.431851851848</v>
      </c>
      <c r="S31" s="12">
        <f t="shared" ca="1" si="3"/>
        <v>43665</v>
      </c>
      <c r="T31" s="15" t="str">
        <f t="shared" si="4"/>
        <v>30 et +</v>
      </c>
      <c r="U31" s="15" t="str">
        <f t="shared" si="5"/>
        <v>30 et +</v>
      </c>
      <c r="V31" s="15" t="str">
        <f t="shared" ca="1" si="6"/>
        <v>30 et +</v>
      </c>
      <c r="W31" s="16">
        <f t="shared" si="7"/>
        <v>1</v>
      </c>
    </row>
    <row r="32" spans="1:23" ht="30" x14ac:dyDescent="0.25">
      <c r="A32" s="11" t="s">
        <v>225</v>
      </c>
      <c r="B32" s="11" t="s">
        <v>12</v>
      </c>
      <c r="C32" s="11" t="str">
        <f>VLOOKUP(extract!A32,import!A:C,3,FALSE)</f>
        <v>Clos</v>
      </c>
      <c r="D32" s="3" t="s">
        <v>406</v>
      </c>
      <c r="E32" s="11" t="s">
        <v>406</v>
      </c>
      <c r="F32" s="11" t="s">
        <v>16</v>
      </c>
      <c r="G32" s="11" t="s">
        <v>168</v>
      </c>
      <c r="H32" s="11" t="s">
        <v>27</v>
      </c>
      <c r="I32" s="12">
        <f>VLOOKUP(extract!A32,import!A:J,9,FALSE)</f>
        <v>43433.441666666666</v>
      </c>
      <c r="J32" s="27">
        <v>43514.863993055558</v>
      </c>
      <c r="K32" s="27">
        <v>43544.727002314816</v>
      </c>
      <c r="L32" s="13" t="s">
        <v>406</v>
      </c>
      <c r="M32" s="11" t="s">
        <v>29</v>
      </c>
      <c r="N32" s="14"/>
      <c r="O32" s="14"/>
      <c r="P32" s="14">
        <f t="shared" si="1"/>
        <v>2</v>
      </c>
      <c r="Q32" s="14" t="str">
        <f t="shared" si="0"/>
        <v>Clos</v>
      </c>
      <c r="R32" s="27">
        <f t="shared" si="2"/>
        <v>43544.727002314816</v>
      </c>
      <c r="S32" s="12">
        <f t="shared" ca="1" si="3"/>
        <v>43665</v>
      </c>
      <c r="T32" s="15" t="str">
        <f t="shared" si="4"/>
        <v>30 et +</v>
      </c>
      <c r="U32" s="15" t="str">
        <f t="shared" si="5"/>
        <v>30 et +</v>
      </c>
      <c r="V32" s="15" t="str">
        <f t="shared" ca="1" si="6"/>
        <v>30 et +</v>
      </c>
      <c r="W32" s="16">
        <f t="shared" si="7"/>
        <v>1</v>
      </c>
    </row>
    <row r="33" spans="1:23" ht="30" x14ac:dyDescent="0.25">
      <c r="A33" s="11" t="s">
        <v>81</v>
      </c>
      <c r="B33" s="11" t="s">
        <v>12</v>
      </c>
      <c r="C33" s="11" t="str">
        <f>VLOOKUP(extract!A33,import!A:C,3,FALSE)</f>
        <v>Résolu</v>
      </c>
      <c r="D33" s="3" t="s">
        <v>406</v>
      </c>
      <c r="E33" s="11" t="s">
        <v>406</v>
      </c>
      <c r="F33" s="11" t="s">
        <v>16</v>
      </c>
      <c r="G33" s="11" t="s">
        <v>26</v>
      </c>
      <c r="H33" s="11" t="s">
        <v>27</v>
      </c>
      <c r="I33" s="12">
        <f>VLOOKUP(extract!A33,import!A:J,9,FALSE)</f>
        <v>43433.477083333331</v>
      </c>
      <c r="J33" s="27">
        <v>43514.863993055558</v>
      </c>
      <c r="K33" s="27">
        <v>43619.43613425926</v>
      </c>
      <c r="L33" s="13" t="s">
        <v>406</v>
      </c>
      <c r="M33" s="11" t="s">
        <v>29</v>
      </c>
      <c r="N33" s="11" t="s">
        <v>275</v>
      </c>
      <c r="O33" s="14"/>
      <c r="P33" s="14">
        <f t="shared" si="1"/>
        <v>2</v>
      </c>
      <c r="Q33" s="14" t="str">
        <f t="shared" si="0"/>
        <v>Clos</v>
      </c>
      <c r="R33" s="27">
        <f t="shared" si="2"/>
        <v>43619.43613425926</v>
      </c>
      <c r="S33" s="12">
        <f t="shared" ca="1" si="3"/>
        <v>43665</v>
      </c>
      <c r="T33" s="15" t="str">
        <f t="shared" si="4"/>
        <v>30 et +</v>
      </c>
      <c r="U33" s="15" t="str">
        <f t="shared" si="5"/>
        <v>30 et +</v>
      </c>
      <c r="V33" s="15" t="str">
        <f t="shared" ca="1" si="6"/>
        <v>30 et +</v>
      </c>
      <c r="W33" s="16">
        <f t="shared" si="7"/>
        <v>1</v>
      </c>
    </row>
    <row r="34" spans="1:23" ht="30" x14ac:dyDescent="0.25">
      <c r="A34" s="11" t="s">
        <v>62</v>
      </c>
      <c r="B34" s="11" t="s">
        <v>12</v>
      </c>
      <c r="C34" s="11" t="str">
        <f>VLOOKUP(extract!A34,import!A:C,3,FALSE)</f>
        <v>Résolu</v>
      </c>
      <c r="D34" s="3" t="s">
        <v>406</v>
      </c>
      <c r="E34" s="11" t="s">
        <v>406</v>
      </c>
      <c r="F34" s="11" t="s">
        <v>16</v>
      </c>
      <c r="G34" s="11" t="s">
        <v>26</v>
      </c>
      <c r="H34" s="11" t="s">
        <v>27</v>
      </c>
      <c r="I34" s="12">
        <f>VLOOKUP(extract!A34,import!A:J,9,FALSE)</f>
        <v>43435.950694444444</v>
      </c>
      <c r="J34" s="27">
        <v>43514.863993055558</v>
      </c>
      <c r="K34" s="27">
        <v>43619.437152777777</v>
      </c>
      <c r="L34" s="13" t="s">
        <v>406</v>
      </c>
      <c r="M34" s="11" t="s">
        <v>29</v>
      </c>
      <c r="N34" s="11" t="s">
        <v>275</v>
      </c>
      <c r="O34" s="14"/>
      <c r="P34" s="14">
        <f t="shared" si="1"/>
        <v>2</v>
      </c>
      <c r="Q34" s="14" t="str">
        <f t="shared" ref="Q34:Q65" si="8">IF(C34="résolu","Clos",(IF(C34="Résolu techniquement","Clos",C34)))</f>
        <v>Clos</v>
      </c>
      <c r="R34" s="27">
        <f t="shared" si="2"/>
        <v>43619.437152777777</v>
      </c>
      <c r="S34" s="12">
        <f t="shared" ca="1" si="3"/>
        <v>43665</v>
      </c>
      <c r="T34" s="15" t="str">
        <f t="shared" si="4"/>
        <v>30 et +</v>
      </c>
      <c r="U34" s="15" t="str">
        <f t="shared" si="5"/>
        <v>30 et +</v>
      </c>
      <c r="V34" s="15" t="str">
        <f t="shared" ca="1" si="6"/>
        <v>30 et +</v>
      </c>
      <c r="W34" s="16">
        <f t="shared" si="7"/>
        <v>1</v>
      </c>
    </row>
    <row r="35" spans="1:23" ht="30" x14ac:dyDescent="0.25">
      <c r="A35" s="11" t="s">
        <v>207</v>
      </c>
      <c r="B35" s="11" t="s">
        <v>12</v>
      </c>
      <c r="C35" s="11" t="str">
        <f>VLOOKUP(extract!A35,import!A:C,3,FALSE)</f>
        <v>Résolu</v>
      </c>
      <c r="D35" s="3" t="s">
        <v>406</v>
      </c>
      <c r="E35" s="11" t="s">
        <v>406</v>
      </c>
      <c r="F35" s="11" t="s">
        <v>16</v>
      </c>
      <c r="G35" s="11" t="s">
        <v>205</v>
      </c>
      <c r="H35" s="11" t="s">
        <v>208</v>
      </c>
      <c r="I35" s="12">
        <f>VLOOKUP(extract!A35,import!A:J,9,FALSE)</f>
        <v>43430</v>
      </c>
      <c r="J35" s="27">
        <v>43514.863993055558</v>
      </c>
      <c r="K35" s="27">
        <v>43496.691620370373</v>
      </c>
      <c r="L35" s="13" t="s">
        <v>406</v>
      </c>
      <c r="M35" s="11" t="s">
        <v>29</v>
      </c>
      <c r="N35" s="11"/>
      <c r="O35" s="14"/>
      <c r="P35" s="14">
        <f t="shared" si="1"/>
        <v>2</v>
      </c>
      <c r="Q35" s="14" t="str">
        <f t="shared" si="8"/>
        <v>Clos</v>
      </c>
      <c r="R35" s="27">
        <f t="shared" si="2"/>
        <v>43496.691620370373</v>
      </c>
      <c r="S35" s="12">
        <f t="shared" ca="1" si="3"/>
        <v>43665</v>
      </c>
      <c r="T35" s="15" t="str">
        <f t="shared" si="4"/>
        <v>30 et +</v>
      </c>
      <c r="U35" s="15" t="str">
        <f t="shared" si="5"/>
        <v>30 et +</v>
      </c>
      <c r="V35" s="15" t="str">
        <f t="shared" ca="1" si="6"/>
        <v>30 et +</v>
      </c>
      <c r="W35" s="16">
        <f t="shared" si="7"/>
        <v>1</v>
      </c>
    </row>
    <row r="36" spans="1:23" ht="30" x14ac:dyDescent="0.25">
      <c r="A36" s="11" t="s">
        <v>21</v>
      </c>
      <c r="B36" s="11" t="s">
        <v>12</v>
      </c>
      <c r="C36" s="11" t="s">
        <v>13</v>
      </c>
      <c r="D36" s="3" t="s">
        <v>406</v>
      </c>
      <c r="E36" s="11" t="s">
        <v>406</v>
      </c>
      <c r="F36" s="11" t="s">
        <v>16</v>
      </c>
      <c r="G36" s="11" t="s">
        <v>17</v>
      </c>
      <c r="H36" s="11" t="s">
        <v>23</v>
      </c>
      <c r="I36" s="27">
        <v>43514.863993055558</v>
      </c>
      <c r="J36" s="27">
        <v>43514.863993055558</v>
      </c>
      <c r="K36" s="27">
        <v>43619.436550925922</v>
      </c>
      <c r="L36" s="13" t="s">
        <v>406</v>
      </c>
      <c r="M36" s="11" t="s">
        <v>19</v>
      </c>
      <c r="N36" s="11" t="s">
        <v>270</v>
      </c>
      <c r="O36" s="14"/>
      <c r="P36" s="14">
        <f t="shared" si="1"/>
        <v>4</v>
      </c>
      <c r="Q36" s="14" t="str">
        <f>IF(C36="résolu","Clos",(IF(C36="Résolu techniquement","Clos",C36)))</f>
        <v>En cours</v>
      </c>
      <c r="R36" s="27">
        <f t="shared" si="2"/>
        <v>43619.436550925922</v>
      </c>
      <c r="S36" s="12">
        <f t="shared" ca="1" si="3"/>
        <v>43665</v>
      </c>
      <c r="T36" s="15" t="str">
        <f t="shared" ca="1" si="4"/>
        <v>30 et +</v>
      </c>
      <c r="U36" s="15" t="str">
        <f t="shared" si="5"/>
        <v>30 et +</v>
      </c>
      <c r="V36" s="15" t="str">
        <f t="shared" ca="1" si="6"/>
        <v>30 et +</v>
      </c>
      <c r="W36" s="16">
        <f t="shared" si="7"/>
        <v>1</v>
      </c>
    </row>
    <row r="37" spans="1:23" ht="30" x14ac:dyDescent="0.25">
      <c r="A37" s="11" t="s">
        <v>39</v>
      </c>
      <c r="B37" s="11" t="s">
        <v>12</v>
      </c>
      <c r="C37" s="11" t="s">
        <v>13</v>
      </c>
      <c r="D37" s="3" t="s">
        <v>406</v>
      </c>
      <c r="E37" s="11" t="s">
        <v>406</v>
      </c>
      <c r="F37" s="11" t="s">
        <v>16</v>
      </c>
      <c r="G37" s="11" t="s">
        <v>26</v>
      </c>
      <c r="H37" s="11" t="s">
        <v>27</v>
      </c>
      <c r="I37" s="12">
        <f>VLOOKUP(extract!A37,import!A:J,9,FALSE)</f>
        <v>43438.820138888892</v>
      </c>
      <c r="J37" s="27">
        <v>43514.863993055558</v>
      </c>
      <c r="K37" s="27"/>
      <c r="L37" s="13" t="s">
        <v>406</v>
      </c>
      <c r="M37" s="11" t="s">
        <v>29</v>
      </c>
      <c r="N37" s="11" t="s">
        <v>275</v>
      </c>
      <c r="O37" s="14"/>
      <c r="P37" s="14">
        <f t="shared" si="1"/>
        <v>2</v>
      </c>
      <c r="Q37" s="14" t="str">
        <f>IF(C37="résolu","Clos",(IF(C37="Résolu techniquement","Clos",C37)))</f>
        <v>En cours</v>
      </c>
      <c r="R37" s="27" t="str">
        <f t="shared" si="2"/>
        <v>non résolu</v>
      </c>
      <c r="S37" s="12">
        <f t="shared" ca="1" si="3"/>
        <v>43665</v>
      </c>
      <c r="T37" s="15" t="str">
        <f ca="1">IF(Q37="Clos",U37,V37)</f>
        <v>30 et +</v>
      </c>
      <c r="U37" s="15" t="e">
        <f t="shared" si="5"/>
        <v>#VALUE!</v>
      </c>
      <c r="V37" s="15" t="str">
        <f t="shared" ca="1" si="6"/>
        <v>30 et +</v>
      </c>
      <c r="W37" s="16">
        <f t="shared" si="7"/>
        <v>1</v>
      </c>
    </row>
    <row r="38" spans="1:23" ht="30" x14ac:dyDescent="0.25">
      <c r="A38" s="11" t="s">
        <v>68</v>
      </c>
      <c r="B38" s="11" t="s">
        <v>12</v>
      </c>
      <c r="C38" s="11" t="str">
        <f>VLOOKUP(extract!A38,import!A:C,3,FALSE)</f>
        <v>En cours</v>
      </c>
      <c r="D38" s="3" t="s">
        <v>406</v>
      </c>
      <c r="E38" s="11" t="s">
        <v>406</v>
      </c>
      <c r="F38" s="11" t="s">
        <v>16</v>
      </c>
      <c r="G38" s="11" t="s">
        <v>26</v>
      </c>
      <c r="H38" s="11" t="s">
        <v>27</v>
      </c>
      <c r="I38" s="12">
        <f>VLOOKUP(extract!A38,import!A:J,9,FALSE)</f>
        <v>43441.681250000001</v>
      </c>
      <c r="J38" s="27">
        <v>43514.864004629628</v>
      </c>
      <c r="K38" s="27"/>
      <c r="L38" s="13" t="s">
        <v>406</v>
      </c>
      <c r="M38" s="11" t="s">
        <v>29</v>
      </c>
      <c r="N38" s="11" t="s">
        <v>277</v>
      </c>
      <c r="O38" s="14"/>
      <c r="P38" s="14">
        <f t="shared" si="1"/>
        <v>2</v>
      </c>
      <c r="Q38" s="14" t="str">
        <f t="shared" si="8"/>
        <v>En cours</v>
      </c>
      <c r="R38" s="27" t="str">
        <f t="shared" si="2"/>
        <v>non résolu</v>
      </c>
      <c r="S38" s="12">
        <f t="shared" ca="1" si="3"/>
        <v>43665</v>
      </c>
      <c r="T38" s="15" t="str">
        <f t="shared" ca="1" si="4"/>
        <v>30 et +</v>
      </c>
      <c r="U38" s="15" t="e">
        <f t="shared" si="5"/>
        <v>#VALUE!</v>
      </c>
      <c r="V38" s="15" t="str">
        <f t="shared" ca="1" si="6"/>
        <v>30 et +</v>
      </c>
      <c r="W38" s="16">
        <f t="shared" si="7"/>
        <v>1</v>
      </c>
    </row>
    <row r="39" spans="1:23" ht="30" x14ac:dyDescent="0.25">
      <c r="A39" s="11" t="s">
        <v>121</v>
      </c>
      <c r="B39" s="11" t="s">
        <v>12</v>
      </c>
      <c r="C39" s="11" t="str">
        <f>VLOOKUP(extract!A39,import!A:C,3,FALSE)</f>
        <v>En cours</v>
      </c>
      <c r="D39" s="3" t="s">
        <v>406</v>
      </c>
      <c r="E39" s="11" t="s">
        <v>406</v>
      </c>
      <c r="F39" s="11" t="s">
        <v>16</v>
      </c>
      <c r="G39" s="11" t="s">
        <v>26</v>
      </c>
      <c r="H39" s="11" t="s">
        <v>27</v>
      </c>
      <c r="I39" s="12">
        <f>VLOOKUP(extract!A39,import!A:J,9,FALSE)</f>
        <v>43441.684027777781</v>
      </c>
      <c r="J39" s="27">
        <v>43514.864004629628</v>
      </c>
      <c r="K39" s="27">
        <v>43619.437650462962</v>
      </c>
      <c r="L39" s="13" t="s">
        <v>406</v>
      </c>
      <c r="M39" s="11" t="s">
        <v>29</v>
      </c>
      <c r="N39" s="11" t="s">
        <v>277</v>
      </c>
      <c r="O39" s="14"/>
      <c r="P39" s="14">
        <f t="shared" si="1"/>
        <v>2</v>
      </c>
      <c r="Q39" s="14" t="str">
        <f t="shared" si="8"/>
        <v>En cours</v>
      </c>
      <c r="R39" s="27">
        <f t="shared" si="2"/>
        <v>43619.437650462962</v>
      </c>
      <c r="S39" s="12">
        <f t="shared" ca="1" si="3"/>
        <v>43665</v>
      </c>
      <c r="T39" s="15" t="str">
        <f t="shared" ca="1" si="4"/>
        <v>30 et +</v>
      </c>
      <c r="U39" s="15" t="str">
        <f t="shared" si="5"/>
        <v>30 et +</v>
      </c>
      <c r="V39" s="15" t="str">
        <f t="shared" ca="1" si="6"/>
        <v>30 et +</v>
      </c>
      <c r="W39" s="16">
        <f t="shared" si="7"/>
        <v>1</v>
      </c>
    </row>
    <row r="40" spans="1:23" ht="30" x14ac:dyDescent="0.25">
      <c r="A40" s="11" t="s">
        <v>124</v>
      </c>
      <c r="B40" s="11" t="s">
        <v>12</v>
      </c>
      <c r="C40" s="11" t="s">
        <v>13</v>
      </c>
      <c r="D40" s="3" t="s">
        <v>406</v>
      </c>
      <c r="E40" s="11" t="s">
        <v>406</v>
      </c>
      <c r="F40" s="11" t="s">
        <v>16</v>
      </c>
      <c r="G40" s="11" t="s">
        <v>26</v>
      </c>
      <c r="H40" s="11" t="s">
        <v>27</v>
      </c>
      <c r="I40" s="12">
        <f>VLOOKUP(extract!A40,import!A:J,9,FALSE)</f>
        <v>43445.50277777778</v>
      </c>
      <c r="J40" s="27">
        <v>43514.864004629628</v>
      </c>
      <c r="K40" s="27"/>
      <c r="L40" s="13" t="s">
        <v>406</v>
      </c>
      <c r="M40" s="11" t="s">
        <v>29</v>
      </c>
      <c r="N40" s="11" t="s">
        <v>275</v>
      </c>
      <c r="O40" s="14"/>
      <c r="P40" s="14">
        <f t="shared" si="1"/>
        <v>2</v>
      </c>
      <c r="Q40" s="14" t="str">
        <f t="shared" si="8"/>
        <v>En cours</v>
      </c>
      <c r="R40" s="27" t="str">
        <f t="shared" si="2"/>
        <v>non résolu</v>
      </c>
      <c r="S40" s="12">
        <f t="shared" ca="1" si="3"/>
        <v>43665</v>
      </c>
      <c r="T40" s="15" t="str">
        <f t="shared" ca="1" si="4"/>
        <v>30 et +</v>
      </c>
      <c r="U40" s="15" t="e">
        <f t="shared" si="5"/>
        <v>#VALUE!</v>
      </c>
      <c r="V40" s="15" t="str">
        <f t="shared" ca="1" si="6"/>
        <v>30 et +</v>
      </c>
      <c r="W40" s="16">
        <f t="shared" si="7"/>
        <v>1</v>
      </c>
    </row>
    <row r="41" spans="1:23" ht="30" x14ac:dyDescent="0.25">
      <c r="A41" s="11" t="s">
        <v>30</v>
      </c>
      <c r="B41" s="11" t="s">
        <v>12</v>
      </c>
      <c r="C41" s="11" t="str">
        <f>VLOOKUP(extract!A41,import!A:C,3,FALSE)</f>
        <v>En cours</v>
      </c>
      <c r="D41" s="3" t="s">
        <v>406</v>
      </c>
      <c r="E41" s="11" t="s">
        <v>406</v>
      </c>
      <c r="F41" s="11" t="s">
        <v>16</v>
      </c>
      <c r="G41" s="11" t="s">
        <v>26</v>
      </c>
      <c r="H41" s="11" t="s">
        <v>27</v>
      </c>
      <c r="I41" s="12">
        <f>VLOOKUP(extract!A41,import!A:J,9,FALSE)</f>
        <v>43448.01666666667</v>
      </c>
      <c r="J41" s="27">
        <v>43514.864004629628</v>
      </c>
      <c r="K41" s="27"/>
      <c r="L41" s="13" t="s">
        <v>406</v>
      </c>
      <c r="M41" s="11" t="s">
        <v>29</v>
      </c>
      <c r="N41" s="11" t="s">
        <v>277</v>
      </c>
      <c r="O41" s="14"/>
      <c r="P41" s="14">
        <f t="shared" si="1"/>
        <v>2</v>
      </c>
      <c r="Q41" s="14" t="str">
        <f t="shared" si="8"/>
        <v>En cours</v>
      </c>
      <c r="R41" s="27" t="str">
        <f t="shared" si="2"/>
        <v>non résolu</v>
      </c>
      <c r="S41" s="12">
        <f t="shared" ca="1" si="3"/>
        <v>43665</v>
      </c>
      <c r="T41" s="15" t="str">
        <f t="shared" ca="1" si="4"/>
        <v>30 et +</v>
      </c>
      <c r="U41" s="15" t="e">
        <f t="shared" si="5"/>
        <v>#VALUE!</v>
      </c>
      <c r="V41" s="15" t="str">
        <f t="shared" ca="1" si="6"/>
        <v>30 et +</v>
      </c>
      <c r="W41" s="16">
        <f t="shared" si="7"/>
        <v>1</v>
      </c>
    </row>
    <row r="42" spans="1:23" ht="30" x14ac:dyDescent="0.25">
      <c r="A42" s="11" t="s">
        <v>191</v>
      </c>
      <c r="B42" s="11" t="s">
        <v>12</v>
      </c>
      <c r="C42" s="11" t="str">
        <f>VLOOKUP(extract!A42,import!A:C,3,FALSE)</f>
        <v>En cours</v>
      </c>
      <c r="D42" s="3" t="s">
        <v>406</v>
      </c>
      <c r="E42" s="11" t="s">
        <v>406</v>
      </c>
      <c r="F42" s="11" t="s">
        <v>16</v>
      </c>
      <c r="G42" s="11" t="s">
        <v>193</v>
      </c>
      <c r="H42" s="11" t="s">
        <v>23</v>
      </c>
      <c r="I42" s="12">
        <f>VLOOKUP(extract!A42,import!A:J,9,FALSE)</f>
        <v>43453.337500000001</v>
      </c>
      <c r="J42" s="27">
        <v>43514.864004629628</v>
      </c>
      <c r="K42" s="27"/>
      <c r="L42" s="13" t="s">
        <v>406</v>
      </c>
      <c r="M42" s="11" t="s">
        <v>29</v>
      </c>
      <c r="N42" s="11" t="s">
        <v>219</v>
      </c>
      <c r="O42" s="14"/>
      <c r="P42" s="14">
        <f t="shared" si="1"/>
        <v>2</v>
      </c>
      <c r="Q42" s="14" t="str">
        <f t="shared" si="8"/>
        <v>En cours</v>
      </c>
      <c r="R42" s="27" t="str">
        <f t="shared" si="2"/>
        <v>non résolu</v>
      </c>
      <c r="S42" s="12">
        <f t="shared" ca="1" si="3"/>
        <v>43665</v>
      </c>
      <c r="T42" s="15" t="str">
        <f t="shared" ca="1" si="4"/>
        <v>30 et +</v>
      </c>
      <c r="U42" s="15" t="e">
        <f t="shared" si="5"/>
        <v>#VALUE!</v>
      </c>
      <c r="V42" s="15" t="str">
        <f t="shared" ca="1" si="6"/>
        <v>30 et +</v>
      </c>
      <c r="W42" s="16">
        <f t="shared" si="7"/>
        <v>1</v>
      </c>
    </row>
    <row r="43" spans="1:23" ht="30" x14ac:dyDescent="0.25">
      <c r="A43" s="11" t="s">
        <v>94</v>
      </c>
      <c r="B43" s="11" t="s">
        <v>12</v>
      </c>
      <c r="C43" s="11" t="str">
        <f>VLOOKUP(extract!A43,import!A:C,3,FALSE)</f>
        <v>En cours</v>
      </c>
      <c r="D43" s="3" t="s">
        <v>406</v>
      </c>
      <c r="E43" s="11" t="s">
        <v>406</v>
      </c>
      <c r="F43" s="11" t="s">
        <v>16</v>
      </c>
      <c r="G43" s="11" t="s">
        <v>26</v>
      </c>
      <c r="H43" s="11" t="s">
        <v>27</v>
      </c>
      <c r="I43" s="12">
        <f>VLOOKUP(extract!A43,import!A:J,9,FALSE)</f>
        <v>43456.594444444447</v>
      </c>
      <c r="J43" s="27">
        <v>43514.864004629628</v>
      </c>
      <c r="K43" s="27">
        <v>43536.651469907411</v>
      </c>
      <c r="L43" s="13" t="s">
        <v>406</v>
      </c>
      <c r="M43" s="11" t="s">
        <v>29</v>
      </c>
      <c r="N43" s="11" t="s">
        <v>275</v>
      </c>
      <c r="O43" s="14"/>
      <c r="P43" s="14">
        <f t="shared" si="1"/>
        <v>2</v>
      </c>
      <c r="Q43" s="14" t="str">
        <f t="shared" si="8"/>
        <v>En cours</v>
      </c>
      <c r="R43" s="27">
        <f t="shared" si="2"/>
        <v>43536.651469907411</v>
      </c>
      <c r="S43" s="12">
        <f t="shared" ca="1" si="3"/>
        <v>43665</v>
      </c>
      <c r="T43" s="15" t="str">
        <f t="shared" ca="1" si="4"/>
        <v>30 et +</v>
      </c>
      <c r="U43" s="15" t="str">
        <f t="shared" si="5"/>
        <v>30 et +</v>
      </c>
      <c r="V43" s="15" t="str">
        <f t="shared" ca="1" si="6"/>
        <v>30 et +</v>
      </c>
      <c r="W43" s="16">
        <f t="shared" si="7"/>
        <v>1</v>
      </c>
    </row>
    <row r="44" spans="1:23" s="19" customFormat="1" ht="30" x14ac:dyDescent="0.25">
      <c r="A44" s="17" t="s">
        <v>227</v>
      </c>
      <c r="B44" s="17" t="s">
        <v>12</v>
      </c>
      <c r="C44" s="17" t="s">
        <v>258</v>
      </c>
      <c r="D44" s="3" t="s">
        <v>406</v>
      </c>
      <c r="E44" s="11" t="s">
        <v>406</v>
      </c>
      <c r="F44" s="17" t="s">
        <v>16</v>
      </c>
      <c r="G44" s="17" t="s">
        <v>26</v>
      </c>
      <c r="H44" s="17" t="s">
        <v>27</v>
      </c>
      <c r="I44" s="12">
        <f>VLOOKUP(extract!A44,import!A:J,9,FALSE)</f>
        <v>43476.683333333334</v>
      </c>
      <c r="J44" s="28">
        <v>43514.864027777781</v>
      </c>
      <c r="K44" s="28">
        <v>43536.650439814817</v>
      </c>
      <c r="L44" s="13" t="s">
        <v>406</v>
      </c>
      <c r="M44" s="17" t="s">
        <v>29</v>
      </c>
      <c r="N44" s="18"/>
      <c r="O44" s="18"/>
      <c r="P44" s="14">
        <f t="shared" si="1"/>
        <v>2</v>
      </c>
      <c r="Q44" s="14" t="str">
        <f t="shared" si="8"/>
        <v>Clos</v>
      </c>
      <c r="R44" s="27">
        <f t="shared" si="2"/>
        <v>43536.650439814817</v>
      </c>
      <c r="S44" s="12">
        <f t="shared" ca="1" si="3"/>
        <v>43665</v>
      </c>
      <c r="T44" s="15" t="str">
        <f t="shared" si="4"/>
        <v>30 et +</v>
      </c>
      <c r="U44" s="15" t="str">
        <f t="shared" si="5"/>
        <v>30 et +</v>
      </c>
      <c r="V44" s="15" t="str">
        <f t="shared" ca="1" si="6"/>
        <v>30 et +</v>
      </c>
      <c r="W44" s="16">
        <f t="shared" si="7"/>
        <v>1</v>
      </c>
    </row>
    <row r="45" spans="1:23" s="19" customFormat="1" ht="30" x14ac:dyDescent="0.25">
      <c r="A45" s="17" t="s">
        <v>229</v>
      </c>
      <c r="B45" s="17" t="s">
        <v>12</v>
      </c>
      <c r="C45" s="17" t="s">
        <v>221</v>
      </c>
      <c r="D45" s="3" t="s">
        <v>406</v>
      </c>
      <c r="E45" s="11" t="s">
        <v>406</v>
      </c>
      <c r="F45" s="17" t="s">
        <v>16</v>
      </c>
      <c r="G45" s="17" t="s">
        <v>26</v>
      </c>
      <c r="H45" s="17" t="s">
        <v>27</v>
      </c>
      <c r="I45" s="12">
        <f>VLOOKUP(extract!A45,import!A:J,9,FALSE)</f>
        <v>43476.683333333334</v>
      </c>
      <c r="J45" s="28">
        <v>43514.864027777781</v>
      </c>
      <c r="K45" s="28">
        <v>43536.652453703704</v>
      </c>
      <c r="L45" s="13" t="s">
        <v>406</v>
      </c>
      <c r="M45" s="17" t="s">
        <v>29</v>
      </c>
      <c r="N45" s="18"/>
      <c r="O45" s="18"/>
      <c r="P45" s="14">
        <f t="shared" si="1"/>
        <v>2</v>
      </c>
      <c r="Q45" s="14" t="str">
        <f t="shared" si="8"/>
        <v>Clos</v>
      </c>
      <c r="R45" s="27">
        <f t="shared" si="2"/>
        <v>43536.652453703704</v>
      </c>
      <c r="S45" s="12">
        <f t="shared" ca="1" si="3"/>
        <v>43665</v>
      </c>
      <c r="T45" s="15" t="str">
        <f t="shared" si="4"/>
        <v>30 et +</v>
      </c>
      <c r="U45" s="15" t="str">
        <f t="shared" si="5"/>
        <v>30 et +</v>
      </c>
      <c r="V45" s="15" t="str">
        <f t="shared" ca="1" si="6"/>
        <v>30 et +</v>
      </c>
      <c r="W45" s="16">
        <f t="shared" si="7"/>
        <v>1</v>
      </c>
    </row>
    <row r="46" spans="1:23" ht="30" x14ac:dyDescent="0.25">
      <c r="A46" s="11" t="s">
        <v>231</v>
      </c>
      <c r="B46" s="11" t="s">
        <v>12</v>
      </c>
      <c r="C46" s="11" t="str">
        <f>VLOOKUP(extract!A46,import!A:C,3,FALSE)</f>
        <v>Clos</v>
      </c>
      <c r="D46" s="3" t="s">
        <v>406</v>
      </c>
      <c r="E46" s="11" t="s">
        <v>406</v>
      </c>
      <c r="F46" s="11" t="s">
        <v>16</v>
      </c>
      <c r="G46" s="11" t="s">
        <v>26</v>
      </c>
      <c r="H46" s="11" t="s">
        <v>27</v>
      </c>
      <c r="I46" s="12">
        <f>VLOOKUP(extract!A46,import!A:J,9,FALSE)</f>
        <v>43476.68472222222</v>
      </c>
      <c r="J46" s="27">
        <v>43514.864027777781</v>
      </c>
      <c r="K46" s="27">
        <v>43563.632037037038</v>
      </c>
      <c r="L46" s="13" t="s">
        <v>406</v>
      </c>
      <c r="M46" s="11" t="s">
        <v>29</v>
      </c>
      <c r="N46" s="14"/>
      <c r="O46" s="14"/>
      <c r="P46" s="14">
        <f t="shared" si="1"/>
        <v>2</v>
      </c>
      <c r="Q46" s="14" t="str">
        <f t="shared" si="8"/>
        <v>Clos</v>
      </c>
      <c r="R46" s="27">
        <f t="shared" si="2"/>
        <v>43563.632037037038</v>
      </c>
      <c r="S46" s="12">
        <f t="shared" ca="1" si="3"/>
        <v>43665</v>
      </c>
      <c r="T46" s="15" t="str">
        <f t="shared" si="4"/>
        <v>30 et +</v>
      </c>
      <c r="U46" s="15" t="str">
        <f t="shared" si="5"/>
        <v>30 et +</v>
      </c>
      <c r="V46" s="15" t="str">
        <f t="shared" ca="1" si="6"/>
        <v>30 et +</v>
      </c>
      <c r="W46" s="16">
        <f t="shared" si="7"/>
        <v>1</v>
      </c>
    </row>
    <row r="47" spans="1:23" ht="30" x14ac:dyDescent="0.25">
      <c r="A47" s="11" t="s">
        <v>159</v>
      </c>
      <c r="B47" s="11" t="s">
        <v>12</v>
      </c>
      <c r="C47" s="11" t="s">
        <v>13</v>
      </c>
      <c r="D47" s="3" t="s">
        <v>406</v>
      </c>
      <c r="E47" s="11" t="s">
        <v>406</v>
      </c>
      <c r="F47" s="11" t="s">
        <v>16</v>
      </c>
      <c r="G47" s="11" t="s">
        <v>160</v>
      </c>
      <c r="H47" s="11" t="s">
        <v>18</v>
      </c>
      <c r="I47" s="12">
        <f>VLOOKUP(extract!A47,import!A:J,9,FALSE)</f>
        <v>43482.59652777778</v>
      </c>
      <c r="J47" s="27">
        <v>43514.864039351851</v>
      </c>
      <c r="K47" s="27"/>
      <c r="L47" s="13" t="s">
        <v>406</v>
      </c>
      <c r="M47" s="11" t="s">
        <v>19</v>
      </c>
      <c r="N47" s="11" t="s">
        <v>269</v>
      </c>
      <c r="O47" s="14"/>
      <c r="P47" s="14">
        <f t="shared" si="1"/>
        <v>4</v>
      </c>
      <c r="Q47" s="14" t="str">
        <f t="shared" si="8"/>
        <v>En cours</v>
      </c>
      <c r="R47" s="27" t="str">
        <f t="shared" si="2"/>
        <v>non résolu</v>
      </c>
      <c r="S47" s="12">
        <f t="shared" ca="1" si="3"/>
        <v>43665</v>
      </c>
      <c r="T47" s="15" t="str">
        <f t="shared" ca="1" si="4"/>
        <v>30 et +</v>
      </c>
      <c r="U47" s="15" t="e">
        <f t="shared" si="5"/>
        <v>#VALUE!</v>
      </c>
      <c r="V47" s="15" t="str">
        <f t="shared" ca="1" si="6"/>
        <v>30 et +</v>
      </c>
      <c r="W47" s="16">
        <f t="shared" si="7"/>
        <v>1</v>
      </c>
    </row>
    <row r="48" spans="1:23" ht="30" x14ac:dyDescent="0.25">
      <c r="A48" s="11" t="s">
        <v>142</v>
      </c>
      <c r="B48" s="11" t="s">
        <v>12</v>
      </c>
      <c r="C48" s="11" t="str">
        <f>VLOOKUP(extract!A48,import!A:C,3,FALSE)</f>
        <v>En cours</v>
      </c>
      <c r="D48" s="3" t="s">
        <v>406</v>
      </c>
      <c r="E48" s="11" t="s">
        <v>406</v>
      </c>
      <c r="F48" s="11" t="s">
        <v>16</v>
      </c>
      <c r="G48" s="11" t="s">
        <v>26</v>
      </c>
      <c r="H48" s="11" t="s">
        <v>27</v>
      </c>
      <c r="I48" s="12">
        <f>VLOOKUP(extract!A48,import!A:J,9,FALSE)</f>
        <v>43484.491666666669</v>
      </c>
      <c r="J48" s="27">
        <v>43514.864039351851</v>
      </c>
      <c r="K48" s="27">
        <v>43544.622314814813</v>
      </c>
      <c r="L48" s="13" t="s">
        <v>406</v>
      </c>
      <c r="M48" s="11" t="s">
        <v>29</v>
      </c>
      <c r="N48" s="11" t="s">
        <v>275</v>
      </c>
      <c r="O48" s="14"/>
      <c r="P48" s="14">
        <f t="shared" si="1"/>
        <v>2</v>
      </c>
      <c r="Q48" s="14" t="str">
        <f t="shared" si="8"/>
        <v>En cours</v>
      </c>
      <c r="R48" s="27">
        <f t="shared" si="2"/>
        <v>43544.622314814813</v>
      </c>
      <c r="S48" s="12">
        <f t="shared" ca="1" si="3"/>
        <v>43665</v>
      </c>
      <c r="T48" s="15" t="str">
        <f t="shared" ca="1" si="4"/>
        <v>30 et +</v>
      </c>
      <c r="U48" s="15" t="str">
        <f t="shared" si="5"/>
        <v>30 et +</v>
      </c>
      <c r="V48" s="15" t="str">
        <f t="shared" ca="1" si="6"/>
        <v>30 et +</v>
      </c>
      <c r="W48" s="16">
        <f t="shared" si="7"/>
        <v>1</v>
      </c>
    </row>
    <row r="49" spans="1:23" ht="30" x14ac:dyDescent="0.25">
      <c r="A49" s="11" t="s">
        <v>233</v>
      </c>
      <c r="B49" s="11" t="s">
        <v>12</v>
      </c>
      <c r="C49" s="11" t="str">
        <f>VLOOKUP(extract!A49,import!A:C,3,FALSE)</f>
        <v>Clos</v>
      </c>
      <c r="D49" s="3" t="s">
        <v>406</v>
      </c>
      <c r="E49" s="11" t="s">
        <v>406</v>
      </c>
      <c r="F49" s="11" t="s">
        <v>16</v>
      </c>
      <c r="G49" s="11" t="s">
        <v>168</v>
      </c>
      <c r="H49" s="11" t="s">
        <v>27</v>
      </c>
      <c r="I49" s="12">
        <f>VLOOKUP(extract!A49,import!A:J,9,FALSE)</f>
        <v>43495.615277777775</v>
      </c>
      <c r="J49" s="27">
        <v>43514.864050925928</v>
      </c>
      <c r="K49" s="27">
        <v>43544.624143518522</v>
      </c>
      <c r="L49" s="13" t="s">
        <v>406</v>
      </c>
      <c r="M49" s="11" t="s">
        <v>29</v>
      </c>
      <c r="N49" s="14"/>
      <c r="O49" s="14"/>
      <c r="P49" s="14">
        <f t="shared" si="1"/>
        <v>2</v>
      </c>
      <c r="Q49" s="14" t="str">
        <f t="shared" si="8"/>
        <v>Clos</v>
      </c>
      <c r="R49" s="27">
        <f t="shared" si="2"/>
        <v>43544.624143518522</v>
      </c>
      <c r="S49" s="12">
        <f t="shared" ca="1" si="3"/>
        <v>43665</v>
      </c>
      <c r="T49" s="15" t="str">
        <f t="shared" si="4"/>
        <v>30 et +</v>
      </c>
      <c r="U49" s="15" t="str">
        <f t="shared" si="5"/>
        <v>30 et +</v>
      </c>
      <c r="V49" s="15" t="str">
        <f t="shared" ca="1" si="6"/>
        <v>30 et +</v>
      </c>
      <c r="W49" s="16">
        <f t="shared" si="7"/>
        <v>1</v>
      </c>
    </row>
    <row r="50" spans="1:23" ht="30" x14ac:dyDescent="0.25">
      <c r="A50" s="11" t="s">
        <v>235</v>
      </c>
      <c r="B50" s="11" t="s">
        <v>12</v>
      </c>
      <c r="C50" s="11" t="str">
        <f>VLOOKUP(extract!A50,import!A:C,3,FALSE)</f>
        <v>Clos</v>
      </c>
      <c r="D50" s="3" t="s">
        <v>406</v>
      </c>
      <c r="E50" s="11" t="s">
        <v>406</v>
      </c>
      <c r="F50" s="11" t="s">
        <v>16</v>
      </c>
      <c r="G50" s="11" t="s">
        <v>168</v>
      </c>
      <c r="H50" s="11" t="s">
        <v>27</v>
      </c>
      <c r="I50" s="12">
        <f>VLOOKUP(extract!A50,import!A:J,9,FALSE)</f>
        <v>43495.693055555559</v>
      </c>
      <c r="J50" s="27">
        <v>43514.864062499997</v>
      </c>
      <c r="K50" s="27">
        <v>43544.6325</v>
      </c>
      <c r="L50" s="13" t="s">
        <v>406</v>
      </c>
      <c r="M50" s="11" t="s">
        <v>29</v>
      </c>
      <c r="N50" s="14"/>
      <c r="O50" s="14"/>
      <c r="P50" s="14">
        <f t="shared" si="1"/>
        <v>2</v>
      </c>
      <c r="Q50" s="14" t="str">
        <f t="shared" si="8"/>
        <v>Clos</v>
      </c>
      <c r="R50" s="27">
        <f t="shared" si="2"/>
        <v>43544.6325</v>
      </c>
      <c r="S50" s="12">
        <f t="shared" ca="1" si="3"/>
        <v>43665</v>
      </c>
      <c r="T50" s="15" t="str">
        <f t="shared" si="4"/>
        <v>30 et +</v>
      </c>
      <c r="U50" s="15" t="str">
        <f t="shared" si="5"/>
        <v>30 et +</v>
      </c>
      <c r="V50" s="15" t="str">
        <f t="shared" ca="1" si="6"/>
        <v>30 et +</v>
      </c>
      <c r="W50" s="16">
        <f t="shared" si="7"/>
        <v>1</v>
      </c>
    </row>
    <row r="51" spans="1:23" ht="30" x14ac:dyDescent="0.25">
      <c r="A51" s="11" t="s">
        <v>237</v>
      </c>
      <c r="B51" s="11" t="s">
        <v>12</v>
      </c>
      <c r="C51" s="11" t="str">
        <f>VLOOKUP(extract!A51,import!A:C,3,FALSE)</f>
        <v>Clos</v>
      </c>
      <c r="D51" s="3" t="s">
        <v>406</v>
      </c>
      <c r="E51" s="11" t="s">
        <v>406</v>
      </c>
      <c r="F51" s="11" t="s">
        <v>16</v>
      </c>
      <c r="G51" s="11" t="s">
        <v>168</v>
      </c>
      <c r="H51" s="11" t="s">
        <v>27</v>
      </c>
      <c r="I51" s="12">
        <f>VLOOKUP(extract!A51,import!A:J,9,FALSE)</f>
        <v>43496.410416666666</v>
      </c>
      <c r="J51" s="27">
        <v>43514.864062499997</v>
      </c>
      <c r="K51" s="27">
        <v>43452.645532407405</v>
      </c>
      <c r="L51" s="13" t="s">
        <v>406</v>
      </c>
      <c r="M51" s="11" t="s">
        <v>29</v>
      </c>
      <c r="N51" s="14"/>
      <c r="O51" s="14"/>
      <c r="P51" s="14">
        <f t="shared" si="1"/>
        <v>2</v>
      </c>
      <c r="Q51" s="14" t="str">
        <f t="shared" si="8"/>
        <v>Clos</v>
      </c>
      <c r="R51" s="27">
        <f t="shared" si="2"/>
        <v>43452.645532407405</v>
      </c>
      <c r="S51" s="12">
        <f t="shared" ca="1" si="3"/>
        <v>43665</v>
      </c>
      <c r="T51" s="15" t="str">
        <f t="shared" si="4"/>
        <v>1</v>
      </c>
      <c r="U51" s="15" t="str">
        <f t="shared" si="5"/>
        <v>1</v>
      </c>
      <c r="V51" s="15" t="str">
        <f t="shared" ca="1" si="6"/>
        <v>30 et +</v>
      </c>
      <c r="W51" s="16">
        <f t="shared" si="7"/>
        <v>1</v>
      </c>
    </row>
    <row r="52" spans="1:23" ht="30" x14ac:dyDescent="0.25">
      <c r="A52" s="11" t="s">
        <v>165</v>
      </c>
      <c r="B52" s="11" t="s">
        <v>12</v>
      </c>
      <c r="C52" s="11" t="str">
        <f>VLOOKUP(extract!A52,import!A:C,3,FALSE)</f>
        <v>Clos</v>
      </c>
      <c r="D52" s="3" t="s">
        <v>406</v>
      </c>
      <c r="E52" s="11" t="s">
        <v>406</v>
      </c>
      <c r="F52" s="11" t="s">
        <v>16</v>
      </c>
      <c r="G52" s="11" t="s">
        <v>163</v>
      </c>
      <c r="H52" s="11" t="s">
        <v>23</v>
      </c>
      <c r="I52" s="12">
        <f>VLOOKUP(extract!A52,import!A:J,9,FALSE)</f>
        <v>43496.722222222219</v>
      </c>
      <c r="J52" s="27">
        <v>43514.864062499997</v>
      </c>
      <c r="K52" s="27">
        <v>43563.662060185183</v>
      </c>
      <c r="L52" s="13" t="s">
        <v>406</v>
      </c>
      <c r="M52" s="11" t="s">
        <v>19</v>
      </c>
      <c r="N52" s="11" t="s">
        <v>269</v>
      </c>
      <c r="O52" s="14"/>
      <c r="P52" s="14">
        <f t="shared" si="1"/>
        <v>4</v>
      </c>
      <c r="Q52" s="14" t="str">
        <f t="shared" si="8"/>
        <v>Clos</v>
      </c>
      <c r="R52" s="27">
        <f t="shared" si="2"/>
        <v>43563.662060185183</v>
      </c>
      <c r="S52" s="12">
        <f t="shared" ca="1" si="3"/>
        <v>43665</v>
      </c>
      <c r="T52" s="15" t="str">
        <f t="shared" si="4"/>
        <v>30 et +</v>
      </c>
      <c r="U52" s="15" t="str">
        <f t="shared" si="5"/>
        <v>30 et +</v>
      </c>
      <c r="V52" s="15" t="str">
        <f t="shared" ca="1" si="6"/>
        <v>30 et +</v>
      </c>
      <c r="W52" s="16">
        <f t="shared" si="7"/>
        <v>1</v>
      </c>
    </row>
    <row r="53" spans="1:23" ht="30" x14ac:dyDescent="0.25">
      <c r="A53" s="11" t="s">
        <v>162</v>
      </c>
      <c r="B53" s="11" t="s">
        <v>12</v>
      </c>
      <c r="C53" s="11" t="str">
        <f>VLOOKUP(extract!A53,import!A:C,3,FALSE)</f>
        <v>Clos</v>
      </c>
      <c r="D53" s="3" t="s">
        <v>406</v>
      </c>
      <c r="E53" s="11" t="s">
        <v>406</v>
      </c>
      <c r="F53" s="11" t="s">
        <v>16</v>
      </c>
      <c r="G53" s="11" t="s">
        <v>163</v>
      </c>
      <c r="H53" s="11" t="s">
        <v>18</v>
      </c>
      <c r="I53" s="12">
        <f>VLOOKUP(extract!A53,import!A:J,9,FALSE)</f>
        <v>43497.665972222225</v>
      </c>
      <c r="J53" s="27">
        <v>43514.864074074074</v>
      </c>
      <c r="K53" s="27">
        <v>43544.635555555556</v>
      </c>
      <c r="L53" s="13" t="s">
        <v>406</v>
      </c>
      <c r="M53" s="11" t="s">
        <v>19</v>
      </c>
      <c r="N53" s="11" t="s">
        <v>269</v>
      </c>
      <c r="O53" s="14"/>
      <c r="P53" s="14">
        <f t="shared" si="1"/>
        <v>4</v>
      </c>
      <c r="Q53" s="14" t="str">
        <f t="shared" si="8"/>
        <v>Clos</v>
      </c>
      <c r="R53" s="27">
        <f t="shared" si="2"/>
        <v>43544.635555555556</v>
      </c>
      <c r="S53" s="12">
        <f t="shared" ca="1" si="3"/>
        <v>43665</v>
      </c>
      <c r="T53" s="15" t="str">
        <f t="shared" si="4"/>
        <v>30 et +</v>
      </c>
      <c r="U53" s="15" t="str">
        <f t="shared" si="5"/>
        <v>30 et +</v>
      </c>
      <c r="V53" s="15" t="str">
        <f t="shared" ca="1" si="6"/>
        <v>30 et +</v>
      </c>
      <c r="W53" s="16">
        <f t="shared" si="7"/>
        <v>1</v>
      </c>
    </row>
    <row r="54" spans="1:23" ht="30" x14ac:dyDescent="0.25">
      <c r="A54" s="11" t="s">
        <v>239</v>
      </c>
      <c r="B54" s="11" t="s">
        <v>12</v>
      </c>
      <c r="C54" s="11" t="str">
        <f>VLOOKUP(extract!A54,import!A:C,3,FALSE)</f>
        <v>Clos</v>
      </c>
      <c r="D54" s="3" t="s">
        <v>406</v>
      </c>
      <c r="E54" s="11" t="s">
        <v>406</v>
      </c>
      <c r="F54" s="11" t="s">
        <v>16</v>
      </c>
      <c r="G54" s="11" t="s">
        <v>168</v>
      </c>
      <c r="H54" s="11" t="s">
        <v>27</v>
      </c>
      <c r="I54" s="12">
        <f>VLOOKUP(extract!A54,import!A:J,9,FALSE)</f>
        <v>43500.448611111111</v>
      </c>
      <c r="J54" s="27">
        <v>43514.864074074074</v>
      </c>
      <c r="K54" s="27">
        <v>43544.64949074074</v>
      </c>
      <c r="L54" s="13" t="s">
        <v>406</v>
      </c>
      <c r="M54" s="11" t="s">
        <v>29</v>
      </c>
      <c r="N54" s="14"/>
      <c r="O54" s="14"/>
      <c r="P54" s="14">
        <f t="shared" si="1"/>
        <v>2</v>
      </c>
      <c r="Q54" s="14" t="str">
        <f t="shared" si="8"/>
        <v>Clos</v>
      </c>
      <c r="R54" s="27">
        <f t="shared" si="2"/>
        <v>43544.64949074074</v>
      </c>
      <c r="S54" s="12">
        <f t="shared" ca="1" si="3"/>
        <v>43665</v>
      </c>
      <c r="T54" s="15" t="str">
        <f t="shared" si="4"/>
        <v>30 et +</v>
      </c>
      <c r="U54" s="15" t="str">
        <f t="shared" si="5"/>
        <v>30 et +</v>
      </c>
      <c r="V54" s="15" t="str">
        <f t="shared" ca="1" si="6"/>
        <v>30 et +</v>
      </c>
      <c r="W54" s="16">
        <f t="shared" si="7"/>
        <v>1</v>
      </c>
    </row>
    <row r="55" spans="1:23" ht="30" x14ac:dyDescent="0.25">
      <c r="A55" s="11" t="s">
        <v>241</v>
      </c>
      <c r="B55" s="11" t="s">
        <v>12</v>
      </c>
      <c r="C55" s="11" t="str">
        <f>VLOOKUP(extract!A55,import!A:C,3,FALSE)</f>
        <v>Clos</v>
      </c>
      <c r="D55" s="3" t="s">
        <v>406</v>
      </c>
      <c r="E55" s="11" t="s">
        <v>406</v>
      </c>
      <c r="F55" s="11" t="s">
        <v>16</v>
      </c>
      <c r="G55" s="11" t="s">
        <v>168</v>
      </c>
      <c r="H55" s="11" t="s">
        <v>27</v>
      </c>
      <c r="I55" s="12">
        <f>VLOOKUP(extract!A55,import!A:J,9,FALSE)</f>
        <v>43500.759027777778</v>
      </c>
      <c r="J55" s="27">
        <v>43514.864074074074</v>
      </c>
      <c r="K55" s="27">
        <v>43544.650902777779</v>
      </c>
      <c r="L55" s="13" t="s">
        <v>406</v>
      </c>
      <c r="M55" s="11" t="s">
        <v>29</v>
      </c>
      <c r="N55" s="14"/>
      <c r="O55" s="14"/>
      <c r="P55" s="14">
        <f t="shared" si="1"/>
        <v>2</v>
      </c>
      <c r="Q55" s="14" t="str">
        <f t="shared" si="8"/>
        <v>Clos</v>
      </c>
      <c r="R55" s="27">
        <f t="shared" si="2"/>
        <v>43544.650902777779</v>
      </c>
      <c r="S55" s="12">
        <f t="shared" ca="1" si="3"/>
        <v>43665</v>
      </c>
      <c r="T55" s="15" t="str">
        <f t="shared" si="4"/>
        <v>30 et +</v>
      </c>
      <c r="U55" s="15" t="str">
        <f t="shared" si="5"/>
        <v>30 et +</v>
      </c>
      <c r="V55" s="15" t="str">
        <f t="shared" ca="1" si="6"/>
        <v>30 et +</v>
      </c>
      <c r="W55" s="16">
        <f t="shared" si="7"/>
        <v>1</v>
      </c>
    </row>
    <row r="56" spans="1:23" ht="30" x14ac:dyDescent="0.25">
      <c r="A56" s="11" t="s">
        <v>243</v>
      </c>
      <c r="B56" s="11" t="s">
        <v>12</v>
      </c>
      <c r="C56" s="11" t="str">
        <f>VLOOKUP(extract!A56,import!A:C,3,FALSE)</f>
        <v>Clos</v>
      </c>
      <c r="D56" s="3" t="s">
        <v>406</v>
      </c>
      <c r="E56" s="11" t="s">
        <v>406</v>
      </c>
      <c r="F56" s="11" t="s">
        <v>16</v>
      </c>
      <c r="G56" s="11" t="s">
        <v>168</v>
      </c>
      <c r="H56" s="11" t="s">
        <v>27</v>
      </c>
      <c r="I56" s="12">
        <f>VLOOKUP(extract!A56,import!A:J,9,FALSE)</f>
        <v>43501.027083333334</v>
      </c>
      <c r="J56" s="27">
        <v>43514.864074074074</v>
      </c>
      <c r="K56" s="27">
        <v>43544.636631944442</v>
      </c>
      <c r="L56" s="13" t="s">
        <v>406</v>
      </c>
      <c r="M56" s="11" t="s">
        <v>29</v>
      </c>
      <c r="N56" s="14"/>
      <c r="O56" s="14"/>
      <c r="P56" s="14">
        <f t="shared" si="1"/>
        <v>2</v>
      </c>
      <c r="Q56" s="14" t="str">
        <f t="shared" si="8"/>
        <v>Clos</v>
      </c>
      <c r="R56" s="27">
        <f t="shared" si="2"/>
        <v>43544.636631944442</v>
      </c>
      <c r="S56" s="12">
        <f t="shared" ca="1" si="3"/>
        <v>43665</v>
      </c>
      <c r="T56" s="15" t="str">
        <f t="shared" si="4"/>
        <v>30 et +</v>
      </c>
      <c r="U56" s="15" t="str">
        <f t="shared" si="5"/>
        <v>30 et +</v>
      </c>
      <c r="V56" s="15" t="str">
        <f t="shared" ca="1" si="6"/>
        <v>30 et +</v>
      </c>
      <c r="W56" s="16">
        <f t="shared" si="7"/>
        <v>1</v>
      </c>
    </row>
    <row r="57" spans="1:23" ht="30" x14ac:dyDescent="0.25">
      <c r="A57" s="11" t="s">
        <v>245</v>
      </c>
      <c r="B57" s="11" t="s">
        <v>12</v>
      </c>
      <c r="C57" s="11" t="str">
        <f>VLOOKUP(extract!A57,import!A:C,3,FALSE)</f>
        <v>Clos</v>
      </c>
      <c r="D57" s="3" t="s">
        <v>406</v>
      </c>
      <c r="E57" s="11" t="s">
        <v>406</v>
      </c>
      <c r="F57" s="11" t="s">
        <v>16</v>
      </c>
      <c r="G57" s="11" t="s">
        <v>168</v>
      </c>
      <c r="H57" s="11" t="s">
        <v>27</v>
      </c>
      <c r="I57" s="12">
        <f>VLOOKUP(extract!A57,import!A:J,9,FALSE)</f>
        <v>43501.404861111114</v>
      </c>
      <c r="J57" s="27">
        <v>43514.864074074074</v>
      </c>
      <c r="K57" s="27">
        <v>43544.639062499999</v>
      </c>
      <c r="L57" s="13" t="s">
        <v>406</v>
      </c>
      <c r="M57" s="11" t="s">
        <v>29</v>
      </c>
      <c r="N57" s="14"/>
      <c r="O57" s="14"/>
      <c r="P57" s="14">
        <f t="shared" si="1"/>
        <v>2</v>
      </c>
      <c r="Q57" s="14" t="str">
        <f t="shared" si="8"/>
        <v>Clos</v>
      </c>
      <c r="R57" s="27">
        <f t="shared" si="2"/>
        <v>43544.639062499999</v>
      </c>
      <c r="S57" s="12">
        <f t="shared" ca="1" si="3"/>
        <v>43665</v>
      </c>
      <c r="T57" s="15" t="str">
        <f t="shared" si="4"/>
        <v>30 et +</v>
      </c>
      <c r="U57" s="15" t="str">
        <f t="shared" si="5"/>
        <v>30 et +</v>
      </c>
      <c r="V57" s="15" t="str">
        <f t="shared" ca="1" si="6"/>
        <v>30 et +</v>
      </c>
      <c r="W57" s="16">
        <f t="shared" si="7"/>
        <v>1</v>
      </c>
    </row>
    <row r="58" spans="1:23" ht="30" x14ac:dyDescent="0.25">
      <c r="A58" s="11" t="s">
        <v>247</v>
      </c>
      <c r="B58" s="11" t="s">
        <v>12</v>
      </c>
      <c r="C58" s="11" t="str">
        <f>VLOOKUP(extract!A58,import!A:C,3,FALSE)</f>
        <v>Clos</v>
      </c>
      <c r="D58" s="3" t="s">
        <v>406</v>
      </c>
      <c r="E58" s="11" t="s">
        <v>406</v>
      </c>
      <c r="F58" s="11" t="s">
        <v>16</v>
      </c>
      <c r="G58" s="11" t="s">
        <v>168</v>
      </c>
      <c r="H58" s="11" t="s">
        <v>27</v>
      </c>
      <c r="I58" s="12">
        <f>VLOOKUP(extract!A58,import!A:J,9,FALSE)</f>
        <v>43501.428472222222</v>
      </c>
      <c r="J58" s="27">
        <v>43514.864074074074</v>
      </c>
      <c r="K58" s="27">
        <v>43544.640787037039</v>
      </c>
      <c r="L58" s="13" t="s">
        <v>406</v>
      </c>
      <c r="M58" s="11" t="s">
        <v>29</v>
      </c>
      <c r="N58" s="14"/>
      <c r="O58" s="14"/>
      <c r="P58" s="14">
        <f t="shared" si="1"/>
        <v>2</v>
      </c>
      <c r="Q58" s="14" t="str">
        <f t="shared" si="8"/>
        <v>Clos</v>
      </c>
      <c r="R58" s="27">
        <f t="shared" si="2"/>
        <v>43544.640787037039</v>
      </c>
      <c r="S58" s="12">
        <f t="shared" ca="1" si="3"/>
        <v>43665</v>
      </c>
      <c r="T58" s="15" t="str">
        <f t="shared" si="4"/>
        <v>30 et +</v>
      </c>
      <c r="U58" s="15" t="str">
        <f t="shared" si="5"/>
        <v>30 et +</v>
      </c>
      <c r="V58" s="15" t="str">
        <f t="shared" ca="1" si="6"/>
        <v>30 et +</v>
      </c>
      <c r="W58" s="16">
        <f t="shared" si="7"/>
        <v>1</v>
      </c>
    </row>
    <row r="59" spans="1:23" ht="30" x14ac:dyDescent="0.25">
      <c r="A59" s="11" t="s">
        <v>249</v>
      </c>
      <c r="B59" s="11" t="s">
        <v>12</v>
      </c>
      <c r="C59" s="11" t="s">
        <v>13</v>
      </c>
      <c r="D59" s="3" t="s">
        <v>406</v>
      </c>
      <c r="E59" s="11" t="s">
        <v>406</v>
      </c>
      <c r="F59" s="11" t="s">
        <v>16</v>
      </c>
      <c r="G59" s="11" t="s">
        <v>168</v>
      </c>
      <c r="H59" s="11" t="s">
        <v>27</v>
      </c>
      <c r="I59" s="12">
        <f>VLOOKUP(extract!A59,import!A:J,9,FALSE)</f>
        <v>43501.434027777781</v>
      </c>
      <c r="J59" s="27">
        <v>43514.864074074074</v>
      </c>
      <c r="K59" s="27"/>
      <c r="L59" s="13" t="s">
        <v>406</v>
      </c>
      <c r="M59" s="11" t="s">
        <v>29</v>
      </c>
      <c r="N59" s="14"/>
      <c r="O59" s="14"/>
      <c r="P59" s="14">
        <f t="shared" si="1"/>
        <v>2</v>
      </c>
      <c r="Q59" s="14" t="str">
        <f t="shared" si="8"/>
        <v>En cours</v>
      </c>
      <c r="R59" s="27" t="str">
        <f t="shared" si="2"/>
        <v>non résolu</v>
      </c>
      <c r="S59" s="12">
        <f t="shared" ca="1" si="3"/>
        <v>43665</v>
      </c>
      <c r="T59" s="15" t="str">
        <f t="shared" ca="1" si="4"/>
        <v>30 et +</v>
      </c>
      <c r="U59" s="15" t="e">
        <f t="shared" si="5"/>
        <v>#VALUE!</v>
      </c>
      <c r="V59" s="15" t="str">
        <f t="shared" ca="1" si="6"/>
        <v>30 et +</v>
      </c>
      <c r="W59" s="16">
        <f t="shared" si="7"/>
        <v>1</v>
      </c>
    </row>
    <row r="60" spans="1:23" ht="30" x14ac:dyDescent="0.25">
      <c r="A60" s="11" t="s">
        <v>175</v>
      </c>
      <c r="B60" s="11" t="s">
        <v>12</v>
      </c>
      <c r="C60" s="11" t="str">
        <f>VLOOKUP(extract!A60,import!A:C,3,FALSE)</f>
        <v>En cours</v>
      </c>
      <c r="D60" s="3" t="s">
        <v>406</v>
      </c>
      <c r="E60" s="11" t="s">
        <v>406</v>
      </c>
      <c r="F60" s="11" t="s">
        <v>16</v>
      </c>
      <c r="G60" s="11" t="s">
        <v>168</v>
      </c>
      <c r="H60" s="11" t="s">
        <v>27</v>
      </c>
      <c r="I60" s="12">
        <f>VLOOKUP(extract!A60,import!A:J,9,FALSE)</f>
        <v>43501.441666666666</v>
      </c>
      <c r="J60" s="27">
        <v>43514.864074074074</v>
      </c>
      <c r="K60" s="27">
        <v>43535.704525462963</v>
      </c>
      <c r="L60" s="13" t="s">
        <v>406</v>
      </c>
      <c r="M60" s="11" t="s">
        <v>29</v>
      </c>
      <c r="N60" s="11" t="s">
        <v>267</v>
      </c>
      <c r="O60" s="14"/>
      <c r="P60" s="14">
        <f t="shared" si="1"/>
        <v>2</v>
      </c>
      <c r="Q60" s="14" t="str">
        <f t="shared" si="8"/>
        <v>En cours</v>
      </c>
      <c r="R60" s="27">
        <f t="shared" si="2"/>
        <v>43535.704525462963</v>
      </c>
      <c r="S60" s="12">
        <f t="shared" ca="1" si="3"/>
        <v>43665</v>
      </c>
      <c r="T60" s="15" t="str">
        <f t="shared" ca="1" si="4"/>
        <v>30 et +</v>
      </c>
      <c r="U60" s="15" t="str">
        <f t="shared" si="5"/>
        <v>30 et +</v>
      </c>
      <c r="V60" s="15" t="str">
        <f t="shared" ca="1" si="6"/>
        <v>30 et +</v>
      </c>
      <c r="W60" s="16">
        <f t="shared" si="7"/>
        <v>1</v>
      </c>
    </row>
    <row r="61" spans="1:23" s="20" customFormat="1" ht="30" x14ac:dyDescent="0.25">
      <c r="A61" s="11" t="s">
        <v>295</v>
      </c>
      <c r="B61" s="11" t="s">
        <v>103</v>
      </c>
      <c r="C61" s="11" t="str">
        <f>VLOOKUP(extract!A61,import!A:C,3,FALSE)</f>
        <v>Clos</v>
      </c>
      <c r="D61" s="3" t="s">
        <v>406</v>
      </c>
      <c r="E61" s="11" t="s">
        <v>406</v>
      </c>
      <c r="F61" s="11" t="s">
        <v>16</v>
      </c>
      <c r="G61" s="11" t="s">
        <v>296</v>
      </c>
      <c r="H61" s="11" t="s">
        <v>297</v>
      </c>
      <c r="I61" s="12">
        <f>VLOOKUP(extract!A61,import!A:J,9,FALSE)</f>
        <v>43502.404166666667</v>
      </c>
      <c r="J61" s="27">
        <v>43514.864085648151</v>
      </c>
      <c r="K61" s="27">
        <v>43572.695208333331</v>
      </c>
      <c r="L61" s="13" t="s">
        <v>406</v>
      </c>
      <c r="M61" s="11" t="s">
        <v>29</v>
      </c>
      <c r="N61" s="14"/>
      <c r="O61" s="14"/>
      <c r="P61" s="14">
        <f t="shared" si="1"/>
        <v>1</v>
      </c>
      <c r="Q61" s="14" t="str">
        <f t="shared" si="8"/>
        <v>Clos</v>
      </c>
      <c r="R61" s="27">
        <f t="shared" si="2"/>
        <v>43572.695208333331</v>
      </c>
      <c r="S61" s="12">
        <f t="shared" ca="1" si="3"/>
        <v>43665</v>
      </c>
      <c r="T61" s="15" t="str">
        <f t="shared" si="4"/>
        <v>30 et +</v>
      </c>
      <c r="U61" s="15" t="str">
        <f t="shared" si="5"/>
        <v>30 et +</v>
      </c>
      <c r="V61" s="15" t="str">
        <f t="shared" ca="1" si="6"/>
        <v>30 et +</v>
      </c>
      <c r="W61" s="16">
        <f t="shared" si="7"/>
        <v>1</v>
      </c>
    </row>
    <row r="62" spans="1:23" ht="30" x14ac:dyDescent="0.25">
      <c r="A62" s="11" t="s">
        <v>201</v>
      </c>
      <c r="B62" s="11" t="s">
        <v>198</v>
      </c>
      <c r="C62" s="11" t="str">
        <f>VLOOKUP(extract!A62,import!A:C,3,FALSE)</f>
        <v>Clos</v>
      </c>
      <c r="D62" s="3" t="s">
        <v>406</v>
      </c>
      <c r="E62" s="11" t="s">
        <v>406</v>
      </c>
      <c r="F62" s="11" t="s">
        <v>16</v>
      </c>
      <c r="G62" s="11" t="s">
        <v>193</v>
      </c>
      <c r="H62" s="11" t="s">
        <v>192</v>
      </c>
      <c r="I62" s="12">
        <f>VLOOKUP(extract!A62,import!A:J,9,FALSE)</f>
        <v>43501.625</v>
      </c>
      <c r="J62" s="27">
        <v>43514.864085648151</v>
      </c>
      <c r="K62" s="27">
        <v>43579.730196759258</v>
      </c>
      <c r="L62" s="13" t="s">
        <v>406</v>
      </c>
      <c r="M62" s="11" t="s">
        <v>29</v>
      </c>
      <c r="N62" s="11" t="s">
        <v>305</v>
      </c>
      <c r="O62" s="14"/>
      <c r="P62" s="14">
        <f t="shared" si="1"/>
        <v>3</v>
      </c>
      <c r="Q62" s="14" t="str">
        <f t="shared" si="8"/>
        <v>Clos</v>
      </c>
      <c r="R62" s="27">
        <f t="shared" si="2"/>
        <v>43579.730196759258</v>
      </c>
      <c r="S62" s="12">
        <f t="shared" ca="1" si="3"/>
        <v>43665</v>
      </c>
      <c r="T62" s="15" t="str">
        <f t="shared" si="4"/>
        <v>30 et +</v>
      </c>
      <c r="U62" s="15" t="str">
        <f t="shared" si="5"/>
        <v>30 et +</v>
      </c>
      <c r="V62" s="15" t="str">
        <f t="shared" ca="1" si="6"/>
        <v>30 et +</v>
      </c>
      <c r="W62" s="16">
        <f t="shared" si="7"/>
        <v>1</v>
      </c>
    </row>
    <row r="63" spans="1:23" ht="30" x14ac:dyDescent="0.25">
      <c r="A63" s="11" t="s">
        <v>20</v>
      </c>
      <c r="B63" s="11" t="s">
        <v>12</v>
      </c>
      <c r="C63" s="11" t="s">
        <v>13</v>
      </c>
      <c r="D63" s="3" t="s">
        <v>406</v>
      </c>
      <c r="E63" s="11" t="s">
        <v>406</v>
      </c>
      <c r="F63" s="11" t="s">
        <v>16</v>
      </c>
      <c r="G63" s="11" t="s">
        <v>266</v>
      </c>
      <c r="H63" s="11" t="s">
        <v>18</v>
      </c>
      <c r="I63" s="27">
        <v>43518.710972222223</v>
      </c>
      <c r="J63" s="27">
        <v>43518.710972222223</v>
      </c>
      <c r="K63" s="27">
        <v>43536.662824074076</v>
      </c>
      <c r="L63" s="13" t="s">
        <v>406</v>
      </c>
      <c r="M63" s="11" t="s">
        <v>19</v>
      </c>
      <c r="N63" s="11" t="s">
        <v>304</v>
      </c>
      <c r="O63" s="14"/>
      <c r="P63" s="14">
        <f t="shared" si="1"/>
        <v>4</v>
      </c>
      <c r="Q63" s="14" t="str">
        <f t="shared" si="8"/>
        <v>En cours</v>
      </c>
      <c r="R63" s="27">
        <f t="shared" si="2"/>
        <v>43536.662824074076</v>
      </c>
      <c r="S63" s="12">
        <f t="shared" ca="1" si="3"/>
        <v>43665</v>
      </c>
      <c r="T63" s="15" t="str">
        <f t="shared" ca="1" si="4"/>
        <v>30 et +</v>
      </c>
      <c r="U63" s="15" t="str">
        <f t="shared" si="5"/>
        <v>30</v>
      </c>
      <c r="V63" s="15" t="str">
        <f t="shared" ca="1" si="6"/>
        <v>30 et +</v>
      </c>
      <c r="W63" s="16">
        <f t="shared" si="7"/>
        <v>1</v>
      </c>
    </row>
    <row r="64" spans="1:23" x14ac:dyDescent="0.25">
      <c r="A64" s="11" t="s">
        <v>203</v>
      </c>
      <c r="B64" s="11" t="s">
        <v>12</v>
      </c>
      <c r="C64" s="11" t="str">
        <f>VLOOKUP(extract!A64,import!A:C,3,FALSE)</f>
        <v>Résolu</v>
      </c>
      <c r="D64" s="3" t="s">
        <v>406</v>
      </c>
      <c r="E64" s="11" t="s">
        <v>406</v>
      </c>
      <c r="F64" s="11" t="s">
        <v>16</v>
      </c>
      <c r="G64" s="11" t="s">
        <v>205</v>
      </c>
      <c r="H64" s="11" t="s">
        <v>37</v>
      </c>
      <c r="I64" s="12">
        <f>VLOOKUP(extract!A64,import!A:J,9,FALSE)</f>
        <v>43525.608784722222</v>
      </c>
      <c r="J64" s="27">
        <v>43521.287418981483</v>
      </c>
      <c r="K64" s="27">
        <v>43536.664340277777</v>
      </c>
      <c r="L64" s="13" t="s">
        <v>406</v>
      </c>
      <c r="M64" s="11" t="s">
        <v>29</v>
      </c>
      <c r="N64" s="11"/>
      <c r="O64" s="14"/>
      <c r="P64" s="14">
        <f t="shared" si="1"/>
        <v>2</v>
      </c>
      <c r="Q64" s="14" t="str">
        <f t="shared" si="8"/>
        <v>Clos</v>
      </c>
      <c r="R64" s="27">
        <f t="shared" si="2"/>
        <v>43536.664340277777</v>
      </c>
      <c r="S64" s="12">
        <f t="shared" ca="1" si="3"/>
        <v>43665</v>
      </c>
      <c r="T64" s="15" t="str">
        <f t="shared" si="4"/>
        <v>15</v>
      </c>
      <c r="U64" s="15" t="str">
        <f t="shared" si="5"/>
        <v>15</v>
      </c>
      <c r="V64" s="15" t="str">
        <f t="shared" ca="1" si="6"/>
        <v>30 et +</v>
      </c>
      <c r="W64" s="16">
        <f t="shared" si="7"/>
        <v>1</v>
      </c>
    </row>
    <row r="65" spans="1:23" x14ac:dyDescent="0.25">
      <c r="A65" s="11" t="s">
        <v>251</v>
      </c>
      <c r="B65" s="11" t="s">
        <v>12</v>
      </c>
      <c r="C65" s="11" t="s">
        <v>13</v>
      </c>
      <c r="D65" s="3" t="s">
        <v>406</v>
      </c>
      <c r="E65" s="11" t="s">
        <v>406</v>
      </c>
      <c r="F65" s="11" t="s">
        <v>16</v>
      </c>
      <c r="G65" s="11" t="s">
        <v>26</v>
      </c>
      <c r="H65" s="11" t="s">
        <v>37</v>
      </c>
      <c r="I65" s="12">
        <f>VLOOKUP(extract!A65,import!A:J,9,FALSE)</f>
        <v>43521.459594907406</v>
      </c>
      <c r="J65" s="27">
        <v>43521.602858796294</v>
      </c>
      <c r="K65" s="27"/>
      <c r="L65" s="13" t="s">
        <v>406</v>
      </c>
      <c r="M65" s="11" t="s">
        <v>29</v>
      </c>
      <c r="N65" s="11"/>
      <c r="O65" s="14"/>
      <c r="P65" s="14">
        <f t="shared" si="1"/>
        <v>2</v>
      </c>
      <c r="Q65" s="14" t="str">
        <f t="shared" si="8"/>
        <v>En cours</v>
      </c>
      <c r="R65" s="27" t="str">
        <f t="shared" si="2"/>
        <v>non résolu</v>
      </c>
      <c r="S65" s="12">
        <f t="shared" ca="1" si="3"/>
        <v>43665</v>
      </c>
      <c r="T65" s="15" t="str">
        <f t="shared" ca="1" si="4"/>
        <v>30 et +</v>
      </c>
      <c r="U65" s="15" t="e">
        <f t="shared" si="5"/>
        <v>#VALUE!</v>
      </c>
      <c r="V65" s="15" t="str">
        <f t="shared" ca="1" si="6"/>
        <v>30 et +</v>
      </c>
      <c r="W65" s="16">
        <f t="shared" si="7"/>
        <v>1</v>
      </c>
    </row>
    <row r="66" spans="1:23" x14ac:dyDescent="0.25">
      <c r="A66" s="11" t="s">
        <v>253</v>
      </c>
      <c r="B66" s="11" t="s">
        <v>12</v>
      </c>
      <c r="C66" s="11" t="s">
        <v>13</v>
      </c>
      <c r="D66" s="3" t="s">
        <v>406</v>
      </c>
      <c r="E66" s="11" t="s">
        <v>406</v>
      </c>
      <c r="F66" s="11" t="s">
        <v>16</v>
      </c>
      <c r="G66" s="11" t="s">
        <v>26</v>
      </c>
      <c r="H66" s="11" t="s">
        <v>37</v>
      </c>
      <c r="I66" s="12">
        <f>VLOOKUP(extract!A66,import!A:J,9,FALSE)</f>
        <v>43521.462384259263</v>
      </c>
      <c r="J66" s="27">
        <v>43521.603668981479</v>
      </c>
      <c r="K66" s="27"/>
      <c r="L66" s="13" t="s">
        <v>406</v>
      </c>
      <c r="M66" s="11" t="s">
        <v>29</v>
      </c>
      <c r="N66" s="14"/>
      <c r="O66" s="14"/>
      <c r="P66" s="14">
        <f t="shared" si="1"/>
        <v>2</v>
      </c>
      <c r="Q66" s="14" t="str">
        <f t="shared" ref="Q66:Q97" si="9">IF(C66="résolu","Clos",(IF(C66="Résolu techniquement","Clos",C66)))</f>
        <v>En cours</v>
      </c>
      <c r="R66" s="27" t="str">
        <f t="shared" si="2"/>
        <v>non résolu</v>
      </c>
      <c r="S66" s="12">
        <f t="shared" ca="1" si="3"/>
        <v>43665</v>
      </c>
      <c r="T66" s="15" t="str">
        <f t="shared" ref="T66:T129" ca="1" si="10">IF(Q66="Clos",U66,V66)</f>
        <v>30 et +</v>
      </c>
      <c r="U66" s="15" t="e">
        <f t="shared" si="5"/>
        <v>#VALUE!</v>
      </c>
      <c r="V66" s="15" t="str">
        <f t="shared" ca="1" si="6"/>
        <v>30 et +</v>
      </c>
      <c r="W66" s="16">
        <f t="shared" si="7"/>
        <v>1</v>
      </c>
    </row>
    <row r="67" spans="1:23" ht="30" x14ac:dyDescent="0.25">
      <c r="A67" s="11" t="s">
        <v>114</v>
      </c>
      <c r="B67" s="11" t="s">
        <v>12</v>
      </c>
      <c r="C67" s="11" t="str">
        <f>VLOOKUP(extract!A67,import!A:C,3,FALSE)</f>
        <v>En cours</v>
      </c>
      <c r="D67" s="3" t="s">
        <v>406</v>
      </c>
      <c r="E67" s="11" t="s">
        <v>406</v>
      </c>
      <c r="F67" s="11" t="s">
        <v>16</v>
      </c>
      <c r="G67" s="11" t="s">
        <v>26</v>
      </c>
      <c r="H67" s="11" t="s">
        <v>37</v>
      </c>
      <c r="I67" s="12">
        <f>VLOOKUP(extract!A67,import!A:J,9,FALSE)</f>
        <v>43521.472337962965</v>
      </c>
      <c r="J67" s="27">
        <v>43521.604421296295</v>
      </c>
      <c r="K67" s="27">
        <v>43560.446666666663</v>
      </c>
      <c r="L67" s="13" t="s">
        <v>406</v>
      </c>
      <c r="M67" s="11" t="s">
        <v>29</v>
      </c>
      <c r="N67" s="11" t="s">
        <v>273</v>
      </c>
      <c r="O67" s="14"/>
      <c r="P67" s="14">
        <f t="shared" ref="P67:P130" si="11">SUM(IF(B67="P2 - Importante",3,0),IF(B67="P3 - Moyenne",2,0),IF(B67="P4 - Faible",1,0),IF(B67="P1 - Critique",4,0),IF(M67="Oui",2,0))</f>
        <v>2</v>
      </c>
      <c r="Q67" s="14" t="str">
        <f t="shared" si="9"/>
        <v>En cours</v>
      </c>
      <c r="R67" s="27">
        <f t="shared" ref="R67:R130" si="12">IF(K67&gt;0,K67,"non résolu")</f>
        <v>43560.446666666663</v>
      </c>
      <c r="S67" s="12">
        <f t="shared" ref="S67:S130" ca="1" si="13">TODAY()</f>
        <v>43665</v>
      </c>
      <c r="T67" s="15" t="str">
        <f t="shared" ca="1" si="10"/>
        <v>30 et +</v>
      </c>
      <c r="U67" s="15" t="str">
        <f t="shared" ref="U67:U130" si="14">IF(_xlfn.DAYS(R67,I67)&lt;=1,"1",IF(AND(_xlfn.DAYS(52,I67)&gt;1,_xlfn.DAYS(R67,I67)&lt;=2),"2",IF(AND(_xlfn.DAYS(R67,I67)&gt;2,_xlfn.DAYS(R67,I67)&lt;=15),"15",IF(AND(_xlfn.DAYS(R67,I67)&gt;15,_xlfn.DAYS(R67,I67)&lt;=30),"30",IF(_xlfn.DAYS(R67,I67)&gt;30,"30 et +","PB")))))</f>
        <v>30 et +</v>
      </c>
      <c r="V67" s="15" t="str">
        <f t="shared" ref="V67:V130" ca="1" si="15">IF(_xlfn.DAYS(S67,I67)&lt;=1,"1",IF(AND(_xlfn.DAYS(S67,I67)&gt;1,_xlfn.DAYS(S67,I67)&lt;=2),"2",IF(AND(_xlfn.DAYS(S67,I67)&gt;2,_xlfn.DAYS(S67,I67)&lt;=15),"15",IF(AND(_xlfn.DAYS(S67,I67)&gt;15,_xlfn.DAYS(S67,I67)&lt;=30),"30",IF(_xlfn.DAYS(S67,I67)&gt;30,"30 et +","PB")))))</f>
        <v>30 et +</v>
      </c>
      <c r="W67" s="16">
        <f t="shared" ref="W67:W130" si="16">IF(ISBLANK(A67),0,1)</f>
        <v>1</v>
      </c>
    </row>
    <row r="68" spans="1:23" ht="30" x14ac:dyDescent="0.25">
      <c r="A68" s="11" t="s">
        <v>76</v>
      </c>
      <c r="B68" s="11" t="s">
        <v>12</v>
      </c>
      <c r="C68" s="11" t="str">
        <f>VLOOKUP(extract!A68,import!A:C,3,FALSE)</f>
        <v>En cours</v>
      </c>
      <c r="D68" s="3" t="s">
        <v>406</v>
      </c>
      <c r="E68" s="11" t="s">
        <v>406</v>
      </c>
      <c r="F68" s="11" t="s">
        <v>16</v>
      </c>
      <c r="G68" s="11" t="s">
        <v>26</v>
      </c>
      <c r="H68" s="11" t="s">
        <v>37</v>
      </c>
      <c r="I68" s="12">
        <f>VLOOKUP(extract!A68,import!A:J,9,FALSE)</f>
        <v>43521.541689814818</v>
      </c>
      <c r="J68" s="27">
        <v>43521.605115740742</v>
      </c>
      <c r="K68" s="27">
        <v>43543.721087962964</v>
      </c>
      <c r="L68" s="13" t="s">
        <v>406</v>
      </c>
      <c r="M68" s="11" t="s">
        <v>29</v>
      </c>
      <c r="N68" s="11" t="s">
        <v>273</v>
      </c>
      <c r="O68" s="14"/>
      <c r="P68" s="14">
        <f t="shared" si="11"/>
        <v>2</v>
      </c>
      <c r="Q68" s="14" t="str">
        <f t="shared" si="9"/>
        <v>En cours</v>
      </c>
      <c r="R68" s="27">
        <f t="shared" si="12"/>
        <v>43543.721087962964</v>
      </c>
      <c r="S68" s="12">
        <f t="shared" ca="1" si="13"/>
        <v>43665</v>
      </c>
      <c r="T68" s="15" t="str">
        <f t="shared" ca="1" si="10"/>
        <v>30 et +</v>
      </c>
      <c r="U68" s="15" t="str">
        <f t="shared" si="14"/>
        <v>30</v>
      </c>
      <c r="V68" s="15" t="str">
        <f t="shared" ca="1" si="15"/>
        <v>30 et +</v>
      </c>
      <c r="W68" s="16">
        <f t="shared" si="16"/>
        <v>1</v>
      </c>
    </row>
    <row r="69" spans="1:23" ht="30" x14ac:dyDescent="0.25">
      <c r="A69" s="11" t="s">
        <v>111</v>
      </c>
      <c r="B69" s="11" t="s">
        <v>12</v>
      </c>
      <c r="C69" s="11" t="str">
        <f>VLOOKUP(extract!A69,import!A:C,3,FALSE)</f>
        <v>Clos</v>
      </c>
      <c r="D69" s="3" t="s">
        <v>406</v>
      </c>
      <c r="E69" s="11" t="s">
        <v>406</v>
      </c>
      <c r="F69" s="11" t="s">
        <v>16</v>
      </c>
      <c r="G69" s="11" t="s">
        <v>26</v>
      </c>
      <c r="H69" s="11" t="s">
        <v>37</v>
      </c>
      <c r="I69" s="12">
        <f>VLOOKUP(extract!A69,import!A:J,9,FALSE)</f>
        <v>43521.673402777778</v>
      </c>
      <c r="J69" s="27">
        <v>43521.679328703707</v>
      </c>
      <c r="K69" s="27">
        <v>43523.406608796293</v>
      </c>
      <c r="L69" s="13" t="s">
        <v>406</v>
      </c>
      <c r="M69" s="11" t="s">
        <v>29</v>
      </c>
      <c r="N69" s="11" t="s">
        <v>273</v>
      </c>
      <c r="O69" s="14"/>
      <c r="P69" s="14">
        <f t="shared" si="11"/>
        <v>2</v>
      </c>
      <c r="Q69" s="14" t="str">
        <f t="shared" si="9"/>
        <v>Clos</v>
      </c>
      <c r="R69" s="27">
        <f t="shared" si="12"/>
        <v>43523.406608796293</v>
      </c>
      <c r="S69" s="12">
        <f t="shared" ca="1" si="13"/>
        <v>43665</v>
      </c>
      <c r="T69" s="15" t="str">
        <f>IF(Q69="Clos",U69,V69)</f>
        <v>PB</v>
      </c>
      <c r="U69" s="15" t="str">
        <f>IF(_xlfn.DAYS(R69,I69)&lt;=1,"1",IF(AND(_xlfn.DAYS(52,I69)&gt;1,_xlfn.DAYS(R69,I69)&lt;=2),"2",IF(AND(_xlfn.DAYS(R69,I69)&gt;2,_xlfn.DAYS(R69,I69)&lt;=15),"15",IF(AND(_xlfn.DAYS(R69,I69)&gt;15,_xlfn.DAYS(R69,I69)&lt;=30),"30",IF(_xlfn.DAYS(R69,I69)&gt;30,"30 et +","PB")))))</f>
        <v>PB</v>
      </c>
      <c r="V69" s="15" t="str">
        <f t="shared" ca="1" si="15"/>
        <v>30 et +</v>
      </c>
      <c r="W69" s="16">
        <f t="shared" si="16"/>
        <v>1</v>
      </c>
    </row>
    <row r="70" spans="1:23" ht="30" x14ac:dyDescent="0.25">
      <c r="A70" s="11" t="s">
        <v>255</v>
      </c>
      <c r="B70" s="11" t="s">
        <v>12</v>
      </c>
      <c r="C70" s="11" t="str">
        <f>VLOOKUP(extract!A70,import!A:C,3,FALSE)</f>
        <v>Clos</v>
      </c>
      <c r="D70" s="3" t="s">
        <v>406</v>
      </c>
      <c r="E70" s="11" t="s">
        <v>406</v>
      </c>
      <c r="F70" s="11" t="s">
        <v>16</v>
      </c>
      <c r="G70" s="11" t="s">
        <v>168</v>
      </c>
      <c r="H70" s="11" t="s">
        <v>37</v>
      </c>
      <c r="I70" s="12">
        <f>VLOOKUP(extract!A70,import!A:J,9,FALSE)</f>
        <v>43521.407500000001</v>
      </c>
      <c r="J70" s="27">
        <v>43521.72550925926</v>
      </c>
      <c r="K70" s="27">
        <v>43523.414895833332</v>
      </c>
      <c r="L70" s="13" t="s">
        <v>406</v>
      </c>
      <c r="M70" s="11" t="s">
        <v>29</v>
      </c>
      <c r="N70" s="14"/>
      <c r="O70" s="14"/>
      <c r="P70" s="14">
        <f t="shared" si="11"/>
        <v>2</v>
      </c>
      <c r="Q70" s="14" t="str">
        <f t="shared" si="9"/>
        <v>Clos</v>
      </c>
      <c r="R70" s="27">
        <f t="shared" si="12"/>
        <v>43523.414895833332</v>
      </c>
      <c r="S70" s="12">
        <f t="shared" ca="1" si="13"/>
        <v>43665</v>
      </c>
      <c r="T70" s="15" t="str">
        <f t="shared" si="10"/>
        <v>PB</v>
      </c>
      <c r="U70" s="15" t="str">
        <f t="shared" si="14"/>
        <v>PB</v>
      </c>
      <c r="V70" s="15" t="str">
        <f t="shared" ca="1" si="15"/>
        <v>30 et +</v>
      </c>
      <c r="W70" s="16">
        <f t="shared" si="16"/>
        <v>1</v>
      </c>
    </row>
    <row r="71" spans="1:23" ht="30" x14ac:dyDescent="0.25">
      <c r="A71" s="11" t="s">
        <v>257</v>
      </c>
      <c r="B71" s="11" t="s">
        <v>12</v>
      </c>
      <c r="C71" s="11" t="str">
        <f>VLOOKUP(extract!A71,import!A:C,3,FALSE)</f>
        <v>Clos</v>
      </c>
      <c r="D71" s="3" t="s">
        <v>406</v>
      </c>
      <c r="E71" s="11" t="s">
        <v>406</v>
      </c>
      <c r="F71" s="11" t="s">
        <v>16</v>
      </c>
      <c r="G71" s="11" t="s">
        <v>168</v>
      </c>
      <c r="H71" s="11" t="s">
        <v>37</v>
      </c>
      <c r="I71" s="12">
        <f>VLOOKUP(extract!A71,import!A:J,9,FALSE)</f>
        <v>43522.064699074072</v>
      </c>
      <c r="J71" s="27">
        <v>43522.066261574073</v>
      </c>
      <c r="K71" s="27">
        <v>43560.448738425926</v>
      </c>
      <c r="L71" s="13" t="s">
        <v>406</v>
      </c>
      <c r="M71" s="11" t="s">
        <v>29</v>
      </c>
      <c r="N71" s="14"/>
      <c r="O71" s="14"/>
      <c r="P71" s="14">
        <f t="shared" si="11"/>
        <v>2</v>
      </c>
      <c r="Q71" s="14" t="str">
        <f t="shared" si="9"/>
        <v>Clos</v>
      </c>
      <c r="R71" s="27">
        <f t="shared" si="12"/>
        <v>43560.448738425926</v>
      </c>
      <c r="S71" s="12">
        <f t="shared" ca="1" si="13"/>
        <v>43665</v>
      </c>
      <c r="T71" s="15" t="str">
        <f t="shared" si="10"/>
        <v>30 et +</v>
      </c>
      <c r="U71" s="15" t="str">
        <f t="shared" si="14"/>
        <v>30 et +</v>
      </c>
      <c r="V71" s="15" t="str">
        <f t="shared" ca="1" si="15"/>
        <v>30 et +</v>
      </c>
      <c r="W71" s="16">
        <f t="shared" si="16"/>
        <v>1</v>
      </c>
    </row>
    <row r="72" spans="1:23" ht="30" x14ac:dyDescent="0.25">
      <c r="A72" s="11" t="s">
        <v>261</v>
      </c>
      <c r="B72" s="11" t="s">
        <v>12</v>
      </c>
      <c r="C72" s="11" t="str">
        <f>VLOOKUP(extract!A72,import!A:C,3,FALSE)</f>
        <v>Clos</v>
      </c>
      <c r="D72" s="3" t="s">
        <v>406</v>
      </c>
      <c r="E72" s="11" t="s">
        <v>406</v>
      </c>
      <c r="F72" s="11" t="s">
        <v>16</v>
      </c>
      <c r="G72" s="11" t="s">
        <v>168</v>
      </c>
      <c r="H72" s="11" t="s">
        <v>37</v>
      </c>
      <c r="I72" s="12">
        <f>VLOOKUP(extract!A72,import!A:J,9,FALSE)</f>
        <v>43522.064722222225</v>
      </c>
      <c r="J72" s="27">
        <v>43522.066423611112</v>
      </c>
      <c r="K72" s="27">
        <v>43560.44804398148</v>
      </c>
      <c r="L72" s="13" t="s">
        <v>406</v>
      </c>
      <c r="M72" s="11" t="s">
        <v>29</v>
      </c>
      <c r="N72" s="14"/>
      <c r="O72" s="14"/>
      <c r="P72" s="14">
        <f t="shared" si="11"/>
        <v>2</v>
      </c>
      <c r="Q72" s="14" t="str">
        <f t="shared" si="9"/>
        <v>Clos</v>
      </c>
      <c r="R72" s="27">
        <f t="shared" si="12"/>
        <v>43560.44804398148</v>
      </c>
      <c r="S72" s="12">
        <f t="shared" ca="1" si="13"/>
        <v>43665</v>
      </c>
      <c r="T72" s="15" t="str">
        <f t="shared" si="10"/>
        <v>30 et +</v>
      </c>
      <c r="U72" s="15" t="str">
        <f t="shared" si="14"/>
        <v>30 et +</v>
      </c>
      <c r="V72" s="15" t="str">
        <f t="shared" ca="1" si="15"/>
        <v>30 et +</v>
      </c>
      <c r="W72" s="16">
        <f t="shared" si="16"/>
        <v>1</v>
      </c>
    </row>
    <row r="73" spans="1:23" ht="30" x14ac:dyDescent="0.25">
      <c r="A73" s="11" t="s">
        <v>52</v>
      </c>
      <c r="B73" s="11" t="s">
        <v>12</v>
      </c>
      <c r="C73" s="11" t="str">
        <f>VLOOKUP(extract!A73,import!A:C,3,FALSE)</f>
        <v>Clos</v>
      </c>
      <c r="D73" s="3" t="s">
        <v>406</v>
      </c>
      <c r="E73" s="11" t="s">
        <v>406</v>
      </c>
      <c r="F73" s="11" t="s">
        <v>16</v>
      </c>
      <c r="G73" s="11" t="s">
        <v>26</v>
      </c>
      <c r="H73" s="11" t="s">
        <v>37</v>
      </c>
      <c r="I73" s="12">
        <f>VLOOKUP(extract!A73,import!A:J,9,FALSE)</f>
        <v>43522.804097222222</v>
      </c>
      <c r="J73" s="27">
        <v>43523.413182870368</v>
      </c>
      <c r="K73" s="27">
        <v>43560.450833333336</v>
      </c>
      <c r="L73" s="13" t="s">
        <v>406</v>
      </c>
      <c r="M73" s="11" t="s">
        <v>29</v>
      </c>
      <c r="N73" s="11" t="s">
        <v>273</v>
      </c>
      <c r="O73" s="14"/>
      <c r="P73" s="14">
        <f t="shared" si="11"/>
        <v>2</v>
      </c>
      <c r="Q73" s="14" t="str">
        <f t="shared" si="9"/>
        <v>Clos</v>
      </c>
      <c r="R73" s="27">
        <f t="shared" si="12"/>
        <v>43560.450833333336</v>
      </c>
      <c r="S73" s="12">
        <f t="shared" ca="1" si="13"/>
        <v>43665</v>
      </c>
      <c r="T73" s="15" t="str">
        <f t="shared" si="10"/>
        <v>30 et +</v>
      </c>
      <c r="U73" s="15" t="str">
        <f t="shared" si="14"/>
        <v>30 et +</v>
      </c>
      <c r="V73" s="15" t="str">
        <f t="shared" ca="1" si="15"/>
        <v>30 et +</v>
      </c>
      <c r="W73" s="16">
        <f t="shared" si="16"/>
        <v>1</v>
      </c>
    </row>
    <row r="74" spans="1:23" ht="30" x14ac:dyDescent="0.25">
      <c r="A74" s="11" t="s">
        <v>119</v>
      </c>
      <c r="B74" s="11" t="s">
        <v>12</v>
      </c>
      <c r="C74" s="11" t="str">
        <f>VLOOKUP(extract!A74,import!A:C,3,FALSE)</f>
        <v>Clos</v>
      </c>
      <c r="D74" s="3" t="s">
        <v>406</v>
      </c>
      <c r="E74" s="11" t="s">
        <v>406</v>
      </c>
      <c r="F74" s="11" t="s">
        <v>16</v>
      </c>
      <c r="G74" s="11" t="s">
        <v>26</v>
      </c>
      <c r="H74" s="11" t="s">
        <v>37</v>
      </c>
      <c r="I74" s="12">
        <f>VLOOKUP(extract!A74,import!A:J,9,FALSE)</f>
        <v>43523.791620370372</v>
      </c>
      <c r="J74" s="27">
        <v>43524.391145833331</v>
      </c>
      <c r="K74" s="27">
        <v>43580.486064814817</v>
      </c>
      <c r="L74" s="13" t="s">
        <v>406</v>
      </c>
      <c r="M74" s="11" t="s">
        <v>29</v>
      </c>
      <c r="N74" s="11" t="s">
        <v>275</v>
      </c>
      <c r="O74" s="14"/>
      <c r="P74" s="14">
        <f t="shared" si="11"/>
        <v>2</v>
      </c>
      <c r="Q74" s="14" t="str">
        <f t="shared" si="9"/>
        <v>Clos</v>
      </c>
      <c r="R74" s="27">
        <f t="shared" si="12"/>
        <v>43580.486064814817</v>
      </c>
      <c r="S74" s="12">
        <f t="shared" ca="1" si="13"/>
        <v>43665</v>
      </c>
      <c r="T74" s="15" t="str">
        <f t="shared" si="10"/>
        <v>30 et +</v>
      </c>
      <c r="U74" s="15" t="str">
        <f t="shared" si="14"/>
        <v>30 et +</v>
      </c>
      <c r="V74" s="15" t="str">
        <f t="shared" ca="1" si="15"/>
        <v>30 et +</v>
      </c>
      <c r="W74" s="16">
        <f t="shared" si="16"/>
        <v>1</v>
      </c>
    </row>
    <row r="75" spans="1:23" ht="30" x14ac:dyDescent="0.25">
      <c r="A75" s="11" t="s">
        <v>74</v>
      </c>
      <c r="B75" s="11" t="s">
        <v>12</v>
      </c>
      <c r="C75" s="11" t="s">
        <v>13</v>
      </c>
      <c r="D75" s="3" t="s">
        <v>406</v>
      </c>
      <c r="E75" s="11" t="s">
        <v>406</v>
      </c>
      <c r="F75" s="11" t="s">
        <v>16</v>
      </c>
      <c r="G75" s="11" t="s">
        <v>26</v>
      </c>
      <c r="H75" s="11" t="s">
        <v>37</v>
      </c>
      <c r="I75" s="12">
        <f>VLOOKUP(extract!A75,import!A:J,9,FALSE)</f>
        <v>43524.49728009259</v>
      </c>
      <c r="J75" s="27">
        <v>43524.590451388889</v>
      </c>
      <c r="K75" s="27"/>
      <c r="L75" s="13" t="s">
        <v>406</v>
      </c>
      <c r="M75" s="11" t="s">
        <v>29</v>
      </c>
      <c r="N75" s="11" t="s">
        <v>275</v>
      </c>
      <c r="O75" s="14"/>
      <c r="P75" s="14">
        <f t="shared" si="11"/>
        <v>2</v>
      </c>
      <c r="Q75" s="14" t="str">
        <f t="shared" si="9"/>
        <v>En cours</v>
      </c>
      <c r="R75" s="27" t="str">
        <f t="shared" si="12"/>
        <v>non résolu</v>
      </c>
      <c r="S75" s="12">
        <f t="shared" ca="1" si="13"/>
        <v>43665</v>
      </c>
      <c r="T75" s="15" t="str">
        <f t="shared" ca="1" si="10"/>
        <v>30 et +</v>
      </c>
      <c r="U75" s="15" t="e">
        <f t="shared" si="14"/>
        <v>#VALUE!</v>
      </c>
      <c r="V75" s="15" t="str">
        <f t="shared" ca="1" si="15"/>
        <v>30 et +</v>
      </c>
      <c r="W75" s="16">
        <f t="shared" si="16"/>
        <v>1</v>
      </c>
    </row>
    <row r="76" spans="1:23" ht="30" x14ac:dyDescent="0.25">
      <c r="A76" s="11" t="s">
        <v>36</v>
      </c>
      <c r="B76" s="11" t="s">
        <v>12</v>
      </c>
      <c r="C76" s="11" t="s">
        <v>13</v>
      </c>
      <c r="D76" s="3" t="s">
        <v>406</v>
      </c>
      <c r="E76" s="11" t="s">
        <v>406</v>
      </c>
      <c r="F76" s="11" t="s">
        <v>16</v>
      </c>
      <c r="G76" s="11" t="s">
        <v>26</v>
      </c>
      <c r="H76" s="11" t="s">
        <v>37</v>
      </c>
      <c r="I76" s="12">
        <f>VLOOKUP(extract!A76,import!A:J,9,FALSE)</f>
        <v>43525.871087962965</v>
      </c>
      <c r="J76" s="27">
        <v>43525.875474537039</v>
      </c>
      <c r="K76" s="27"/>
      <c r="L76" s="13" t="s">
        <v>406</v>
      </c>
      <c r="M76" s="11" t="s">
        <v>29</v>
      </c>
      <c r="N76" s="11" t="s">
        <v>275</v>
      </c>
      <c r="O76" s="14"/>
      <c r="P76" s="14">
        <f t="shared" si="11"/>
        <v>2</v>
      </c>
      <c r="Q76" s="14" t="str">
        <f t="shared" si="9"/>
        <v>En cours</v>
      </c>
      <c r="R76" s="27" t="str">
        <f t="shared" si="12"/>
        <v>non résolu</v>
      </c>
      <c r="S76" s="12">
        <f t="shared" ca="1" si="13"/>
        <v>43665</v>
      </c>
      <c r="T76" s="15" t="str">
        <f t="shared" ca="1" si="10"/>
        <v>30 et +</v>
      </c>
      <c r="U76" s="15" t="e">
        <f t="shared" si="14"/>
        <v>#VALUE!</v>
      </c>
      <c r="V76" s="15" t="str">
        <f t="shared" ca="1" si="15"/>
        <v>30 et +</v>
      </c>
      <c r="W76" s="16">
        <f t="shared" si="16"/>
        <v>1</v>
      </c>
    </row>
    <row r="77" spans="1:23" ht="30" x14ac:dyDescent="0.25">
      <c r="A77" s="11" t="s">
        <v>157</v>
      </c>
      <c r="B77" s="11" t="s">
        <v>12</v>
      </c>
      <c r="C77" s="11" t="str">
        <f>VLOOKUP(extract!A77,import!A:C,3,FALSE)</f>
        <v>En cours</v>
      </c>
      <c r="D77" s="3" t="s">
        <v>406</v>
      </c>
      <c r="E77" s="11" t="s">
        <v>406</v>
      </c>
      <c r="F77" s="11" t="s">
        <v>16</v>
      </c>
      <c r="G77" s="11" t="s">
        <v>26</v>
      </c>
      <c r="H77" s="11" t="s">
        <v>37</v>
      </c>
      <c r="I77" s="12">
        <f>VLOOKUP(extract!A77,import!A:J,9,FALSE)</f>
        <v>43527.050358796296</v>
      </c>
      <c r="J77" s="27">
        <v>43527.050868055558</v>
      </c>
      <c r="K77" s="27"/>
      <c r="L77" s="13" t="s">
        <v>406</v>
      </c>
      <c r="M77" s="11" t="s">
        <v>29</v>
      </c>
      <c r="N77" s="11" t="s">
        <v>275</v>
      </c>
      <c r="O77" s="14"/>
      <c r="P77" s="14">
        <f t="shared" si="11"/>
        <v>2</v>
      </c>
      <c r="Q77" s="14" t="str">
        <f t="shared" si="9"/>
        <v>En cours</v>
      </c>
      <c r="R77" s="27" t="str">
        <f t="shared" si="12"/>
        <v>non résolu</v>
      </c>
      <c r="S77" s="12">
        <f t="shared" ca="1" si="13"/>
        <v>43665</v>
      </c>
      <c r="T77" s="15" t="str">
        <f t="shared" ca="1" si="10"/>
        <v>30 et +</v>
      </c>
      <c r="U77" s="15" t="e">
        <f t="shared" si="14"/>
        <v>#VALUE!</v>
      </c>
      <c r="V77" s="15" t="str">
        <f t="shared" ca="1" si="15"/>
        <v>30 et +</v>
      </c>
      <c r="W77" s="16">
        <f t="shared" si="16"/>
        <v>1</v>
      </c>
    </row>
    <row r="78" spans="1:23" x14ac:dyDescent="0.25">
      <c r="A78" s="11" t="s">
        <v>107</v>
      </c>
      <c r="B78" s="11" t="s">
        <v>12</v>
      </c>
      <c r="C78" s="11" t="str">
        <f>VLOOKUP(extract!A78,import!A:C,3,FALSE)</f>
        <v>En cours</v>
      </c>
      <c r="D78" s="3" t="s">
        <v>406</v>
      </c>
      <c r="E78" s="11" t="s">
        <v>406</v>
      </c>
      <c r="F78" s="11" t="s">
        <v>16</v>
      </c>
      <c r="G78" s="11" t="s">
        <v>26</v>
      </c>
      <c r="H78" s="11" t="s">
        <v>37</v>
      </c>
      <c r="I78" s="12">
        <f>VLOOKUP(extract!A78,import!A:J,9,FALSE)</f>
        <v>43526.419050925928</v>
      </c>
      <c r="J78" s="27">
        <v>43528.407592592594</v>
      </c>
      <c r="K78" s="27">
        <v>43580.490486111114</v>
      </c>
      <c r="L78" s="13" t="s">
        <v>406</v>
      </c>
      <c r="M78" s="11" t="s">
        <v>29</v>
      </c>
      <c r="N78" s="11" t="s">
        <v>277</v>
      </c>
      <c r="O78" s="14"/>
      <c r="P78" s="14">
        <f t="shared" si="11"/>
        <v>2</v>
      </c>
      <c r="Q78" s="14" t="str">
        <f t="shared" si="9"/>
        <v>En cours</v>
      </c>
      <c r="R78" s="27">
        <f t="shared" si="12"/>
        <v>43580.490486111114</v>
      </c>
      <c r="S78" s="12">
        <f t="shared" ca="1" si="13"/>
        <v>43665</v>
      </c>
      <c r="T78" s="15" t="str">
        <f t="shared" ca="1" si="10"/>
        <v>30 et +</v>
      </c>
      <c r="U78" s="15" t="str">
        <f t="shared" si="14"/>
        <v>30 et +</v>
      </c>
      <c r="V78" s="15" t="str">
        <f t="shared" ca="1" si="15"/>
        <v>30 et +</v>
      </c>
      <c r="W78" s="16">
        <f t="shared" si="16"/>
        <v>1</v>
      </c>
    </row>
    <row r="79" spans="1:23" ht="30" x14ac:dyDescent="0.25">
      <c r="A79" s="11" t="s">
        <v>139</v>
      </c>
      <c r="B79" s="11" t="s">
        <v>12</v>
      </c>
      <c r="C79" s="11" t="str">
        <f>VLOOKUP(extract!A79,import!A:C,3,FALSE)</f>
        <v>En cours</v>
      </c>
      <c r="D79" s="3" t="s">
        <v>406</v>
      </c>
      <c r="E79" s="11" t="s">
        <v>406</v>
      </c>
      <c r="F79" s="11" t="s">
        <v>16</v>
      </c>
      <c r="G79" s="11" t="s">
        <v>26</v>
      </c>
      <c r="H79" s="11" t="s">
        <v>37</v>
      </c>
      <c r="I79" s="12">
        <f>VLOOKUP(extract!A79,import!A:J,9,FALSE)</f>
        <v>43528.506666666668</v>
      </c>
      <c r="J79" s="27">
        <v>43528.572002314817</v>
      </c>
      <c r="K79" s="27">
        <v>43544.596307870372</v>
      </c>
      <c r="L79" s="13" t="s">
        <v>406</v>
      </c>
      <c r="M79" s="11" t="s">
        <v>29</v>
      </c>
      <c r="N79" s="11" t="s">
        <v>275</v>
      </c>
      <c r="O79" s="14"/>
      <c r="P79" s="14">
        <f t="shared" si="11"/>
        <v>2</v>
      </c>
      <c r="Q79" s="14" t="str">
        <f t="shared" si="9"/>
        <v>En cours</v>
      </c>
      <c r="R79" s="27">
        <f t="shared" si="12"/>
        <v>43544.596307870372</v>
      </c>
      <c r="S79" s="12">
        <f t="shared" ca="1" si="13"/>
        <v>43665</v>
      </c>
      <c r="T79" s="15" t="str">
        <f t="shared" ca="1" si="10"/>
        <v>30 et +</v>
      </c>
      <c r="U79" s="15" t="str">
        <f t="shared" si="14"/>
        <v>30</v>
      </c>
      <c r="V79" s="15" t="str">
        <f t="shared" ca="1" si="15"/>
        <v>30 et +</v>
      </c>
      <c r="W79" s="16">
        <f t="shared" si="16"/>
        <v>1</v>
      </c>
    </row>
    <row r="80" spans="1:23" ht="30" x14ac:dyDescent="0.25">
      <c r="A80" s="11" t="s">
        <v>112</v>
      </c>
      <c r="B80" s="11" t="s">
        <v>12</v>
      </c>
      <c r="C80" s="11" t="s">
        <v>13</v>
      </c>
      <c r="D80" s="3" t="s">
        <v>406</v>
      </c>
      <c r="E80" s="11" t="s">
        <v>406</v>
      </c>
      <c r="F80" s="11" t="s">
        <v>16</v>
      </c>
      <c r="G80" s="11" t="s">
        <v>26</v>
      </c>
      <c r="H80" s="11" t="s">
        <v>37</v>
      </c>
      <c r="I80" s="12">
        <f>VLOOKUP(extract!A80,import!A:J,9,FALSE)</f>
        <v>43528.8675</v>
      </c>
      <c r="J80" s="27">
        <v>43529.415844907409</v>
      </c>
      <c r="K80" s="27"/>
      <c r="L80" s="13" t="s">
        <v>406</v>
      </c>
      <c r="M80" s="11" t="s">
        <v>29</v>
      </c>
      <c r="N80" s="11" t="s">
        <v>275</v>
      </c>
      <c r="O80" s="14"/>
      <c r="P80" s="14">
        <f t="shared" si="11"/>
        <v>2</v>
      </c>
      <c r="Q80" s="14" t="str">
        <f t="shared" si="9"/>
        <v>En cours</v>
      </c>
      <c r="R80" s="27" t="str">
        <f t="shared" si="12"/>
        <v>non résolu</v>
      </c>
      <c r="S80" s="12">
        <f t="shared" ca="1" si="13"/>
        <v>43665</v>
      </c>
      <c r="T80" s="15" t="str">
        <f t="shared" ca="1" si="10"/>
        <v>30 et +</v>
      </c>
      <c r="U80" s="15" t="e">
        <f t="shared" si="14"/>
        <v>#VALUE!</v>
      </c>
      <c r="V80" s="15" t="str">
        <f t="shared" ca="1" si="15"/>
        <v>30 et +</v>
      </c>
      <c r="W80" s="16">
        <f t="shared" si="16"/>
        <v>1</v>
      </c>
    </row>
    <row r="81" spans="1:23" ht="30" x14ac:dyDescent="0.25">
      <c r="A81" s="11" t="s">
        <v>262</v>
      </c>
      <c r="B81" s="11" t="s">
        <v>12</v>
      </c>
      <c r="C81" s="11" t="s">
        <v>13</v>
      </c>
      <c r="D81" s="3" t="s">
        <v>406</v>
      </c>
      <c r="E81" s="11" t="s">
        <v>406</v>
      </c>
      <c r="F81" s="11" t="s">
        <v>16</v>
      </c>
      <c r="G81" s="11" t="s">
        <v>168</v>
      </c>
      <c r="H81" s="11" t="s">
        <v>37</v>
      </c>
      <c r="I81" s="12">
        <f>VLOOKUP(extract!A81,import!A:J,9,FALSE)</f>
        <v>43526.064270833333</v>
      </c>
      <c r="J81" s="27">
        <v>43529.650625000002</v>
      </c>
      <c r="K81" s="27"/>
      <c r="L81" s="13" t="s">
        <v>406</v>
      </c>
      <c r="M81" s="11" t="s">
        <v>29</v>
      </c>
      <c r="N81" s="14"/>
      <c r="O81" s="14"/>
      <c r="P81" s="14">
        <f t="shared" si="11"/>
        <v>2</v>
      </c>
      <c r="Q81" s="14" t="str">
        <f t="shared" si="9"/>
        <v>En cours</v>
      </c>
      <c r="R81" s="27" t="str">
        <f t="shared" si="12"/>
        <v>non résolu</v>
      </c>
      <c r="S81" s="12">
        <f t="shared" ca="1" si="13"/>
        <v>43665</v>
      </c>
      <c r="T81" s="15" t="str">
        <f t="shared" ca="1" si="10"/>
        <v>30 et +</v>
      </c>
      <c r="U81" s="15" t="e">
        <f t="shared" si="14"/>
        <v>#VALUE!</v>
      </c>
      <c r="V81" s="15" t="str">
        <f t="shared" ca="1" si="15"/>
        <v>30 et +</v>
      </c>
      <c r="W81" s="16">
        <f t="shared" si="16"/>
        <v>1</v>
      </c>
    </row>
    <row r="82" spans="1:23" ht="30" x14ac:dyDescent="0.25">
      <c r="A82" s="11" t="s">
        <v>47</v>
      </c>
      <c r="B82" s="11" t="s">
        <v>12</v>
      </c>
      <c r="C82" s="11" t="str">
        <f>VLOOKUP(extract!A82,import!A:C,3,FALSE)</f>
        <v>En cours</v>
      </c>
      <c r="D82" s="3" t="s">
        <v>406</v>
      </c>
      <c r="E82" s="11" t="s">
        <v>406</v>
      </c>
      <c r="F82" s="11" t="s">
        <v>16</v>
      </c>
      <c r="G82" s="11" t="s">
        <v>26</v>
      </c>
      <c r="H82" s="11" t="s">
        <v>37</v>
      </c>
      <c r="I82" s="12">
        <f>VLOOKUP(extract!A82,import!A:J,9,FALSE)</f>
        <v>43529.7112037037</v>
      </c>
      <c r="J82" s="27">
        <v>43529.719988425924</v>
      </c>
      <c r="K82" s="27"/>
      <c r="L82" s="13" t="s">
        <v>406</v>
      </c>
      <c r="M82" s="11" t="s">
        <v>29</v>
      </c>
      <c r="N82" s="11" t="s">
        <v>275</v>
      </c>
      <c r="O82" s="14"/>
      <c r="P82" s="14">
        <f t="shared" si="11"/>
        <v>2</v>
      </c>
      <c r="Q82" s="14" t="str">
        <f t="shared" si="9"/>
        <v>En cours</v>
      </c>
      <c r="R82" s="27" t="str">
        <f t="shared" si="12"/>
        <v>non résolu</v>
      </c>
      <c r="S82" s="12">
        <f t="shared" ca="1" si="13"/>
        <v>43665</v>
      </c>
      <c r="T82" s="15" t="str">
        <f t="shared" ca="1" si="10"/>
        <v>30 et +</v>
      </c>
      <c r="U82" s="15" t="e">
        <f t="shared" si="14"/>
        <v>#VALUE!</v>
      </c>
      <c r="V82" s="15" t="str">
        <f t="shared" ca="1" si="15"/>
        <v>30 et +</v>
      </c>
      <c r="W82" s="16">
        <f t="shared" si="16"/>
        <v>1</v>
      </c>
    </row>
    <row r="83" spans="1:23" x14ac:dyDescent="0.25">
      <c r="A83" s="11" t="s">
        <v>123</v>
      </c>
      <c r="B83" s="11" t="s">
        <v>12</v>
      </c>
      <c r="C83" s="11" t="str">
        <f>VLOOKUP(extract!A83,import!A:C,3,FALSE)</f>
        <v>En cours</v>
      </c>
      <c r="D83" s="3" t="s">
        <v>406</v>
      </c>
      <c r="E83" s="11" t="s">
        <v>406</v>
      </c>
      <c r="F83" s="11" t="s">
        <v>16</v>
      </c>
      <c r="G83" s="11" t="s">
        <v>26</v>
      </c>
      <c r="H83" s="11" t="s">
        <v>37</v>
      </c>
      <c r="I83" s="12">
        <f>VLOOKUP(extract!A83,import!A:J,9,FALSE)</f>
        <v>43529.761759259258</v>
      </c>
      <c r="J83" s="27">
        <v>43529.769004629627</v>
      </c>
      <c r="K83" s="27"/>
      <c r="L83" s="13" t="s">
        <v>406</v>
      </c>
      <c r="M83" s="11" t="s">
        <v>29</v>
      </c>
      <c r="N83" s="11" t="s">
        <v>277</v>
      </c>
      <c r="O83" s="14"/>
      <c r="P83" s="14">
        <f t="shared" si="11"/>
        <v>2</v>
      </c>
      <c r="Q83" s="14" t="str">
        <f t="shared" si="9"/>
        <v>En cours</v>
      </c>
      <c r="R83" s="27" t="str">
        <f t="shared" si="12"/>
        <v>non résolu</v>
      </c>
      <c r="S83" s="12">
        <f t="shared" ca="1" si="13"/>
        <v>43665</v>
      </c>
      <c r="T83" s="15" t="str">
        <f t="shared" ca="1" si="10"/>
        <v>30 et +</v>
      </c>
      <c r="U83" s="15" t="e">
        <f t="shared" si="14"/>
        <v>#VALUE!</v>
      </c>
      <c r="V83" s="15" t="str">
        <f t="shared" ca="1" si="15"/>
        <v>30 et +</v>
      </c>
      <c r="W83" s="16">
        <f t="shared" si="16"/>
        <v>1</v>
      </c>
    </row>
    <row r="84" spans="1:23" ht="30" x14ac:dyDescent="0.25">
      <c r="A84" s="11" t="s">
        <v>11</v>
      </c>
      <c r="B84" s="11" t="s">
        <v>12</v>
      </c>
      <c r="C84" s="11" t="s">
        <v>13</v>
      </c>
      <c r="D84" s="3" t="s">
        <v>406</v>
      </c>
      <c r="E84" s="11" t="s">
        <v>406</v>
      </c>
      <c r="F84" s="11" t="s">
        <v>16</v>
      </c>
      <c r="G84" s="11" t="s">
        <v>266</v>
      </c>
      <c r="H84" s="11" t="s">
        <v>18</v>
      </c>
      <c r="I84" s="27">
        <v>43530.616203703707</v>
      </c>
      <c r="J84" s="27">
        <v>43530.616203703707</v>
      </c>
      <c r="K84" s="27"/>
      <c r="L84" s="13" t="s">
        <v>406</v>
      </c>
      <c r="M84" s="11" t="s">
        <v>19</v>
      </c>
      <c r="N84" s="11" t="s">
        <v>268</v>
      </c>
      <c r="O84" s="14"/>
      <c r="P84" s="14">
        <f t="shared" si="11"/>
        <v>4</v>
      </c>
      <c r="Q84" s="14" t="str">
        <f t="shared" si="9"/>
        <v>En cours</v>
      </c>
      <c r="R84" s="27" t="str">
        <f t="shared" si="12"/>
        <v>non résolu</v>
      </c>
      <c r="S84" s="12">
        <f t="shared" ca="1" si="13"/>
        <v>43665</v>
      </c>
      <c r="T84" s="15" t="str">
        <f t="shared" ca="1" si="10"/>
        <v>30 et +</v>
      </c>
      <c r="U84" s="15" t="e">
        <f t="shared" si="14"/>
        <v>#VALUE!</v>
      </c>
      <c r="V84" s="15" t="str">
        <f t="shared" ca="1" si="15"/>
        <v>30 et +</v>
      </c>
      <c r="W84" s="16">
        <f t="shared" si="16"/>
        <v>1</v>
      </c>
    </row>
    <row r="85" spans="1:23" ht="30" x14ac:dyDescent="0.25">
      <c r="A85" s="11" t="s">
        <v>61</v>
      </c>
      <c r="B85" s="11" t="s">
        <v>12</v>
      </c>
      <c r="C85" s="11" t="str">
        <f>VLOOKUP(extract!A85,import!A:C,3,FALSE)</f>
        <v>En cours</v>
      </c>
      <c r="D85" s="3" t="s">
        <v>406</v>
      </c>
      <c r="E85" s="11" t="s">
        <v>406</v>
      </c>
      <c r="F85" s="11" t="s">
        <v>16</v>
      </c>
      <c r="G85" s="11" t="s">
        <v>26</v>
      </c>
      <c r="H85" s="11" t="s">
        <v>37</v>
      </c>
      <c r="I85" s="12">
        <f>VLOOKUP(extract!A85,import!A:J,9,FALSE)</f>
        <v>43534.537858796299</v>
      </c>
      <c r="J85" s="27">
        <v>43535.429895833331</v>
      </c>
      <c r="K85" s="27"/>
      <c r="L85" s="13" t="s">
        <v>406</v>
      </c>
      <c r="M85" s="11" t="s">
        <v>29</v>
      </c>
      <c r="N85" s="11" t="s">
        <v>275</v>
      </c>
      <c r="O85" s="14" t="s">
        <v>217</v>
      </c>
      <c r="P85" s="14">
        <f t="shared" si="11"/>
        <v>2</v>
      </c>
      <c r="Q85" s="14" t="str">
        <f t="shared" si="9"/>
        <v>En cours</v>
      </c>
      <c r="R85" s="27" t="str">
        <f t="shared" si="12"/>
        <v>non résolu</v>
      </c>
      <c r="S85" s="12">
        <f t="shared" ca="1" si="13"/>
        <v>43665</v>
      </c>
      <c r="T85" s="15" t="str">
        <f t="shared" ca="1" si="10"/>
        <v>30 et +</v>
      </c>
      <c r="U85" s="15" t="e">
        <f t="shared" si="14"/>
        <v>#VALUE!</v>
      </c>
      <c r="V85" s="15" t="str">
        <f t="shared" ca="1" si="15"/>
        <v>30 et +</v>
      </c>
      <c r="W85" s="16">
        <f t="shared" si="16"/>
        <v>1</v>
      </c>
    </row>
    <row r="86" spans="1:23" x14ac:dyDescent="0.25">
      <c r="A86" s="11" t="s">
        <v>80</v>
      </c>
      <c r="B86" s="11" t="s">
        <v>12</v>
      </c>
      <c r="C86" s="11" t="str">
        <f>VLOOKUP(extract!A86,import!A:C,3,FALSE)</f>
        <v>En cours</v>
      </c>
      <c r="D86" s="3" t="s">
        <v>406</v>
      </c>
      <c r="E86" s="11" t="s">
        <v>406</v>
      </c>
      <c r="F86" s="11" t="s">
        <v>16</v>
      </c>
      <c r="G86" s="11" t="s">
        <v>26</v>
      </c>
      <c r="H86" s="11" t="s">
        <v>37</v>
      </c>
      <c r="I86" s="12">
        <f>VLOOKUP(extract!A86,import!A:J,9,FALSE)</f>
        <v>43535.431574074071</v>
      </c>
      <c r="J86" s="27">
        <v>43535.440312500003</v>
      </c>
      <c r="K86" s="27">
        <v>43573.70349537037</v>
      </c>
      <c r="L86" s="13" t="s">
        <v>406</v>
      </c>
      <c r="M86" s="11" t="s">
        <v>29</v>
      </c>
      <c r="N86" s="11" t="s">
        <v>277</v>
      </c>
      <c r="O86" s="14" t="s">
        <v>216</v>
      </c>
      <c r="P86" s="14">
        <f t="shared" si="11"/>
        <v>2</v>
      </c>
      <c r="Q86" s="14" t="str">
        <f t="shared" si="9"/>
        <v>En cours</v>
      </c>
      <c r="R86" s="27">
        <f t="shared" si="12"/>
        <v>43573.70349537037</v>
      </c>
      <c r="S86" s="12">
        <f t="shared" ca="1" si="13"/>
        <v>43665</v>
      </c>
      <c r="T86" s="15" t="str">
        <f t="shared" ca="1" si="10"/>
        <v>30 et +</v>
      </c>
      <c r="U86" s="15" t="str">
        <f t="shared" si="14"/>
        <v>30 et +</v>
      </c>
      <c r="V86" s="15" t="str">
        <f t="shared" ca="1" si="15"/>
        <v>30 et +</v>
      </c>
      <c r="W86" s="16">
        <f t="shared" si="16"/>
        <v>1</v>
      </c>
    </row>
    <row r="87" spans="1:23" ht="30" x14ac:dyDescent="0.25">
      <c r="A87" s="11" t="s">
        <v>156</v>
      </c>
      <c r="B87" s="11" t="s">
        <v>12</v>
      </c>
      <c r="C87" s="11" t="str">
        <f>VLOOKUP(extract!A87,import!A:C,3,FALSE)</f>
        <v>En cours</v>
      </c>
      <c r="D87" s="3" t="s">
        <v>406</v>
      </c>
      <c r="E87" s="11" t="s">
        <v>406</v>
      </c>
      <c r="F87" s="11" t="s">
        <v>16</v>
      </c>
      <c r="G87" s="11" t="s">
        <v>26</v>
      </c>
      <c r="H87" s="11" t="s">
        <v>37</v>
      </c>
      <c r="I87" s="12">
        <f>VLOOKUP(extract!A87,import!A:J,9,FALSE)</f>
        <v>43537.487523148149</v>
      </c>
      <c r="J87" s="27">
        <v>43537.633842592593</v>
      </c>
      <c r="K87" s="27">
        <v>43573.704479166663</v>
      </c>
      <c r="L87" s="13" t="s">
        <v>406</v>
      </c>
      <c r="M87" s="11" t="s">
        <v>29</v>
      </c>
      <c r="N87" s="11" t="s">
        <v>275</v>
      </c>
      <c r="O87" s="14" t="s">
        <v>215</v>
      </c>
      <c r="P87" s="14">
        <f t="shared" si="11"/>
        <v>2</v>
      </c>
      <c r="Q87" s="14" t="str">
        <f t="shared" si="9"/>
        <v>En cours</v>
      </c>
      <c r="R87" s="27">
        <f t="shared" si="12"/>
        <v>43573.704479166663</v>
      </c>
      <c r="S87" s="12">
        <f t="shared" ca="1" si="13"/>
        <v>43665</v>
      </c>
      <c r="T87" s="15" t="str">
        <f t="shared" ca="1" si="10"/>
        <v>30 et +</v>
      </c>
      <c r="U87" s="15" t="str">
        <f t="shared" si="14"/>
        <v>30 et +</v>
      </c>
      <c r="V87" s="15" t="str">
        <f t="shared" ca="1" si="15"/>
        <v>30 et +</v>
      </c>
      <c r="W87" s="16">
        <f t="shared" si="16"/>
        <v>1</v>
      </c>
    </row>
    <row r="88" spans="1:23" ht="30" x14ac:dyDescent="0.25">
      <c r="A88" s="11" t="s">
        <v>135</v>
      </c>
      <c r="B88" s="11" t="s">
        <v>12</v>
      </c>
      <c r="C88" s="11" t="str">
        <f>VLOOKUP(extract!A88,import!A:C,3,FALSE)</f>
        <v>En cours</v>
      </c>
      <c r="D88" s="3" t="s">
        <v>406</v>
      </c>
      <c r="E88" s="11" t="s">
        <v>406</v>
      </c>
      <c r="F88" s="11" t="s">
        <v>16</v>
      </c>
      <c r="G88" s="11" t="s">
        <v>26</v>
      </c>
      <c r="H88" s="11" t="s">
        <v>37</v>
      </c>
      <c r="I88" s="12">
        <f>VLOOKUP(extract!A88,import!A:J,9,FALSE)</f>
        <v>43537.487523148149</v>
      </c>
      <c r="J88" s="27">
        <v>43537.634652777779</v>
      </c>
      <c r="K88" s="27"/>
      <c r="L88" s="13" t="s">
        <v>406</v>
      </c>
      <c r="M88" s="11" t="s">
        <v>29</v>
      </c>
      <c r="N88" s="11" t="s">
        <v>275</v>
      </c>
      <c r="O88" s="14" t="s">
        <v>215</v>
      </c>
      <c r="P88" s="14">
        <f t="shared" si="11"/>
        <v>2</v>
      </c>
      <c r="Q88" s="14" t="str">
        <f t="shared" si="9"/>
        <v>En cours</v>
      </c>
      <c r="R88" s="27" t="str">
        <f t="shared" si="12"/>
        <v>non résolu</v>
      </c>
      <c r="S88" s="12">
        <f t="shared" ca="1" si="13"/>
        <v>43665</v>
      </c>
      <c r="T88" s="15" t="str">
        <f t="shared" ca="1" si="10"/>
        <v>30 et +</v>
      </c>
      <c r="U88" s="15" t="e">
        <f t="shared" si="14"/>
        <v>#VALUE!</v>
      </c>
      <c r="V88" s="15" t="str">
        <f t="shared" ca="1" si="15"/>
        <v>30 et +</v>
      </c>
      <c r="W88" s="16">
        <f t="shared" si="16"/>
        <v>1</v>
      </c>
    </row>
    <row r="89" spans="1:23" x14ac:dyDescent="0.25">
      <c r="A89" s="11" t="s">
        <v>50</v>
      </c>
      <c r="B89" s="11" t="s">
        <v>12</v>
      </c>
      <c r="C89" s="11" t="str">
        <f>VLOOKUP(extract!A89,import!A:C,3,FALSE)</f>
        <v>Clos</v>
      </c>
      <c r="D89" s="3" t="s">
        <v>406</v>
      </c>
      <c r="E89" s="11" t="s">
        <v>406</v>
      </c>
      <c r="F89" s="11" t="s">
        <v>16</v>
      </c>
      <c r="G89" s="11" t="s">
        <v>26</v>
      </c>
      <c r="H89" s="11" t="s">
        <v>37</v>
      </c>
      <c r="I89" s="12">
        <f>VLOOKUP(extract!A89,import!A:J,9,FALSE)</f>
        <v>43537.530381944445</v>
      </c>
      <c r="J89" s="27">
        <v>43537.637962962966</v>
      </c>
      <c r="K89" s="27">
        <v>43573.705358796295</v>
      </c>
      <c r="L89" s="13" t="s">
        <v>406</v>
      </c>
      <c r="M89" s="11" t="s">
        <v>29</v>
      </c>
      <c r="N89" s="11" t="s">
        <v>278</v>
      </c>
      <c r="O89" s="14" t="s">
        <v>215</v>
      </c>
      <c r="P89" s="14">
        <f t="shared" si="11"/>
        <v>2</v>
      </c>
      <c r="Q89" s="14" t="str">
        <f t="shared" si="9"/>
        <v>Clos</v>
      </c>
      <c r="R89" s="27">
        <f t="shared" si="12"/>
        <v>43573.705358796295</v>
      </c>
      <c r="S89" s="12">
        <f t="shared" ca="1" si="13"/>
        <v>43665</v>
      </c>
      <c r="T89" s="15" t="str">
        <f t="shared" si="10"/>
        <v>30 et +</v>
      </c>
      <c r="U89" s="15" t="str">
        <f t="shared" si="14"/>
        <v>30 et +</v>
      </c>
      <c r="V89" s="15" t="str">
        <f t="shared" ca="1" si="15"/>
        <v>30 et +</v>
      </c>
      <c r="W89" s="16">
        <f t="shared" si="16"/>
        <v>1</v>
      </c>
    </row>
    <row r="90" spans="1:23" x14ac:dyDescent="0.25">
      <c r="A90" s="11" t="s">
        <v>128</v>
      </c>
      <c r="B90" s="11" t="s">
        <v>12</v>
      </c>
      <c r="C90" s="11" t="str">
        <f>VLOOKUP(extract!A90,import!A:C,3,FALSE)</f>
        <v>Clos</v>
      </c>
      <c r="D90" s="3" t="s">
        <v>406</v>
      </c>
      <c r="E90" s="11" t="s">
        <v>406</v>
      </c>
      <c r="F90" s="11" t="s">
        <v>16</v>
      </c>
      <c r="G90" s="11" t="s">
        <v>26</v>
      </c>
      <c r="H90" s="11" t="s">
        <v>37</v>
      </c>
      <c r="I90" s="12">
        <f>VLOOKUP(extract!A90,import!A:J,9,FALSE)</f>
        <v>43537.531666666669</v>
      </c>
      <c r="J90" s="27">
        <v>43537.638599537036</v>
      </c>
      <c r="K90" s="27">
        <v>43573.707141203704</v>
      </c>
      <c r="L90" s="13" t="s">
        <v>406</v>
      </c>
      <c r="M90" s="11" t="s">
        <v>29</v>
      </c>
      <c r="N90" s="11" t="s">
        <v>278</v>
      </c>
      <c r="O90" s="14" t="s">
        <v>215</v>
      </c>
      <c r="P90" s="14">
        <f t="shared" si="11"/>
        <v>2</v>
      </c>
      <c r="Q90" s="14" t="str">
        <f t="shared" si="9"/>
        <v>Clos</v>
      </c>
      <c r="R90" s="27">
        <f t="shared" si="12"/>
        <v>43573.707141203704</v>
      </c>
      <c r="S90" s="12">
        <f t="shared" ca="1" si="13"/>
        <v>43665</v>
      </c>
      <c r="T90" s="15" t="str">
        <f t="shared" si="10"/>
        <v>30 et +</v>
      </c>
      <c r="U90" s="15" t="str">
        <f t="shared" si="14"/>
        <v>30 et +</v>
      </c>
      <c r="V90" s="15" t="str">
        <f t="shared" ca="1" si="15"/>
        <v>30 et +</v>
      </c>
      <c r="W90" s="16">
        <f t="shared" si="16"/>
        <v>1</v>
      </c>
    </row>
    <row r="91" spans="1:23" ht="94.5" customHeight="1" x14ac:dyDescent="0.25">
      <c r="A91" s="11" t="s">
        <v>57</v>
      </c>
      <c r="B91" s="11" t="s">
        <v>12</v>
      </c>
      <c r="C91" s="11" t="str">
        <f>VLOOKUP(extract!A91,import!A:C,3,FALSE)</f>
        <v>En cours</v>
      </c>
      <c r="D91" s="3" t="s">
        <v>406</v>
      </c>
      <c r="E91" s="11" t="s">
        <v>406</v>
      </c>
      <c r="F91" s="11" t="s">
        <v>16</v>
      </c>
      <c r="G91" s="11" t="s">
        <v>26</v>
      </c>
      <c r="H91" s="11" t="s">
        <v>37</v>
      </c>
      <c r="I91" s="12">
        <f>VLOOKUP(extract!A91,import!A:J,9,FALSE)</f>
        <v>43537.688148148147</v>
      </c>
      <c r="J91" s="27">
        <v>43537.693252314813</v>
      </c>
      <c r="K91" s="27"/>
      <c r="L91" s="13" t="s">
        <v>406</v>
      </c>
      <c r="M91" s="11" t="s">
        <v>29</v>
      </c>
      <c r="N91" s="11" t="s">
        <v>277</v>
      </c>
      <c r="O91" s="14" t="s">
        <v>216</v>
      </c>
      <c r="P91" s="14">
        <f t="shared" si="11"/>
        <v>2</v>
      </c>
      <c r="Q91" s="14" t="str">
        <f t="shared" si="9"/>
        <v>En cours</v>
      </c>
      <c r="R91" s="27" t="str">
        <f t="shared" si="12"/>
        <v>non résolu</v>
      </c>
      <c r="S91" s="12">
        <f t="shared" ca="1" si="13"/>
        <v>43665</v>
      </c>
      <c r="T91" s="15" t="str">
        <f t="shared" ca="1" si="10"/>
        <v>30 et +</v>
      </c>
      <c r="U91" s="15" t="e">
        <f t="shared" si="14"/>
        <v>#VALUE!</v>
      </c>
      <c r="V91" s="15" t="str">
        <f t="shared" ca="1" si="15"/>
        <v>30 et +</v>
      </c>
      <c r="W91" s="16">
        <f t="shared" si="16"/>
        <v>1</v>
      </c>
    </row>
    <row r="92" spans="1:23" ht="93.75" customHeight="1" x14ac:dyDescent="0.25">
      <c r="A92" s="11" t="s">
        <v>96</v>
      </c>
      <c r="B92" s="11" t="s">
        <v>12</v>
      </c>
      <c r="C92" s="11" t="s">
        <v>13</v>
      </c>
      <c r="D92" s="3" t="s">
        <v>406</v>
      </c>
      <c r="E92" s="11" t="s">
        <v>406</v>
      </c>
      <c r="F92" s="11" t="s">
        <v>16</v>
      </c>
      <c r="G92" s="11" t="s">
        <v>26</v>
      </c>
      <c r="H92" s="11" t="s">
        <v>37</v>
      </c>
      <c r="I92" s="12">
        <f>VLOOKUP(extract!A92,import!A:J,9,FALSE)</f>
        <v>43537.772893518515</v>
      </c>
      <c r="J92" s="27">
        <v>43538.375833333332</v>
      </c>
      <c r="K92" s="27"/>
      <c r="L92" s="13" t="s">
        <v>406</v>
      </c>
      <c r="M92" s="11" t="s">
        <v>29</v>
      </c>
      <c r="N92" s="11" t="s">
        <v>278</v>
      </c>
      <c r="O92" s="14" t="s">
        <v>215</v>
      </c>
      <c r="P92" s="14">
        <f t="shared" si="11"/>
        <v>2</v>
      </c>
      <c r="Q92" s="14" t="str">
        <f t="shared" si="9"/>
        <v>En cours</v>
      </c>
      <c r="R92" s="27" t="str">
        <f t="shared" si="12"/>
        <v>non résolu</v>
      </c>
      <c r="S92" s="12">
        <f t="shared" ca="1" si="13"/>
        <v>43665</v>
      </c>
      <c r="T92" s="15" t="str">
        <f t="shared" ca="1" si="10"/>
        <v>30 et +</v>
      </c>
      <c r="U92" s="15" t="e">
        <f t="shared" si="14"/>
        <v>#VALUE!</v>
      </c>
      <c r="V92" s="15" t="str">
        <f t="shared" ca="1" si="15"/>
        <v>30 et +</v>
      </c>
      <c r="W92" s="16">
        <f t="shared" si="16"/>
        <v>1</v>
      </c>
    </row>
    <row r="93" spans="1:23" x14ac:dyDescent="0.25">
      <c r="A93" s="11" t="s">
        <v>83</v>
      </c>
      <c r="B93" s="11" t="s">
        <v>12</v>
      </c>
      <c r="C93" s="11" t="s">
        <v>13</v>
      </c>
      <c r="D93" s="3" t="s">
        <v>406</v>
      </c>
      <c r="E93" s="11" t="s">
        <v>406</v>
      </c>
      <c r="F93" s="11" t="s">
        <v>16</v>
      </c>
      <c r="G93" s="11" t="s">
        <v>26</v>
      </c>
      <c r="H93" s="11" t="s">
        <v>37</v>
      </c>
      <c r="I93" s="12">
        <f>VLOOKUP(extract!A93,import!A:J,9,FALSE)</f>
        <v>43538.266122685185</v>
      </c>
      <c r="J93" s="27">
        <v>43538.377800925926</v>
      </c>
      <c r="K93" s="27"/>
      <c r="L93" s="13" t="s">
        <v>406</v>
      </c>
      <c r="M93" s="11" t="s">
        <v>29</v>
      </c>
      <c r="N93" s="11" t="s">
        <v>278</v>
      </c>
      <c r="O93" s="14" t="s">
        <v>215</v>
      </c>
      <c r="P93" s="14">
        <f t="shared" si="11"/>
        <v>2</v>
      </c>
      <c r="Q93" s="14" t="str">
        <f t="shared" si="9"/>
        <v>En cours</v>
      </c>
      <c r="R93" s="27" t="str">
        <f t="shared" si="12"/>
        <v>non résolu</v>
      </c>
      <c r="S93" s="12">
        <f t="shared" ca="1" si="13"/>
        <v>43665</v>
      </c>
      <c r="T93" s="15" t="str">
        <f t="shared" ca="1" si="10"/>
        <v>30 et +</v>
      </c>
      <c r="U93" s="15" t="e">
        <f t="shared" si="14"/>
        <v>#VALUE!</v>
      </c>
      <c r="V93" s="15" t="str">
        <f t="shared" ca="1" si="15"/>
        <v>30 et +</v>
      </c>
      <c r="W93" s="16">
        <f t="shared" si="16"/>
        <v>1</v>
      </c>
    </row>
    <row r="94" spans="1:23" x14ac:dyDescent="0.25">
      <c r="A94" s="11" t="s">
        <v>70</v>
      </c>
      <c r="B94" s="11" t="s">
        <v>12</v>
      </c>
      <c r="C94" s="11" t="str">
        <f>VLOOKUP(extract!A94,import!A:C,3,FALSE)</f>
        <v>En cours</v>
      </c>
      <c r="D94" s="3" t="s">
        <v>406</v>
      </c>
      <c r="E94" s="11" t="s">
        <v>406</v>
      </c>
      <c r="F94" s="11" t="s">
        <v>16</v>
      </c>
      <c r="G94" s="11" t="s">
        <v>26</v>
      </c>
      <c r="H94" s="11" t="s">
        <v>37</v>
      </c>
      <c r="I94" s="12">
        <f>VLOOKUP(extract!A94,import!A:J,9,FALSE)</f>
        <v>43538.266388888886</v>
      </c>
      <c r="J94" s="27">
        <v>43538.380752314813</v>
      </c>
      <c r="K94" s="27">
        <v>43559.759236111109</v>
      </c>
      <c r="L94" s="13" t="s">
        <v>406</v>
      </c>
      <c r="M94" s="11" t="s">
        <v>29</v>
      </c>
      <c r="N94" s="11" t="s">
        <v>278</v>
      </c>
      <c r="O94" s="14" t="s">
        <v>215</v>
      </c>
      <c r="P94" s="14">
        <f t="shared" si="11"/>
        <v>2</v>
      </c>
      <c r="Q94" s="14" t="str">
        <f t="shared" si="9"/>
        <v>En cours</v>
      </c>
      <c r="R94" s="27">
        <f t="shared" si="12"/>
        <v>43559.759236111109</v>
      </c>
      <c r="S94" s="12">
        <f t="shared" ca="1" si="13"/>
        <v>43665</v>
      </c>
      <c r="T94" s="15" t="str">
        <f t="shared" ca="1" si="10"/>
        <v>30 et +</v>
      </c>
      <c r="U94" s="15" t="str">
        <f t="shared" si="14"/>
        <v>30</v>
      </c>
      <c r="V94" s="15" t="str">
        <f t="shared" ca="1" si="15"/>
        <v>30 et +</v>
      </c>
      <c r="W94" s="16">
        <f t="shared" si="16"/>
        <v>1</v>
      </c>
    </row>
    <row r="95" spans="1:23" ht="30" x14ac:dyDescent="0.25">
      <c r="A95" s="11" t="s">
        <v>88</v>
      </c>
      <c r="B95" s="11" t="s">
        <v>12</v>
      </c>
      <c r="C95" s="11" t="str">
        <f>VLOOKUP(extract!A95,import!A:C,3,FALSE)</f>
        <v>En cours</v>
      </c>
      <c r="D95" s="3" t="s">
        <v>406</v>
      </c>
      <c r="E95" s="11" t="s">
        <v>406</v>
      </c>
      <c r="F95" s="11" t="s">
        <v>16</v>
      </c>
      <c r="G95" s="11" t="s">
        <v>26</v>
      </c>
      <c r="H95" s="11" t="s">
        <v>37</v>
      </c>
      <c r="I95" s="12">
        <f>VLOOKUP(extract!A95,import!A:J,9,FALSE)</f>
        <v>43538.284733796296</v>
      </c>
      <c r="J95" s="27">
        <v>43538.383414351854</v>
      </c>
      <c r="K95" s="27"/>
      <c r="L95" s="13" t="s">
        <v>406</v>
      </c>
      <c r="M95" s="11" t="s">
        <v>29</v>
      </c>
      <c r="N95" s="11" t="s">
        <v>275</v>
      </c>
      <c r="O95" s="14" t="s">
        <v>215</v>
      </c>
      <c r="P95" s="14">
        <f t="shared" si="11"/>
        <v>2</v>
      </c>
      <c r="Q95" s="14" t="str">
        <f t="shared" si="9"/>
        <v>En cours</v>
      </c>
      <c r="R95" s="27" t="str">
        <f t="shared" si="12"/>
        <v>non résolu</v>
      </c>
      <c r="S95" s="12">
        <f t="shared" ca="1" si="13"/>
        <v>43665</v>
      </c>
      <c r="T95" s="15" t="str">
        <f t="shared" ca="1" si="10"/>
        <v>30 et +</v>
      </c>
      <c r="U95" s="15" t="e">
        <f t="shared" si="14"/>
        <v>#VALUE!</v>
      </c>
      <c r="V95" s="15" t="str">
        <f t="shared" ca="1" si="15"/>
        <v>30 et +</v>
      </c>
      <c r="W95" s="16">
        <f t="shared" si="16"/>
        <v>1</v>
      </c>
    </row>
    <row r="96" spans="1:23" ht="30" x14ac:dyDescent="0.25">
      <c r="A96" s="11" t="s">
        <v>56</v>
      </c>
      <c r="B96" s="11" t="s">
        <v>12</v>
      </c>
      <c r="C96" s="11" t="str">
        <f>VLOOKUP(extract!A96,import!A:C,3,FALSE)</f>
        <v>En cours</v>
      </c>
      <c r="D96" s="3" t="s">
        <v>406</v>
      </c>
      <c r="E96" s="11" t="s">
        <v>406</v>
      </c>
      <c r="F96" s="11" t="s">
        <v>16</v>
      </c>
      <c r="G96" s="11" t="s">
        <v>26</v>
      </c>
      <c r="H96" s="11" t="s">
        <v>37</v>
      </c>
      <c r="I96" s="12">
        <f>VLOOKUP(extract!A96,import!A:J,9,FALSE)</f>
        <v>43539.840300925927</v>
      </c>
      <c r="J96" s="27">
        <v>43542.426076388889</v>
      </c>
      <c r="K96" s="27">
        <v>43544.702916666669</v>
      </c>
      <c r="L96" s="13" t="s">
        <v>406</v>
      </c>
      <c r="M96" s="11" t="s">
        <v>29</v>
      </c>
      <c r="N96" s="11" t="s">
        <v>275</v>
      </c>
      <c r="O96" s="14" t="s">
        <v>214</v>
      </c>
      <c r="P96" s="14">
        <f t="shared" si="11"/>
        <v>2</v>
      </c>
      <c r="Q96" s="14" t="str">
        <f t="shared" si="9"/>
        <v>En cours</v>
      </c>
      <c r="R96" s="27">
        <f t="shared" si="12"/>
        <v>43544.702916666669</v>
      </c>
      <c r="S96" s="12">
        <f t="shared" ca="1" si="13"/>
        <v>43665</v>
      </c>
      <c r="T96" s="15" t="str">
        <f t="shared" ca="1" si="10"/>
        <v>30 et +</v>
      </c>
      <c r="U96" s="15" t="str">
        <f t="shared" si="14"/>
        <v>15</v>
      </c>
      <c r="V96" s="15" t="str">
        <f t="shared" ca="1" si="15"/>
        <v>30 et +</v>
      </c>
      <c r="W96" s="16">
        <f t="shared" si="16"/>
        <v>1</v>
      </c>
    </row>
    <row r="97" spans="1:23" ht="30" x14ac:dyDescent="0.25">
      <c r="A97" s="11" t="s">
        <v>170</v>
      </c>
      <c r="B97" s="11" t="s">
        <v>12</v>
      </c>
      <c r="C97" s="11" t="str">
        <f>VLOOKUP(extract!A97,import!A:C,3,FALSE)</f>
        <v>Clos</v>
      </c>
      <c r="D97" s="3" t="s">
        <v>406</v>
      </c>
      <c r="E97" s="11" t="s">
        <v>406</v>
      </c>
      <c r="F97" s="11" t="s">
        <v>16</v>
      </c>
      <c r="G97" s="11" t="s">
        <v>168</v>
      </c>
      <c r="H97" s="11" t="s">
        <v>37</v>
      </c>
      <c r="I97" s="12">
        <f>VLOOKUP(extract!A97,import!A:J,9,FALSE)</f>
        <v>43541.059641203705</v>
      </c>
      <c r="J97" s="27">
        <v>43542.457442129627</v>
      </c>
      <c r="K97" s="27">
        <v>43564.699502314812</v>
      </c>
      <c r="L97" s="13" t="s">
        <v>406</v>
      </c>
      <c r="M97" s="11" t="s">
        <v>29</v>
      </c>
      <c r="N97" s="14"/>
      <c r="O97" s="14" t="s">
        <v>213</v>
      </c>
      <c r="P97" s="14">
        <f t="shared" si="11"/>
        <v>2</v>
      </c>
      <c r="Q97" s="14" t="str">
        <f t="shared" si="9"/>
        <v>Clos</v>
      </c>
      <c r="R97" s="27">
        <f t="shared" si="12"/>
        <v>43564.699502314812</v>
      </c>
      <c r="S97" s="12">
        <f t="shared" ca="1" si="13"/>
        <v>43665</v>
      </c>
      <c r="T97" s="15" t="str">
        <f t="shared" si="10"/>
        <v>30</v>
      </c>
      <c r="U97" s="15" t="str">
        <f t="shared" si="14"/>
        <v>30</v>
      </c>
      <c r="V97" s="15" t="str">
        <f t="shared" ca="1" si="15"/>
        <v>30 et +</v>
      </c>
      <c r="W97" s="16">
        <f t="shared" si="16"/>
        <v>1</v>
      </c>
    </row>
    <row r="98" spans="1:23" x14ac:dyDescent="0.25">
      <c r="A98" s="11" t="s">
        <v>92</v>
      </c>
      <c r="B98" s="11" t="s">
        <v>12</v>
      </c>
      <c r="C98" s="11" t="str">
        <f>VLOOKUP(extract!A98,import!A:C,3,FALSE)</f>
        <v>En cours</v>
      </c>
      <c r="D98" s="3" t="s">
        <v>406</v>
      </c>
      <c r="E98" s="11" t="s">
        <v>406</v>
      </c>
      <c r="F98" s="11" t="s">
        <v>16</v>
      </c>
      <c r="G98" s="11" t="s">
        <v>26</v>
      </c>
      <c r="H98" s="11" t="s">
        <v>37</v>
      </c>
      <c r="I98" s="12">
        <f>VLOOKUP(extract!A98,import!A:J,9,FALSE)</f>
        <v>43542.786145833335</v>
      </c>
      <c r="J98" s="27">
        <v>43543.568668981483</v>
      </c>
      <c r="K98" s="27"/>
      <c r="L98" s="13" t="s">
        <v>406</v>
      </c>
      <c r="M98" s="11" t="s">
        <v>29</v>
      </c>
      <c r="N98" s="11" t="s">
        <v>277</v>
      </c>
      <c r="O98" s="14" t="s">
        <v>214</v>
      </c>
      <c r="P98" s="14">
        <f t="shared" si="11"/>
        <v>2</v>
      </c>
      <c r="Q98" s="14" t="str">
        <f t="shared" ref="Q98:Q129" si="17">IF(C98="résolu","Clos",(IF(C98="Résolu techniquement","Clos",C98)))</f>
        <v>En cours</v>
      </c>
      <c r="R98" s="27" t="str">
        <f t="shared" si="12"/>
        <v>non résolu</v>
      </c>
      <c r="S98" s="12">
        <f t="shared" ca="1" si="13"/>
        <v>43665</v>
      </c>
      <c r="T98" s="15" t="str">
        <f t="shared" ca="1" si="10"/>
        <v>30 et +</v>
      </c>
      <c r="U98" s="15" t="e">
        <f t="shared" si="14"/>
        <v>#VALUE!</v>
      </c>
      <c r="V98" s="15" t="str">
        <f t="shared" ca="1" si="15"/>
        <v>30 et +</v>
      </c>
      <c r="W98" s="16">
        <f t="shared" si="16"/>
        <v>1</v>
      </c>
    </row>
    <row r="99" spans="1:23" ht="30" x14ac:dyDescent="0.25">
      <c r="A99" s="11" t="s">
        <v>264</v>
      </c>
      <c r="B99" s="11" t="s">
        <v>12</v>
      </c>
      <c r="C99" s="11" t="s">
        <v>13</v>
      </c>
      <c r="D99" s="3" t="s">
        <v>406</v>
      </c>
      <c r="E99" s="11" t="s">
        <v>406</v>
      </c>
      <c r="F99" s="11" t="s">
        <v>16</v>
      </c>
      <c r="G99" s="11" t="s">
        <v>168</v>
      </c>
      <c r="H99" s="11" t="s">
        <v>37</v>
      </c>
      <c r="I99" s="12">
        <f>VLOOKUP(extract!A99,import!A:J,9,FALSE)</f>
        <v>43543.063981481479</v>
      </c>
      <c r="J99" s="27">
        <v>43543.713865740741</v>
      </c>
      <c r="K99" s="27"/>
      <c r="L99" s="13" t="s">
        <v>406</v>
      </c>
      <c r="M99" s="11" t="s">
        <v>29</v>
      </c>
      <c r="N99" s="14"/>
      <c r="O99" s="14"/>
      <c r="P99" s="14">
        <f t="shared" si="11"/>
        <v>2</v>
      </c>
      <c r="Q99" s="14" t="str">
        <f t="shared" si="17"/>
        <v>En cours</v>
      </c>
      <c r="R99" s="27" t="str">
        <f t="shared" si="12"/>
        <v>non résolu</v>
      </c>
      <c r="S99" s="12">
        <f t="shared" ca="1" si="13"/>
        <v>43665</v>
      </c>
      <c r="T99" s="15" t="str">
        <f t="shared" ca="1" si="10"/>
        <v>30 et +</v>
      </c>
      <c r="U99" s="15" t="e">
        <f t="shared" si="14"/>
        <v>#VALUE!</v>
      </c>
      <c r="V99" s="15" t="str">
        <f t="shared" ca="1" si="15"/>
        <v>30 et +</v>
      </c>
      <c r="W99" s="16">
        <f t="shared" si="16"/>
        <v>1</v>
      </c>
    </row>
    <row r="100" spans="1:23" ht="30" x14ac:dyDescent="0.25">
      <c r="A100" s="11" t="s">
        <v>197</v>
      </c>
      <c r="B100" s="11" t="s">
        <v>198</v>
      </c>
      <c r="C100" s="11" t="str">
        <f>VLOOKUP(extract!A100,import!A:C,3,FALSE)</f>
        <v>Clos</v>
      </c>
      <c r="D100" s="3" t="s">
        <v>406</v>
      </c>
      <c r="E100" s="11" t="s">
        <v>406</v>
      </c>
      <c r="F100" s="11" t="s">
        <v>16</v>
      </c>
      <c r="G100" s="11" t="s">
        <v>193</v>
      </c>
      <c r="H100" s="11" t="s">
        <v>192</v>
      </c>
      <c r="I100" s="12">
        <f>VLOOKUP(extract!A100,import!A:J,9,FALSE)</f>
        <v>43516.412847222222</v>
      </c>
      <c r="J100" s="27">
        <v>43544.62400462963</v>
      </c>
      <c r="K100" s="27">
        <v>43559.758460648147</v>
      </c>
      <c r="L100" s="13" t="s">
        <v>406</v>
      </c>
      <c r="M100" s="11" t="s">
        <v>29</v>
      </c>
      <c r="N100" s="11" t="s">
        <v>218</v>
      </c>
      <c r="O100" s="14"/>
      <c r="P100" s="14">
        <f t="shared" si="11"/>
        <v>3</v>
      </c>
      <c r="Q100" s="14" t="str">
        <f t="shared" si="17"/>
        <v>Clos</v>
      </c>
      <c r="R100" s="27">
        <f t="shared" si="12"/>
        <v>43559.758460648147</v>
      </c>
      <c r="S100" s="12">
        <f t="shared" ca="1" si="13"/>
        <v>43665</v>
      </c>
      <c r="T100" s="15" t="str">
        <f t="shared" si="10"/>
        <v>30 et +</v>
      </c>
      <c r="U100" s="15" t="str">
        <f t="shared" si="14"/>
        <v>30 et +</v>
      </c>
      <c r="V100" s="15" t="str">
        <f t="shared" ca="1" si="15"/>
        <v>30 et +</v>
      </c>
      <c r="W100" s="16">
        <f t="shared" si="16"/>
        <v>1</v>
      </c>
    </row>
    <row r="101" spans="1:23" ht="30" x14ac:dyDescent="0.25">
      <c r="A101" s="11" t="s">
        <v>131</v>
      </c>
      <c r="B101" s="11" t="s">
        <v>12</v>
      </c>
      <c r="C101" s="11" t="str">
        <f>VLOOKUP(extract!A101,import!A:C,3,FALSE)</f>
        <v>En cours</v>
      </c>
      <c r="D101" s="3" t="s">
        <v>406</v>
      </c>
      <c r="E101" s="11" t="s">
        <v>406</v>
      </c>
      <c r="F101" s="11" t="s">
        <v>16</v>
      </c>
      <c r="G101" s="11" t="s">
        <v>26</v>
      </c>
      <c r="H101" s="11" t="s">
        <v>37</v>
      </c>
      <c r="I101" s="12">
        <f>VLOOKUP(extract!A101,import!A:J,9,FALSE)</f>
        <v>43543.965254629627</v>
      </c>
      <c r="J101" s="27">
        <v>43544.421886574077</v>
      </c>
      <c r="K101" s="27">
        <v>43559.756782407407</v>
      </c>
      <c r="L101" s="13" t="s">
        <v>406</v>
      </c>
      <c r="M101" s="11" t="s">
        <v>29</v>
      </c>
      <c r="N101" s="11" t="s">
        <v>275</v>
      </c>
      <c r="O101" s="14"/>
      <c r="P101" s="14">
        <f t="shared" si="11"/>
        <v>2</v>
      </c>
      <c r="Q101" s="14" t="str">
        <f t="shared" si="17"/>
        <v>En cours</v>
      </c>
      <c r="R101" s="27">
        <f t="shared" si="12"/>
        <v>43559.756782407407</v>
      </c>
      <c r="S101" s="12">
        <f t="shared" ca="1" si="13"/>
        <v>43665</v>
      </c>
      <c r="T101" s="15" t="str">
        <f t="shared" ca="1" si="10"/>
        <v>30 et +</v>
      </c>
      <c r="U101" s="15" t="str">
        <f t="shared" si="14"/>
        <v>30</v>
      </c>
      <c r="V101" s="15" t="str">
        <f t="shared" ca="1" si="15"/>
        <v>30 et +</v>
      </c>
      <c r="W101" s="16">
        <f t="shared" si="16"/>
        <v>1</v>
      </c>
    </row>
    <row r="102" spans="1:23" x14ac:dyDescent="0.25">
      <c r="A102" s="11" t="s">
        <v>152</v>
      </c>
      <c r="B102" s="11" t="s">
        <v>12</v>
      </c>
      <c r="C102" s="11" t="str">
        <f>VLOOKUP(extract!A102,import!A:C,3,FALSE)</f>
        <v>En cours</v>
      </c>
      <c r="D102" s="3" t="s">
        <v>406</v>
      </c>
      <c r="E102" s="11" t="s">
        <v>406</v>
      </c>
      <c r="F102" s="11" t="s">
        <v>16</v>
      </c>
      <c r="G102" s="11" t="s">
        <v>26</v>
      </c>
      <c r="H102" s="11" t="s">
        <v>37</v>
      </c>
      <c r="I102" s="12">
        <f>VLOOKUP(extract!A102,import!A:J,9,FALSE)</f>
        <v>43544.507395833331</v>
      </c>
      <c r="J102" s="27">
        <v>43544.569837962961</v>
      </c>
      <c r="K102" s="27">
        <v>43558.401909722219</v>
      </c>
      <c r="L102" s="13" t="s">
        <v>406</v>
      </c>
      <c r="M102" s="11" t="s">
        <v>29</v>
      </c>
      <c r="N102" s="11" t="s">
        <v>279</v>
      </c>
      <c r="O102" s="14"/>
      <c r="P102" s="14">
        <f t="shared" si="11"/>
        <v>2</v>
      </c>
      <c r="Q102" s="14" t="str">
        <f t="shared" si="17"/>
        <v>En cours</v>
      </c>
      <c r="R102" s="27">
        <f t="shared" si="12"/>
        <v>43558.401909722219</v>
      </c>
      <c r="S102" s="12">
        <f t="shared" ca="1" si="13"/>
        <v>43665</v>
      </c>
      <c r="T102" s="15" t="str">
        <f t="shared" ca="1" si="10"/>
        <v>30 et +</v>
      </c>
      <c r="U102" s="15" t="str">
        <f t="shared" si="14"/>
        <v>15</v>
      </c>
      <c r="V102" s="15" t="str">
        <f t="shared" ca="1" si="15"/>
        <v>30 et +</v>
      </c>
      <c r="W102" s="16">
        <f t="shared" si="16"/>
        <v>1</v>
      </c>
    </row>
    <row r="103" spans="1:23" ht="30" x14ac:dyDescent="0.25">
      <c r="A103" s="11" t="s">
        <v>167</v>
      </c>
      <c r="B103" s="11" t="s">
        <v>12</v>
      </c>
      <c r="C103" s="11" t="str">
        <f>VLOOKUP(extract!A103,import!A:C,3,FALSE)</f>
        <v>Clos</v>
      </c>
      <c r="D103" s="3" t="s">
        <v>406</v>
      </c>
      <c r="E103" s="11" t="s">
        <v>406</v>
      </c>
      <c r="F103" s="11" t="s">
        <v>16</v>
      </c>
      <c r="G103" s="11" t="s">
        <v>168</v>
      </c>
      <c r="H103" s="11" t="s">
        <v>37</v>
      </c>
      <c r="I103" s="12">
        <f>VLOOKUP(extract!A103,import!A:J,9,FALSE)</f>
        <v>43549.613981481481</v>
      </c>
      <c r="J103" s="27">
        <v>43549.614652777775</v>
      </c>
      <c r="K103" s="27">
        <v>43559.753611111111</v>
      </c>
      <c r="L103" s="13" t="s">
        <v>406</v>
      </c>
      <c r="M103" s="11" t="s">
        <v>29</v>
      </c>
      <c r="N103" s="11" t="s">
        <v>280</v>
      </c>
      <c r="O103" s="14"/>
      <c r="P103" s="14">
        <f t="shared" si="11"/>
        <v>2</v>
      </c>
      <c r="Q103" s="14" t="str">
        <f t="shared" si="17"/>
        <v>Clos</v>
      </c>
      <c r="R103" s="27">
        <f t="shared" si="12"/>
        <v>43559.753611111111</v>
      </c>
      <c r="S103" s="12">
        <f t="shared" ca="1" si="13"/>
        <v>43665</v>
      </c>
      <c r="T103" s="15" t="str">
        <f t="shared" si="10"/>
        <v>15</v>
      </c>
      <c r="U103" s="15" t="str">
        <f t="shared" si="14"/>
        <v>15</v>
      </c>
      <c r="V103" s="15" t="str">
        <f t="shared" ca="1" si="15"/>
        <v>30 et +</v>
      </c>
      <c r="W103" s="16">
        <f t="shared" si="16"/>
        <v>1</v>
      </c>
    </row>
    <row r="104" spans="1:23" ht="30" x14ac:dyDescent="0.25">
      <c r="A104" s="11" t="s">
        <v>179</v>
      </c>
      <c r="B104" s="11" t="s">
        <v>12</v>
      </c>
      <c r="C104" s="11" t="str">
        <f>VLOOKUP(extract!A104,import!A:C,3,FALSE)</f>
        <v>Clos</v>
      </c>
      <c r="D104" s="3" t="s">
        <v>406</v>
      </c>
      <c r="E104" s="11" t="s">
        <v>406</v>
      </c>
      <c r="F104" s="11" t="s">
        <v>16</v>
      </c>
      <c r="G104" s="11" t="s">
        <v>168</v>
      </c>
      <c r="H104" s="11" t="s">
        <v>37</v>
      </c>
      <c r="I104" s="12">
        <f>VLOOKUP(extract!A104,import!A:J,9,FALSE)</f>
        <v>43549.856249999997</v>
      </c>
      <c r="J104" s="27">
        <v>43549.857164351852</v>
      </c>
      <c r="K104" s="27">
        <v>43559.75304398148</v>
      </c>
      <c r="L104" s="13" t="s">
        <v>406</v>
      </c>
      <c r="M104" s="11" t="s">
        <v>29</v>
      </c>
      <c r="N104" s="11" t="s">
        <v>280</v>
      </c>
      <c r="O104" s="14"/>
      <c r="P104" s="14">
        <f t="shared" si="11"/>
        <v>2</v>
      </c>
      <c r="Q104" s="14" t="str">
        <f t="shared" si="17"/>
        <v>Clos</v>
      </c>
      <c r="R104" s="27">
        <f t="shared" si="12"/>
        <v>43559.75304398148</v>
      </c>
      <c r="S104" s="12">
        <f t="shared" ca="1" si="13"/>
        <v>43665</v>
      </c>
      <c r="T104" s="15" t="str">
        <f t="shared" si="10"/>
        <v>15</v>
      </c>
      <c r="U104" s="15" t="str">
        <f t="shared" si="14"/>
        <v>15</v>
      </c>
      <c r="V104" s="15" t="str">
        <f t="shared" ca="1" si="15"/>
        <v>30 et +</v>
      </c>
      <c r="W104" s="16">
        <f t="shared" si="16"/>
        <v>1</v>
      </c>
    </row>
    <row r="105" spans="1:23" ht="30" x14ac:dyDescent="0.25">
      <c r="A105" s="11" t="s">
        <v>187</v>
      </c>
      <c r="B105" s="11" t="s">
        <v>12</v>
      </c>
      <c r="C105" s="11" t="s">
        <v>13</v>
      </c>
      <c r="D105" s="3" t="s">
        <v>406</v>
      </c>
      <c r="E105" s="11" t="s">
        <v>406</v>
      </c>
      <c r="F105" s="11" t="s">
        <v>16</v>
      </c>
      <c r="G105" s="11" t="s">
        <v>168</v>
      </c>
      <c r="H105" s="11" t="s">
        <v>37</v>
      </c>
      <c r="I105" s="12">
        <f>VLOOKUP(extract!A105,import!A:J,9,FALSE)</f>
        <v>43549.808182870373</v>
      </c>
      <c r="J105" s="27">
        <v>43550.514421296299</v>
      </c>
      <c r="K105" s="27"/>
      <c r="L105" s="13" t="s">
        <v>406</v>
      </c>
      <c r="M105" s="11" t="s">
        <v>29</v>
      </c>
      <c r="N105" s="11" t="s">
        <v>280</v>
      </c>
      <c r="O105" s="14"/>
      <c r="P105" s="14">
        <f t="shared" si="11"/>
        <v>2</v>
      </c>
      <c r="Q105" s="14" t="str">
        <f t="shared" si="17"/>
        <v>En cours</v>
      </c>
      <c r="R105" s="27" t="str">
        <f t="shared" si="12"/>
        <v>non résolu</v>
      </c>
      <c r="S105" s="12">
        <f t="shared" ca="1" si="13"/>
        <v>43665</v>
      </c>
      <c r="T105" s="15" t="str">
        <f t="shared" ca="1" si="10"/>
        <v>30 et +</v>
      </c>
      <c r="U105" s="15" t="e">
        <f t="shared" si="14"/>
        <v>#VALUE!</v>
      </c>
      <c r="V105" s="15" t="str">
        <f t="shared" ca="1" si="15"/>
        <v>30 et +</v>
      </c>
      <c r="W105" s="16">
        <f t="shared" si="16"/>
        <v>1</v>
      </c>
    </row>
    <row r="106" spans="1:23" ht="30" x14ac:dyDescent="0.25">
      <c r="A106" s="11" t="s">
        <v>173</v>
      </c>
      <c r="B106" s="11" t="s">
        <v>12</v>
      </c>
      <c r="C106" s="11" t="str">
        <f>VLOOKUP(extract!A106,import!A:C,3,FALSE)</f>
        <v>Clos</v>
      </c>
      <c r="D106" s="3" t="s">
        <v>406</v>
      </c>
      <c r="E106" s="11" t="s">
        <v>406</v>
      </c>
      <c r="F106" s="11" t="s">
        <v>16</v>
      </c>
      <c r="G106" s="11" t="s">
        <v>168</v>
      </c>
      <c r="H106" s="11" t="s">
        <v>37</v>
      </c>
      <c r="I106" s="12">
        <f>VLOOKUP(extract!A106,import!A:J,9,FALSE)</f>
        <v>43550.808900462966</v>
      </c>
      <c r="J106" s="27">
        <v>43550.811793981484</v>
      </c>
      <c r="K106" s="27">
        <v>43559.752523148149</v>
      </c>
      <c r="L106" s="13" t="s">
        <v>406</v>
      </c>
      <c r="M106" s="11" t="s">
        <v>29</v>
      </c>
      <c r="N106" s="11" t="s">
        <v>280</v>
      </c>
      <c r="O106" s="14"/>
      <c r="P106" s="14">
        <f t="shared" si="11"/>
        <v>2</v>
      </c>
      <c r="Q106" s="14" t="str">
        <f t="shared" si="17"/>
        <v>Clos</v>
      </c>
      <c r="R106" s="27">
        <f t="shared" si="12"/>
        <v>43559.752523148149</v>
      </c>
      <c r="S106" s="12">
        <f t="shared" ca="1" si="13"/>
        <v>43665</v>
      </c>
      <c r="T106" s="15" t="str">
        <f t="shared" si="10"/>
        <v>15</v>
      </c>
      <c r="U106" s="15" t="str">
        <f t="shared" si="14"/>
        <v>15</v>
      </c>
      <c r="V106" s="15" t="str">
        <f t="shared" ca="1" si="15"/>
        <v>30 et +</v>
      </c>
      <c r="W106" s="16">
        <f t="shared" si="16"/>
        <v>1</v>
      </c>
    </row>
    <row r="107" spans="1:23" ht="30" x14ac:dyDescent="0.25">
      <c r="A107" s="11" t="s">
        <v>183</v>
      </c>
      <c r="B107" s="11" t="s">
        <v>12</v>
      </c>
      <c r="C107" s="11" t="str">
        <f>VLOOKUP(extract!A107,import!A:C,3,FALSE)</f>
        <v>Clos</v>
      </c>
      <c r="D107" s="3" t="s">
        <v>406</v>
      </c>
      <c r="E107" s="11" t="s">
        <v>406</v>
      </c>
      <c r="F107" s="11" t="s">
        <v>16</v>
      </c>
      <c r="G107" s="11" t="s">
        <v>168</v>
      </c>
      <c r="H107" s="11" t="s">
        <v>37</v>
      </c>
      <c r="I107" s="12">
        <f>VLOOKUP(extract!A107,import!A:J,9,FALSE)</f>
        <v>43550.851203703707</v>
      </c>
      <c r="J107" s="27">
        <v>43550.851724537039</v>
      </c>
      <c r="K107" s="27">
        <v>43559.751666666663</v>
      </c>
      <c r="L107" s="13" t="s">
        <v>406</v>
      </c>
      <c r="M107" s="11" t="s">
        <v>29</v>
      </c>
      <c r="N107" s="11" t="s">
        <v>280</v>
      </c>
      <c r="O107" s="14"/>
      <c r="P107" s="14">
        <f t="shared" si="11"/>
        <v>2</v>
      </c>
      <c r="Q107" s="14" t="str">
        <f t="shared" si="17"/>
        <v>Clos</v>
      </c>
      <c r="R107" s="27">
        <f t="shared" si="12"/>
        <v>43559.751666666663</v>
      </c>
      <c r="S107" s="12">
        <f t="shared" ca="1" si="13"/>
        <v>43665</v>
      </c>
      <c r="T107" s="15" t="str">
        <f t="shared" si="10"/>
        <v>15</v>
      </c>
      <c r="U107" s="15" t="str">
        <f t="shared" si="14"/>
        <v>15</v>
      </c>
      <c r="V107" s="15" t="str">
        <f t="shared" ca="1" si="15"/>
        <v>30 et +</v>
      </c>
      <c r="W107" s="16">
        <f t="shared" si="16"/>
        <v>1</v>
      </c>
    </row>
    <row r="108" spans="1:23" ht="30" x14ac:dyDescent="0.25">
      <c r="A108" s="11" t="s">
        <v>195</v>
      </c>
      <c r="B108" s="11" t="s">
        <v>12</v>
      </c>
      <c r="C108" s="11" t="s">
        <v>13</v>
      </c>
      <c r="D108" s="3" t="s">
        <v>406</v>
      </c>
      <c r="E108" s="11" t="s">
        <v>406</v>
      </c>
      <c r="F108" s="11" t="s">
        <v>16</v>
      </c>
      <c r="G108" s="11" t="s">
        <v>193</v>
      </c>
      <c r="H108" s="11" t="s">
        <v>37</v>
      </c>
      <c r="I108" s="12">
        <f>VLOOKUP(extract!A108,import!A:J,9,FALSE)</f>
        <v>43551.340266203704</v>
      </c>
      <c r="J108" s="27">
        <v>43551.340266203704</v>
      </c>
      <c r="K108" s="27"/>
      <c r="L108" s="13" t="s">
        <v>406</v>
      </c>
      <c r="M108" s="11" t="s">
        <v>29</v>
      </c>
      <c r="N108" s="11" t="s">
        <v>218</v>
      </c>
      <c r="O108" s="14"/>
      <c r="P108" s="14">
        <f t="shared" si="11"/>
        <v>2</v>
      </c>
      <c r="Q108" s="14" t="str">
        <f t="shared" si="17"/>
        <v>En cours</v>
      </c>
      <c r="R108" s="27" t="str">
        <f t="shared" si="12"/>
        <v>non résolu</v>
      </c>
      <c r="S108" s="12">
        <f t="shared" ca="1" si="13"/>
        <v>43665</v>
      </c>
      <c r="T108" s="15" t="str">
        <f t="shared" ca="1" si="10"/>
        <v>30 et +</v>
      </c>
      <c r="U108" s="15" t="e">
        <f t="shared" si="14"/>
        <v>#VALUE!</v>
      </c>
      <c r="V108" s="15" t="str">
        <f t="shared" ca="1" si="15"/>
        <v>30 et +</v>
      </c>
      <c r="W108" s="16">
        <f t="shared" si="16"/>
        <v>1</v>
      </c>
    </row>
    <row r="109" spans="1:23" ht="30" x14ac:dyDescent="0.25">
      <c r="A109" s="11" t="s">
        <v>181</v>
      </c>
      <c r="B109" s="11" t="s">
        <v>12</v>
      </c>
      <c r="C109" s="11" t="str">
        <f>VLOOKUP(extract!A109,import!A:C,3,FALSE)</f>
        <v>Clos</v>
      </c>
      <c r="D109" s="3" t="s">
        <v>407</v>
      </c>
      <c r="E109" s="11" t="s">
        <v>406</v>
      </c>
      <c r="F109" s="11" t="s">
        <v>16</v>
      </c>
      <c r="G109" s="11" t="s">
        <v>168</v>
      </c>
      <c r="H109" s="11" t="s">
        <v>37</v>
      </c>
      <c r="I109" s="12">
        <f>VLOOKUP(extract!A109,import!A:J,9,FALSE)</f>
        <v>43552.536122685182</v>
      </c>
      <c r="J109" s="27">
        <v>43552.537060185183</v>
      </c>
      <c r="K109" s="27">
        <v>43559.750092592592</v>
      </c>
      <c r="L109" s="13" t="s">
        <v>406</v>
      </c>
      <c r="M109" s="11" t="s">
        <v>29</v>
      </c>
      <c r="N109" s="11" t="s">
        <v>280</v>
      </c>
      <c r="O109" s="14"/>
      <c r="P109" s="14">
        <f t="shared" si="11"/>
        <v>2</v>
      </c>
      <c r="Q109" s="14" t="str">
        <f t="shared" si="17"/>
        <v>Clos</v>
      </c>
      <c r="R109" s="27">
        <f t="shared" si="12"/>
        <v>43559.750092592592</v>
      </c>
      <c r="S109" s="12">
        <f t="shared" ca="1" si="13"/>
        <v>43665</v>
      </c>
      <c r="T109" s="15" t="str">
        <f t="shared" si="10"/>
        <v>15</v>
      </c>
      <c r="U109" s="15" t="str">
        <f t="shared" si="14"/>
        <v>15</v>
      </c>
      <c r="V109" s="15" t="str">
        <f t="shared" ca="1" si="15"/>
        <v>30 et +</v>
      </c>
      <c r="W109" s="16">
        <f t="shared" si="16"/>
        <v>1</v>
      </c>
    </row>
    <row r="110" spans="1:23" ht="30" x14ac:dyDescent="0.25">
      <c r="A110" s="11" t="s">
        <v>185</v>
      </c>
      <c r="B110" s="11" t="s">
        <v>12</v>
      </c>
      <c r="C110" s="11" t="s">
        <v>13</v>
      </c>
      <c r="D110" s="3" t="s">
        <v>406</v>
      </c>
      <c r="E110" s="11" t="s">
        <v>406</v>
      </c>
      <c r="F110" s="11" t="s">
        <v>16</v>
      </c>
      <c r="G110" s="11" t="s">
        <v>168</v>
      </c>
      <c r="H110" s="11" t="s">
        <v>37</v>
      </c>
      <c r="I110" s="12">
        <f>VLOOKUP(extract!A110,import!A:J,9,FALSE)</f>
        <v>43552.59951388889</v>
      </c>
      <c r="J110" s="27">
        <v>43552.600717592592</v>
      </c>
      <c r="K110" s="27"/>
      <c r="L110" s="13" t="s">
        <v>406</v>
      </c>
      <c r="M110" s="11" t="s">
        <v>29</v>
      </c>
      <c r="N110" s="11" t="s">
        <v>280</v>
      </c>
      <c r="O110" s="14"/>
      <c r="P110" s="14">
        <f t="shared" si="11"/>
        <v>2</v>
      </c>
      <c r="Q110" s="14" t="str">
        <f t="shared" si="17"/>
        <v>En cours</v>
      </c>
      <c r="R110" s="27" t="str">
        <f t="shared" si="12"/>
        <v>non résolu</v>
      </c>
      <c r="S110" s="12">
        <f t="shared" ca="1" si="13"/>
        <v>43665</v>
      </c>
      <c r="T110" s="15" t="str">
        <f t="shared" ca="1" si="10"/>
        <v>30 et +</v>
      </c>
      <c r="U110" s="15" t="e">
        <f t="shared" si="14"/>
        <v>#VALUE!</v>
      </c>
      <c r="V110" s="15" t="str">
        <f t="shared" ca="1" si="15"/>
        <v>30 et +</v>
      </c>
      <c r="W110" s="16">
        <f t="shared" si="16"/>
        <v>1</v>
      </c>
    </row>
    <row r="111" spans="1:23" x14ac:dyDescent="0.25">
      <c r="A111" s="11" t="s">
        <v>149</v>
      </c>
      <c r="B111" s="11" t="s">
        <v>12</v>
      </c>
      <c r="C111" s="11" t="str">
        <f>VLOOKUP(extract!A111,import!A:C,3,FALSE)</f>
        <v>En cours</v>
      </c>
      <c r="D111" s="3" t="s">
        <v>406</v>
      </c>
      <c r="E111" s="11" t="s">
        <v>406</v>
      </c>
      <c r="F111" s="11" t="s">
        <v>16</v>
      </c>
      <c r="G111" s="11" t="s">
        <v>26</v>
      </c>
      <c r="H111" s="11" t="s">
        <v>37</v>
      </c>
      <c r="I111" s="12">
        <f>VLOOKUP(extract!A111,import!A:J,9,FALSE)</f>
        <v>43552.763402777775</v>
      </c>
      <c r="J111" s="27">
        <v>43553.389224537037</v>
      </c>
      <c r="K111" s="27"/>
      <c r="L111" s="13" t="s">
        <v>406</v>
      </c>
      <c r="M111" s="11" t="s">
        <v>29</v>
      </c>
      <c r="N111" s="11"/>
      <c r="O111" s="14"/>
      <c r="P111" s="14">
        <f t="shared" si="11"/>
        <v>2</v>
      </c>
      <c r="Q111" s="14" t="str">
        <f t="shared" si="17"/>
        <v>En cours</v>
      </c>
      <c r="R111" s="27" t="str">
        <f t="shared" si="12"/>
        <v>non résolu</v>
      </c>
      <c r="S111" s="12">
        <f t="shared" ca="1" si="13"/>
        <v>43665</v>
      </c>
      <c r="T111" s="15" t="str">
        <f t="shared" ca="1" si="10"/>
        <v>30 et +</v>
      </c>
      <c r="U111" s="15" t="e">
        <f t="shared" si="14"/>
        <v>#VALUE!</v>
      </c>
      <c r="V111" s="15" t="str">
        <f t="shared" ca="1" si="15"/>
        <v>30 et +</v>
      </c>
      <c r="W111" s="16">
        <f t="shared" si="16"/>
        <v>1</v>
      </c>
    </row>
    <row r="112" spans="1:23" ht="30" x14ac:dyDescent="0.25">
      <c r="A112" s="11" t="s">
        <v>189</v>
      </c>
      <c r="B112" s="11" t="s">
        <v>12</v>
      </c>
      <c r="C112" s="11" t="s">
        <v>13</v>
      </c>
      <c r="D112" s="3" t="s">
        <v>406</v>
      </c>
      <c r="E112" s="11" t="s">
        <v>406</v>
      </c>
      <c r="F112" s="11" t="s">
        <v>16</v>
      </c>
      <c r="G112" s="11" t="s">
        <v>168</v>
      </c>
      <c r="H112" s="11" t="s">
        <v>37</v>
      </c>
      <c r="I112" s="12">
        <f>VLOOKUP(extract!A112,import!A:J,9,FALSE)</f>
        <v>43554.811979166669</v>
      </c>
      <c r="J112" s="27">
        <v>43554.812534722223</v>
      </c>
      <c r="K112" s="27"/>
      <c r="L112" s="13" t="s">
        <v>406</v>
      </c>
      <c r="M112" s="11" t="s">
        <v>29</v>
      </c>
      <c r="N112" s="11" t="s">
        <v>280</v>
      </c>
      <c r="O112" s="14"/>
      <c r="P112" s="14">
        <f t="shared" si="11"/>
        <v>2</v>
      </c>
      <c r="Q112" s="14" t="str">
        <f t="shared" si="17"/>
        <v>En cours</v>
      </c>
      <c r="R112" s="27" t="str">
        <f t="shared" si="12"/>
        <v>non résolu</v>
      </c>
      <c r="S112" s="12">
        <f t="shared" ca="1" si="13"/>
        <v>43665</v>
      </c>
      <c r="T112" s="15" t="str">
        <f t="shared" ca="1" si="10"/>
        <v>30 et +</v>
      </c>
      <c r="U112" s="15" t="e">
        <f t="shared" si="14"/>
        <v>#VALUE!</v>
      </c>
      <c r="V112" s="15" t="str">
        <f t="shared" ca="1" si="15"/>
        <v>30 et +</v>
      </c>
      <c r="W112" s="16">
        <f t="shared" si="16"/>
        <v>1</v>
      </c>
    </row>
    <row r="113" spans="1:23" x14ac:dyDescent="0.25">
      <c r="A113" s="11" t="s">
        <v>144</v>
      </c>
      <c r="B113" s="11" t="s">
        <v>12</v>
      </c>
      <c r="C113" s="11" t="str">
        <f>VLOOKUP(extract!A113,import!A:C,3,FALSE)</f>
        <v>En cours</v>
      </c>
      <c r="D113" s="3" t="s">
        <v>406</v>
      </c>
      <c r="E113" s="11" t="s">
        <v>406</v>
      </c>
      <c r="F113" s="11" t="s">
        <v>16</v>
      </c>
      <c r="G113" s="11" t="s">
        <v>26</v>
      </c>
      <c r="H113" s="11" t="s">
        <v>37</v>
      </c>
      <c r="I113" s="12">
        <f>VLOOKUP(extract!A113,import!A:J,9,FALSE)</f>
        <v>43558.261678240742</v>
      </c>
      <c r="J113" s="27">
        <v>43558.40452546296</v>
      </c>
      <c r="K113" s="27"/>
      <c r="L113" s="13" t="s">
        <v>406</v>
      </c>
      <c r="M113" s="11" t="s">
        <v>29</v>
      </c>
      <c r="N113" s="11" t="s">
        <v>279</v>
      </c>
      <c r="O113" s="14"/>
      <c r="P113" s="14">
        <f t="shared" si="11"/>
        <v>2</v>
      </c>
      <c r="Q113" s="14" t="str">
        <f t="shared" si="17"/>
        <v>En cours</v>
      </c>
      <c r="R113" s="27" t="str">
        <f t="shared" si="12"/>
        <v>non résolu</v>
      </c>
      <c r="S113" s="12">
        <f t="shared" ca="1" si="13"/>
        <v>43665</v>
      </c>
      <c r="T113" s="15" t="str">
        <f t="shared" ca="1" si="10"/>
        <v>30 et +</v>
      </c>
      <c r="U113" s="15" t="e">
        <f t="shared" si="14"/>
        <v>#VALUE!</v>
      </c>
      <c r="V113" s="15" t="str">
        <f t="shared" ca="1" si="15"/>
        <v>30 et +</v>
      </c>
      <c r="W113" s="16">
        <f t="shared" si="16"/>
        <v>1</v>
      </c>
    </row>
    <row r="114" spans="1:23" x14ac:dyDescent="0.25">
      <c r="A114" s="11" t="s">
        <v>285</v>
      </c>
      <c r="B114" s="11" t="s">
        <v>12</v>
      </c>
      <c r="C114" s="11" t="str">
        <f>VLOOKUP(extract!A114,import!A:C,3,FALSE)</f>
        <v>En cours</v>
      </c>
      <c r="D114" s="3" t="s">
        <v>406</v>
      </c>
      <c r="E114" s="11" t="s">
        <v>406</v>
      </c>
      <c r="F114" s="11" t="s">
        <v>16</v>
      </c>
      <c r="G114" s="11" t="s">
        <v>26</v>
      </c>
      <c r="H114" s="11" t="s">
        <v>37</v>
      </c>
      <c r="I114" s="12">
        <f>VLOOKUP(extract!A114,import!A:J,9,FALSE)</f>
        <v>43559.573530092595</v>
      </c>
      <c r="J114" s="27">
        <v>43560.592129629629</v>
      </c>
      <c r="K114" s="27"/>
      <c r="L114" s="13" t="s">
        <v>406</v>
      </c>
      <c r="M114" s="11" t="s">
        <v>29</v>
      </c>
      <c r="N114" s="14" t="s">
        <v>277</v>
      </c>
      <c r="O114" s="14"/>
      <c r="P114" s="14">
        <f t="shared" si="11"/>
        <v>2</v>
      </c>
      <c r="Q114" s="14" t="str">
        <f t="shared" si="17"/>
        <v>En cours</v>
      </c>
      <c r="R114" s="27" t="str">
        <f t="shared" si="12"/>
        <v>non résolu</v>
      </c>
      <c r="S114" s="12">
        <f t="shared" ca="1" si="13"/>
        <v>43665</v>
      </c>
      <c r="T114" s="15" t="str">
        <f t="shared" ca="1" si="10"/>
        <v>30 et +</v>
      </c>
      <c r="U114" s="15" t="e">
        <f t="shared" si="14"/>
        <v>#VALUE!</v>
      </c>
      <c r="V114" s="15" t="str">
        <f t="shared" ca="1" si="15"/>
        <v>30 et +</v>
      </c>
      <c r="W114" s="16">
        <f t="shared" si="16"/>
        <v>1</v>
      </c>
    </row>
    <row r="115" spans="1:23" x14ac:dyDescent="0.25">
      <c r="A115" s="11" t="s">
        <v>288</v>
      </c>
      <c r="B115" s="11" t="s">
        <v>12</v>
      </c>
      <c r="C115" s="11" t="str">
        <f>VLOOKUP(extract!A115,import!A:C,3,FALSE)</f>
        <v>En cours</v>
      </c>
      <c r="D115" s="3" t="s">
        <v>406</v>
      </c>
      <c r="E115" s="11" t="s">
        <v>406</v>
      </c>
      <c r="F115" s="11" t="s">
        <v>16</v>
      </c>
      <c r="G115" s="11" t="s">
        <v>26</v>
      </c>
      <c r="H115" s="11" t="s">
        <v>37</v>
      </c>
      <c r="I115" s="12">
        <f>VLOOKUP(extract!A115,import!A:J,9,FALSE)</f>
        <v>43560.608680555553</v>
      </c>
      <c r="J115" s="27">
        <v>43560.609398148146</v>
      </c>
      <c r="K115" s="27"/>
      <c r="L115" s="13" t="s">
        <v>406</v>
      </c>
      <c r="M115" s="11" t="s">
        <v>29</v>
      </c>
      <c r="N115" s="14" t="s">
        <v>277</v>
      </c>
      <c r="O115" s="14"/>
      <c r="P115" s="14">
        <f t="shared" si="11"/>
        <v>2</v>
      </c>
      <c r="Q115" s="14" t="str">
        <f t="shared" si="17"/>
        <v>En cours</v>
      </c>
      <c r="R115" s="27" t="str">
        <f t="shared" si="12"/>
        <v>non résolu</v>
      </c>
      <c r="S115" s="12">
        <f t="shared" ca="1" si="13"/>
        <v>43665</v>
      </c>
      <c r="T115" s="15" t="str">
        <f t="shared" ca="1" si="10"/>
        <v>30 et +</v>
      </c>
      <c r="U115" s="15" t="e">
        <f t="shared" si="14"/>
        <v>#VALUE!</v>
      </c>
      <c r="V115" s="15" t="str">
        <f t="shared" ca="1" si="15"/>
        <v>30 et +</v>
      </c>
      <c r="W115" s="16">
        <f t="shared" si="16"/>
        <v>1</v>
      </c>
    </row>
    <row r="116" spans="1:23" x14ac:dyDescent="0.25">
      <c r="A116" s="11" t="s">
        <v>287</v>
      </c>
      <c r="B116" s="11" t="s">
        <v>12</v>
      </c>
      <c r="C116" s="11" t="str">
        <f>VLOOKUP(extract!A116,import!A:C,3,FALSE)</f>
        <v>En cours</v>
      </c>
      <c r="D116" s="3" t="s">
        <v>407</v>
      </c>
      <c r="E116" s="11" t="s">
        <v>406</v>
      </c>
      <c r="F116" s="11" t="s">
        <v>16</v>
      </c>
      <c r="G116" s="11" t="s">
        <v>26</v>
      </c>
      <c r="H116" s="11" t="s">
        <v>37</v>
      </c>
      <c r="I116" s="12">
        <f>VLOOKUP(extract!A116,import!A:J,9,FALSE)</f>
        <v>43560.641469907408</v>
      </c>
      <c r="J116" s="27">
        <v>43560.643136574072</v>
      </c>
      <c r="K116" s="27"/>
      <c r="L116" s="13" t="s">
        <v>406</v>
      </c>
      <c r="M116" s="11" t="s">
        <v>29</v>
      </c>
      <c r="N116" s="14" t="s">
        <v>277</v>
      </c>
      <c r="O116" s="14"/>
      <c r="P116" s="14">
        <f t="shared" si="11"/>
        <v>2</v>
      </c>
      <c r="Q116" s="14" t="str">
        <f t="shared" si="17"/>
        <v>En cours</v>
      </c>
      <c r="R116" s="27" t="str">
        <f t="shared" si="12"/>
        <v>non résolu</v>
      </c>
      <c r="S116" s="12">
        <f t="shared" ca="1" si="13"/>
        <v>43665</v>
      </c>
      <c r="T116" s="15" t="str">
        <f t="shared" ca="1" si="10"/>
        <v>30 et +</v>
      </c>
      <c r="U116" s="15" t="e">
        <f t="shared" si="14"/>
        <v>#VALUE!</v>
      </c>
      <c r="V116" s="15" t="str">
        <f t="shared" ca="1" si="15"/>
        <v>30 et +</v>
      </c>
      <c r="W116" s="16">
        <f t="shared" si="16"/>
        <v>1</v>
      </c>
    </row>
    <row r="117" spans="1:23" x14ac:dyDescent="0.25">
      <c r="A117" s="11" t="s">
        <v>281</v>
      </c>
      <c r="B117" s="11" t="s">
        <v>12</v>
      </c>
      <c r="C117" s="11" t="str">
        <f>VLOOKUP(extract!A117,import!A:C,3,FALSE)</f>
        <v>En cours</v>
      </c>
      <c r="D117" s="3" t="s">
        <v>406</v>
      </c>
      <c r="E117" s="11" t="s">
        <v>406</v>
      </c>
      <c r="F117" s="11" t="s">
        <v>16</v>
      </c>
      <c r="G117" s="11" t="s">
        <v>26</v>
      </c>
      <c r="H117" s="11" t="s">
        <v>37</v>
      </c>
      <c r="I117" s="12">
        <f>VLOOKUP(extract!A117,import!A:J,9,FALSE)</f>
        <v>43560.714062500003</v>
      </c>
      <c r="J117" s="27">
        <v>43560.715497685182</v>
      </c>
      <c r="K117" s="27"/>
      <c r="L117" s="13" t="s">
        <v>406</v>
      </c>
      <c r="M117" s="11" t="s">
        <v>29</v>
      </c>
      <c r="N117" s="14" t="s">
        <v>277</v>
      </c>
      <c r="O117" s="14"/>
      <c r="P117" s="14">
        <f t="shared" si="11"/>
        <v>2</v>
      </c>
      <c r="Q117" s="14" t="str">
        <f t="shared" si="17"/>
        <v>En cours</v>
      </c>
      <c r="R117" s="27" t="str">
        <f t="shared" si="12"/>
        <v>non résolu</v>
      </c>
      <c r="S117" s="12">
        <f t="shared" ca="1" si="13"/>
        <v>43665</v>
      </c>
      <c r="T117" s="15" t="str">
        <f t="shared" ca="1" si="10"/>
        <v>30 et +</v>
      </c>
      <c r="U117" s="15" t="e">
        <f t="shared" si="14"/>
        <v>#VALUE!</v>
      </c>
      <c r="V117" s="15" t="str">
        <f t="shared" ca="1" si="15"/>
        <v>30 et +</v>
      </c>
      <c r="W117" s="16">
        <f t="shared" si="16"/>
        <v>1</v>
      </c>
    </row>
    <row r="118" spans="1:23" x14ac:dyDescent="0.25">
      <c r="A118" s="11" t="s">
        <v>283</v>
      </c>
      <c r="B118" s="11" t="s">
        <v>12</v>
      </c>
      <c r="C118" s="11" t="str">
        <f>VLOOKUP(extract!A118,import!A:C,3,FALSE)</f>
        <v>En cours</v>
      </c>
      <c r="D118" s="3" t="s">
        <v>406</v>
      </c>
      <c r="E118" s="11" t="s">
        <v>406</v>
      </c>
      <c r="F118" s="11" t="s">
        <v>16</v>
      </c>
      <c r="G118" s="11" t="s">
        <v>26</v>
      </c>
      <c r="H118" s="11" t="s">
        <v>37</v>
      </c>
      <c r="I118" s="12">
        <f>VLOOKUP(extract!A118,import!A:J,9,FALSE)</f>
        <v>43560.81422453704</v>
      </c>
      <c r="J118" s="27">
        <v>43560.818310185183</v>
      </c>
      <c r="K118" s="27"/>
      <c r="L118" s="13" t="s">
        <v>406</v>
      </c>
      <c r="M118" s="11" t="s">
        <v>29</v>
      </c>
      <c r="N118" s="14" t="s">
        <v>277</v>
      </c>
      <c r="O118" s="14"/>
      <c r="P118" s="14">
        <f t="shared" si="11"/>
        <v>2</v>
      </c>
      <c r="Q118" s="14" t="str">
        <f t="shared" si="17"/>
        <v>En cours</v>
      </c>
      <c r="R118" s="27" t="str">
        <f t="shared" si="12"/>
        <v>non résolu</v>
      </c>
      <c r="S118" s="12">
        <f t="shared" ca="1" si="13"/>
        <v>43665</v>
      </c>
      <c r="T118" s="15" t="str">
        <f t="shared" ca="1" si="10"/>
        <v>30 et +</v>
      </c>
      <c r="U118" s="15" t="e">
        <f t="shared" si="14"/>
        <v>#VALUE!</v>
      </c>
      <c r="V118" s="15" t="str">
        <f t="shared" ca="1" si="15"/>
        <v>30 et +</v>
      </c>
      <c r="W118" s="16">
        <f t="shared" si="16"/>
        <v>1</v>
      </c>
    </row>
    <row r="119" spans="1:23" s="20" customFormat="1" x14ac:dyDescent="0.25">
      <c r="A119" s="11" t="s">
        <v>299</v>
      </c>
      <c r="B119" s="11" t="s">
        <v>12</v>
      </c>
      <c r="C119" s="11" t="str">
        <f>VLOOKUP(extract!A119,import!A:C,3,FALSE)</f>
        <v>En cours</v>
      </c>
      <c r="D119" s="3" t="s">
        <v>406</v>
      </c>
      <c r="E119" s="11" t="s">
        <v>406</v>
      </c>
      <c r="F119" s="11" t="s">
        <v>16</v>
      </c>
      <c r="G119" s="11" t="s">
        <v>26</v>
      </c>
      <c r="H119" s="11" t="s">
        <v>37</v>
      </c>
      <c r="I119" s="12">
        <f>VLOOKUP(extract!A119,import!A:J,9,FALSE)</f>
        <v>43565.787708333337</v>
      </c>
      <c r="J119" s="27">
        <v>43566.437893518516</v>
      </c>
      <c r="K119" s="27"/>
      <c r="L119" s="13" t="s">
        <v>406</v>
      </c>
      <c r="M119" s="11" t="s">
        <v>29</v>
      </c>
      <c r="N119" s="14" t="s">
        <v>277</v>
      </c>
      <c r="O119" s="14"/>
      <c r="P119" s="14">
        <f t="shared" si="11"/>
        <v>2</v>
      </c>
      <c r="Q119" s="14" t="str">
        <f t="shared" si="17"/>
        <v>En cours</v>
      </c>
      <c r="R119" s="27" t="str">
        <f t="shared" si="12"/>
        <v>non résolu</v>
      </c>
      <c r="S119" s="12">
        <f t="shared" ca="1" si="13"/>
        <v>43665</v>
      </c>
      <c r="T119" s="15" t="str">
        <f t="shared" ca="1" si="10"/>
        <v>30 et +</v>
      </c>
      <c r="U119" s="15" t="e">
        <f t="shared" si="14"/>
        <v>#VALUE!</v>
      </c>
      <c r="V119" s="15" t="str">
        <f t="shared" ca="1" si="15"/>
        <v>30 et +</v>
      </c>
      <c r="W119" s="16">
        <f t="shared" si="16"/>
        <v>1</v>
      </c>
    </row>
    <row r="120" spans="1:23" s="20" customFormat="1" x14ac:dyDescent="0.25">
      <c r="A120" s="11" t="s">
        <v>300</v>
      </c>
      <c r="B120" s="11" t="s">
        <v>12</v>
      </c>
      <c r="C120" s="11" t="str">
        <f>VLOOKUP(extract!A120,import!A:C,3,FALSE)</f>
        <v>En cours</v>
      </c>
      <c r="D120" s="3" t="s">
        <v>406</v>
      </c>
      <c r="E120" s="11" t="s">
        <v>406</v>
      </c>
      <c r="F120" s="11" t="s">
        <v>16</v>
      </c>
      <c r="G120" s="11" t="s">
        <v>26</v>
      </c>
      <c r="H120" s="11" t="s">
        <v>37</v>
      </c>
      <c r="I120" s="12">
        <f>VLOOKUP(extract!A120,import!A:J,9,FALSE)</f>
        <v>43565.983124999999</v>
      </c>
      <c r="J120" s="27">
        <v>43566.438298611109</v>
      </c>
      <c r="K120" s="27"/>
      <c r="L120" s="13" t="s">
        <v>406</v>
      </c>
      <c r="M120" s="11" t="s">
        <v>29</v>
      </c>
      <c r="N120" s="14" t="s">
        <v>277</v>
      </c>
      <c r="O120" s="14"/>
      <c r="P120" s="14">
        <f t="shared" si="11"/>
        <v>2</v>
      </c>
      <c r="Q120" s="14" t="str">
        <f t="shared" si="17"/>
        <v>En cours</v>
      </c>
      <c r="R120" s="27" t="str">
        <f t="shared" si="12"/>
        <v>non résolu</v>
      </c>
      <c r="S120" s="12">
        <f t="shared" ca="1" si="13"/>
        <v>43665</v>
      </c>
      <c r="T120" s="15" t="str">
        <f t="shared" ca="1" si="10"/>
        <v>30 et +</v>
      </c>
      <c r="U120" s="15" t="e">
        <f t="shared" si="14"/>
        <v>#VALUE!</v>
      </c>
      <c r="V120" s="15" t="str">
        <f t="shared" ca="1" si="15"/>
        <v>30 et +</v>
      </c>
      <c r="W120" s="16">
        <f t="shared" si="16"/>
        <v>1</v>
      </c>
    </row>
    <row r="121" spans="1:23" s="20" customFormat="1" x14ac:dyDescent="0.25">
      <c r="A121" s="11" t="s">
        <v>306</v>
      </c>
      <c r="B121" s="11" t="s">
        <v>12</v>
      </c>
      <c r="C121" s="11" t="s">
        <v>171</v>
      </c>
      <c r="D121" s="3" t="s">
        <v>406</v>
      </c>
      <c r="E121" s="11" t="s">
        <v>406</v>
      </c>
      <c r="F121" s="11" t="s">
        <v>16</v>
      </c>
      <c r="G121" s="11" t="s">
        <v>17</v>
      </c>
      <c r="H121" s="11" t="s">
        <v>307</v>
      </c>
      <c r="I121" s="27">
        <v>43566.640590277777</v>
      </c>
      <c r="J121" s="27">
        <v>43566.640590277777</v>
      </c>
      <c r="K121" s="27"/>
      <c r="L121" s="13" t="s">
        <v>406</v>
      </c>
      <c r="M121" s="11" t="s">
        <v>19</v>
      </c>
      <c r="N121" s="14"/>
      <c r="O121" s="14"/>
      <c r="P121" s="14">
        <f t="shared" si="11"/>
        <v>4</v>
      </c>
      <c r="Q121" s="14" t="str">
        <f t="shared" si="17"/>
        <v>En attente</v>
      </c>
      <c r="R121" s="27" t="str">
        <f t="shared" si="12"/>
        <v>non résolu</v>
      </c>
      <c r="S121" s="12">
        <f t="shared" ca="1" si="13"/>
        <v>43665</v>
      </c>
      <c r="T121" s="15" t="str">
        <f t="shared" ca="1" si="10"/>
        <v>30 et +</v>
      </c>
      <c r="U121" s="15" t="e">
        <f t="shared" si="14"/>
        <v>#VALUE!</v>
      </c>
      <c r="V121" s="15" t="str">
        <f t="shared" ca="1" si="15"/>
        <v>30 et +</v>
      </c>
      <c r="W121" s="16">
        <f t="shared" si="16"/>
        <v>1</v>
      </c>
    </row>
    <row r="122" spans="1:23" s="20" customFormat="1" x14ac:dyDescent="0.25">
      <c r="A122" s="11" t="s">
        <v>308</v>
      </c>
      <c r="B122" s="11" t="s">
        <v>12</v>
      </c>
      <c r="C122" s="11" t="s">
        <v>309</v>
      </c>
      <c r="D122" s="3" t="s">
        <v>406</v>
      </c>
      <c r="E122" s="11" t="s">
        <v>406</v>
      </c>
      <c r="F122" s="11" t="s">
        <v>16</v>
      </c>
      <c r="G122" s="11" t="s">
        <v>26</v>
      </c>
      <c r="H122" s="11" t="s">
        <v>37</v>
      </c>
      <c r="I122" s="12">
        <f>VLOOKUP(extract!A122,import!A:J,9,FALSE)</f>
        <v>43567.665995370371</v>
      </c>
      <c r="J122" s="27">
        <v>43567.694027777776</v>
      </c>
      <c r="K122" s="27"/>
      <c r="L122" s="13" t="s">
        <v>406</v>
      </c>
      <c r="M122" s="11" t="s">
        <v>29</v>
      </c>
      <c r="N122" s="14" t="s">
        <v>277</v>
      </c>
      <c r="O122" s="14"/>
      <c r="P122" s="14">
        <f t="shared" si="11"/>
        <v>2</v>
      </c>
      <c r="Q122" s="14" t="str">
        <f t="shared" si="17"/>
        <v>Affecté</v>
      </c>
      <c r="R122" s="27" t="str">
        <f t="shared" si="12"/>
        <v>non résolu</v>
      </c>
      <c r="S122" s="12">
        <f t="shared" ca="1" si="13"/>
        <v>43665</v>
      </c>
      <c r="T122" s="15" t="str">
        <f t="shared" ca="1" si="10"/>
        <v>30 et +</v>
      </c>
      <c r="U122" s="15" t="e">
        <f t="shared" si="14"/>
        <v>#VALUE!</v>
      </c>
      <c r="V122" s="15" t="str">
        <f t="shared" ca="1" si="15"/>
        <v>30 et +</v>
      </c>
      <c r="W122" s="16">
        <f t="shared" si="16"/>
        <v>1</v>
      </c>
    </row>
    <row r="123" spans="1:23" s="20" customFormat="1" x14ac:dyDescent="0.25">
      <c r="A123" s="11" t="s">
        <v>311</v>
      </c>
      <c r="B123" s="11" t="s">
        <v>12</v>
      </c>
      <c r="C123" s="11" t="s">
        <v>309</v>
      </c>
      <c r="D123" s="3" t="s">
        <v>406</v>
      </c>
      <c r="E123" s="11" t="s">
        <v>406</v>
      </c>
      <c r="F123" s="11" t="s">
        <v>16</v>
      </c>
      <c r="G123" s="11" t="s">
        <v>26</v>
      </c>
      <c r="H123" s="11" t="s">
        <v>37</v>
      </c>
      <c r="I123" s="12">
        <f>VLOOKUP(extract!A123,import!A:J,9,FALSE)</f>
        <v>43567.666018518517</v>
      </c>
      <c r="J123" s="27">
        <v>43567.694895833331</v>
      </c>
      <c r="K123" s="27"/>
      <c r="L123" s="13" t="s">
        <v>406</v>
      </c>
      <c r="M123" s="11" t="s">
        <v>29</v>
      </c>
      <c r="N123" s="14" t="s">
        <v>277</v>
      </c>
      <c r="O123" s="14"/>
      <c r="P123" s="14">
        <f t="shared" si="11"/>
        <v>2</v>
      </c>
      <c r="Q123" s="14" t="str">
        <f t="shared" si="17"/>
        <v>Affecté</v>
      </c>
      <c r="R123" s="27" t="str">
        <f t="shared" si="12"/>
        <v>non résolu</v>
      </c>
      <c r="S123" s="12">
        <f t="shared" ca="1" si="13"/>
        <v>43665</v>
      </c>
      <c r="T123" s="15" t="str">
        <f t="shared" ca="1" si="10"/>
        <v>30 et +</v>
      </c>
      <c r="U123" s="15" t="e">
        <f t="shared" si="14"/>
        <v>#VALUE!</v>
      </c>
      <c r="V123" s="15" t="str">
        <f t="shared" ca="1" si="15"/>
        <v>30 et +</v>
      </c>
      <c r="W123" s="16">
        <f t="shared" si="16"/>
        <v>1</v>
      </c>
    </row>
    <row r="124" spans="1:23" s="20" customFormat="1" x14ac:dyDescent="0.25">
      <c r="A124" s="11" t="s">
        <v>313</v>
      </c>
      <c r="B124" s="11" t="s">
        <v>12</v>
      </c>
      <c r="C124" s="11" t="s">
        <v>309</v>
      </c>
      <c r="D124" s="3" t="s">
        <v>406</v>
      </c>
      <c r="E124" s="11" t="s">
        <v>406</v>
      </c>
      <c r="F124" s="11" t="s">
        <v>16</v>
      </c>
      <c r="G124" s="11" t="s">
        <v>26</v>
      </c>
      <c r="H124" s="11" t="s">
        <v>37</v>
      </c>
      <c r="I124" s="12">
        <f>VLOOKUP(extract!A124,import!A:J,9,FALSE)</f>
        <v>43567.666041666664</v>
      </c>
      <c r="J124" s="27">
        <v>43567.696631944447</v>
      </c>
      <c r="K124" s="27"/>
      <c r="L124" s="13" t="s">
        <v>406</v>
      </c>
      <c r="M124" s="11" t="s">
        <v>29</v>
      </c>
      <c r="N124" s="14" t="s">
        <v>277</v>
      </c>
      <c r="O124" s="14"/>
      <c r="P124" s="14">
        <f t="shared" si="11"/>
        <v>2</v>
      </c>
      <c r="Q124" s="14" t="str">
        <f t="shared" si="17"/>
        <v>Affecté</v>
      </c>
      <c r="R124" s="27" t="str">
        <f t="shared" si="12"/>
        <v>non résolu</v>
      </c>
      <c r="S124" s="12">
        <f t="shared" ca="1" si="13"/>
        <v>43665</v>
      </c>
      <c r="T124" s="15" t="str">
        <f t="shared" ca="1" si="10"/>
        <v>30 et +</v>
      </c>
      <c r="U124" s="15" t="e">
        <f t="shared" si="14"/>
        <v>#VALUE!</v>
      </c>
      <c r="V124" s="15" t="str">
        <f t="shared" ca="1" si="15"/>
        <v>30 et +</v>
      </c>
      <c r="W124" s="16">
        <f t="shared" si="16"/>
        <v>1</v>
      </c>
    </row>
    <row r="125" spans="1:23" s="20" customFormat="1" x14ac:dyDescent="0.25">
      <c r="A125" s="11" t="s">
        <v>315</v>
      </c>
      <c r="B125" s="11" t="s">
        <v>12</v>
      </c>
      <c r="C125" s="11" t="s">
        <v>309</v>
      </c>
      <c r="D125" s="3" t="s">
        <v>406</v>
      </c>
      <c r="E125" s="11" t="s">
        <v>406</v>
      </c>
      <c r="F125" s="11" t="s">
        <v>16</v>
      </c>
      <c r="G125" s="11" t="s">
        <v>26</v>
      </c>
      <c r="H125" s="11" t="s">
        <v>37</v>
      </c>
      <c r="I125" s="12">
        <f>VLOOKUP(extract!A125,import!A:J,9,FALSE)</f>
        <v>43567.666041666664</v>
      </c>
      <c r="J125" s="27">
        <v>43567.698425925926</v>
      </c>
      <c r="K125" s="27"/>
      <c r="L125" s="13" t="s">
        <v>406</v>
      </c>
      <c r="M125" s="11" t="s">
        <v>29</v>
      </c>
      <c r="N125" s="14" t="s">
        <v>277</v>
      </c>
      <c r="O125" s="14"/>
      <c r="P125" s="14">
        <f t="shared" si="11"/>
        <v>2</v>
      </c>
      <c r="Q125" s="14" t="str">
        <f t="shared" si="17"/>
        <v>Affecté</v>
      </c>
      <c r="R125" s="27" t="str">
        <f t="shared" si="12"/>
        <v>non résolu</v>
      </c>
      <c r="S125" s="12">
        <f t="shared" ca="1" si="13"/>
        <v>43665</v>
      </c>
      <c r="T125" s="15" t="str">
        <f t="shared" ca="1" si="10"/>
        <v>30 et +</v>
      </c>
      <c r="U125" s="15" t="e">
        <f t="shared" si="14"/>
        <v>#VALUE!</v>
      </c>
      <c r="V125" s="15" t="str">
        <f t="shared" ca="1" si="15"/>
        <v>30 et +</v>
      </c>
      <c r="W125" s="16">
        <f t="shared" si="16"/>
        <v>1</v>
      </c>
    </row>
    <row r="126" spans="1:23" s="20" customFormat="1" x14ac:dyDescent="0.25">
      <c r="A126" s="11" t="s">
        <v>317</v>
      </c>
      <c r="B126" s="11" t="s">
        <v>12</v>
      </c>
      <c r="C126" s="11" t="s">
        <v>309</v>
      </c>
      <c r="D126" s="3" t="s">
        <v>406</v>
      </c>
      <c r="E126" s="11" t="s">
        <v>406</v>
      </c>
      <c r="F126" s="11" t="s">
        <v>16</v>
      </c>
      <c r="G126" s="11" t="s">
        <v>26</v>
      </c>
      <c r="H126" s="11" t="s">
        <v>37</v>
      </c>
      <c r="I126" s="12">
        <f>VLOOKUP(extract!A126,import!A:J,9,FALSE)</f>
        <v>43567.691701388889</v>
      </c>
      <c r="J126" s="27">
        <v>43567.69935185185</v>
      </c>
      <c r="K126" s="27"/>
      <c r="L126" s="13" t="s">
        <v>406</v>
      </c>
      <c r="M126" s="11" t="s">
        <v>29</v>
      </c>
      <c r="N126" s="14" t="s">
        <v>277</v>
      </c>
      <c r="O126" s="14"/>
      <c r="P126" s="14">
        <f t="shared" si="11"/>
        <v>2</v>
      </c>
      <c r="Q126" s="14" t="str">
        <f t="shared" si="17"/>
        <v>Affecté</v>
      </c>
      <c r="R126" s="27" t="str">
        <f t="shared" si="12"/>
        <v>non résolu</v>
      </c>
      <c r="S126" s="12">
        <f t="shared" ca="1" si="13"/>
        <v>43665</v>
      </c>
      <c r="T126" s="15" t="str">
        <f t="shared" ca="1" si="10"/>
        <v>30 et +</v>
      </c>
      <c r="U126" s="15" t="e">
        <f t="shared" si="14"/>
        <v>#VALUE!</v>
      </c>
      <c r="V126" s="15" t="str">
        <f t="shared" ca="1" si="15"/>
        <v>30 et +</v>
      </c>
      <c r="W126" s="16">
        <f t="shared" si="16"/>
        <v>1</v>
      </c>
    </row>
    <row r="127" spans="1:23" s="20" customFormat="1" x14ac:dyDescent="0.25">
      <c r="A127" s="11" t="s">
        <v>318</v>
      </c>
      <c r="B127" s="11" t="s">
        <v>12</v>
      </c>
      <c r="C127" s="11" t="s">
        <v>309</v>
      </c>
      <c r="D127" s="3" t="s">
        <v>406</v>
      </c>
      <c r="E127" s="11" t="s">
        <v>406</v>
      </c>
      <c r="F127" s="11" t="s">
        <v>16</v>
      </c>
      <c r="G127" s="11" t="s">
        <v>26</v>
      </c>
      <c r="H127" s="11" t="s">
        <v>37</v>
      </c>
      <c r="I127" s="12">
        <f>VLOOKUP(extract!A127,import!A:J,9,FALSE)</f>
        <v>43567.691724537035</v>
      </c>
      <c r="J127" s="27">
        <v>43567.700162037036</v>
      </c>
      <c r="K127" s="27"/>
      <c r="L127" s="13" t="s">
        <v>406</v>
      </c>
      <c r="M127" s="11" t="s">
        <v>29</v>
      </c>
      <c r="N127" s="14" t="s">
        <v>277</v>
      </c>
      <c r="O127" s="14"/>
      <c r="P127" s="14">
        <f t="shared" si="11"/>
        <v>2</v>
      </c>
      <c r="Q127" s="14" t="str">
        <f t="shared" si="17"/>
        <v>Affecté</v>
      </c>
      <c r="R127" s="27" t="str">
        <f t="shared" si="12"/>
        <v>non résolu</v>
      </c>
      <c r="S127" s="12">
        <f t="shared" ca="1" si="13"/>
        <v>43665</v>
      </c>
      <c r="T127" s="15" t="str">
        <f t="shared" ca="1" si="10"/>
        <v>30 et +</v>
      </c>
      <c r="U127" s="15" t="e">
        <f t="shared" si="14"/>
        <v>#VALUE!</v>
      </c>
      <c r="V127" s="15" t="str">
        <f t="shared" ca="1" si="15"/>
        <v>30 et +</v>
      </c>
      <c r="W127" s="16">
        <f t="shared" si="16"/>
        <v>1</v>
      </c>
    </row>
    <row r="128" spans="1:23" s="20" customFormat="1" x14ac:dyDescent="0.25">
      <c r="A128" s="11" t="s">
        <v>319</v>
      </c>
      <c r="B128" s="11" t="s">
        <v>12</v>
      </c>
      <c r="C128" s="11" t="s">
        <v>309</v>
      </c>
      <c r="D128" s="3" t="s">
        <v>406</v>
      </c>
      <c r="E128" s="11" t="s">
        <v>406</v>
      </c>
      <c r="F128" s="11" t="s">
        <v>16</v>
      </c>
      <c r="G128" s="11" t="s">
        <v>26</v>
      </c>
      <c r="H128" s="11" t="s">
        <v>37</v>
      </c>
      <c r="I128" s="12">
        <f>VLOOKUP(extract!A128,import!A:J,9,FALSE)</f>
        <v>43567.908321759256</v>
      </c>
      <c r="J128" s="27">
        <v>43570.417199074072</v>
      </c>
      <c r="K128" s="27"/>
      <c r="L128" s="13" t="s">
        <v>406</v>
      </c>
      <c r="M128" s="11" t="s">
        <v>29</v>
      </c>
      <c r="N128" s="14" t="s">
        <v>277</v>
      </c>
      <c r="O128" s="14"/>
      <c r="P128" s="14">
        <f t="shared" si="11"/>
        <v>2</v>
      </c>
      <c r="Q128" s="14" t="str">
        <f t="shared" si="17"/>
        <v>Affecté</v>
      </c>
      <c r="R128" s="27" t="str">
        <f t="shared" si="12"/>
        <v>non résolu</v>
      </c>
      <c r="S128" s="12">
        <f t="shared" ca="1" si="13"/>
        <v>43665</v>
      </c>
      <c r="T128" s="15" t="str">
        <f t="shared" ca="1" si="10"/>
        <v>30 et +</v>
      </c>
      <c r="U128" s="15" t="e">
        <f t="shared" si="14"/>
        <v>#VALUE!</v>
      </c>
      <c r="V128" s="15" t="str">
        <f t="shared" ca="1" si="15"/>
        <v>30 et +</v>
      </c>
      <c r="W128" s="16">
        <f t="shared" si="16"/>
        <v>1</v>
      </c>
    </row>
    <row r="129" spans="1:23" s="20" customFormat="1" x14ac:dyDescent="0.25">
      <c r="A129" s="11" t="s">
        <v>320</v>
      </c>
      <c r="B129" s="11" t="s">
        <v>12</v>
      </c>
      <c r="C129" s="11" t="s">
        <v>309</v>
      </c>
      <c r="D129" s="3" t="s">
        <v>406</v>
      </c>
      <c r="E129" s="11" t="s">
        <v>406</v>
      </c>
      <c r="F129" s="11" t="s">
        <v>16</v>
      </c>
      <c r="G129" s="11" t="s">
        <v>26</v>
      </c>
      <c r="H129" s="11" t="s">
        <v>37</v>
      </c>
      <c r="I129" s="12">
        <f>VLOOKUP(extract!A129,import!A:J,9,FALSE)</f>
        <v>43568.20753472222</v>
      </c>
      <c r="J129" s="27">
        <v>43570.419108796297</v>
      </c>
      <c r="K129" s="27"/>
      <c r="L129" s="13" t="s">
        <v>406</v>
      </c>
      <c r="M129" s="11" t="s">
        <v>29</v>
      </c>
      <c r="N129" s="14" t="s">
        <v>275</v>
      </c>
      <c r="O129" s="14"/>
      <c r="P129" s="14">
        <f t="shared" si="11"/>
        <v>2</v>
      </c>
      <c r="Q129" s="14" t="str">
        <f t="shared" si="17"/>
        <v>Affecté</v>
      </c>
      <c r="R129" s="27" t="str">
        <f t="shared" si="12"/>
        <v>non résolu</v>
      </c>
      <c r="S129" s="12">
        <f t="shared" ca="1" si="13"/>
        <v>43665</v>
      </c>
      <c r="T129" s="15" t="str">
        <f t="shared" ca="1" si="10"/>
        <v>30 et +</v>
      </c>
      <c r="U129" s="15" t="e">
        <f t="shared" si="14"/>
        <v>#VALUE!</v>
      </c>
      <c r="V129" s="15" t="str">
        <f t="shared" ca="1" si="15"/>
        <v>30 et +</v>
      </c>
      <c r="W129" s="16">
        <f t="shared" si="16"/>
        <v>1</v>
      </c>
    </row>
    <row r="130" spans="1:23" s="20" customFormat="1" x14ac:dyDescent="0.25">
      <c r="A130" s="11" t="s">
        <v>321</v>
      </c>
      <c r="B130" s="11" t="s">
        <v>12</v>
      </c>
      <c r="C130" s="11" t="s">
        <v>309</v>
      </c>
      <c r="D130" s="3" t="s">
        <v>407</v>
      </c>
      <c r="E130" s="11" t="s">
        <v>406</v>
      </c>
      <c r="F130" s="11" t="s">
        <v>16</v>
      </c>
      <c r="G130" s="11" t="s">
        <v>26</v>
      </c>
      <c r="H130" s="11" t="s">
        <v>37</v>
      </c>
      <c r="I130" s="12">
        <f>VLOOKUP(extract!A130,import!A:J,9,FALSE)</f>
        <v>43568.762326388889</v>
      </c>
      <c r="J130" s="27">
        <v>43570.422743055555</v>
      </c>
      <c r="K130" s="27">
        <v>43579.411064814813</v>
      </c>
      <c r="L130" s="13" t="s">
        <v>406</v>
      </c>
      <c r="M130" s="11" t="s">
        <v>29</v>
      </c>
      <c r="N130" s="14" t="s">
        <v>275</v>
      </c>
      <c r="O130" s="14"/>
      <c r="P130" s="14">
        <f t="shared" si="11"/>
        <v>2</v>
      </c>
      <c r="Q130" s="14" t="str">
        <f t="shared" ref="Q130:Q143" si="18">IF(C130="résolu","Clos",(IF(C130="Résolu techniquement","Clos",C130)))</f>
        <v>Affecté</v>
      </c>
      <c r="R130" s="27">
        <f t="shared" si="12"/>
        <v>43579.411064814813</v>
      </c>
      <c r="S130" s="12">
        <f t="shared" ca="1" si="13"/>
        <v>43665</v>
      </c>
      <c r="T130" s="15" t="str">
        <f t="shared" ref="T130:T143" ca="1" si="19">IF(Q130="Clos",U130,V130)</f>
        <v>30 et +</v>
      </c>
      <c r="U130" s="15" t="str">
        <f t="shared" si="14"/>
        <v>15</v>
      </c>
      <c r="V130" s="15" t="str">
        <f t="shared" ca="1" si="15"/>
        <v>30 et +</v>
      </c>
      <c r="W130" s="16">
        <f t="shared" si="16"/>
        <v>1</v>
      </c>
    </row>
    <row r="131" spans="1:23" s="20" customFormat="1" x14ac:dyDescent="0.25">
      <c r="A131" s="11" t="s">
        <v>322</v>
      </c>
      <c r="B131" s="11" t="s">
        <v>12</v>
      </c>
      <c r="C131" s="11" t="s">
        <v>309</v>
      </c>
      <c r="D131" s="3" t="s">
        <v>406</v>
      </c>
      <c r="E131" s="11" t="s">
        <v>406</v>
      </c>
      <c r="F131" s="11" t="s">
        <v>16</v>
      </c>
      <c r="G131" s="11" t="s">
        <v>26</v>
      </c>
      <c r="H131" s="11" t="s">
        <v>37</v>
      </c>
      <c r="I131" s="12">
        <f>VLOOKUP(extract!A131,import!A:J,9,FALSE)</f>
        <v>43572.392835648148</v>
      </c>
      <c r="J131" s="27">
        <v>43572.447488425925</v>
      </c>
      <c r="K131" s="27"/>
      <c r="L131" s="13" t="s">
        <v>406</v>
      </c>
      <c r="M131" s="11" t="s">
        <v>29</v>
      </c>
      <c r="N131" s="11" t="s">
        <v>277</v>
      </c>
      <c r="O131" s="14"/>
      <c r="P131" s="14">
        <f t="shared" ref="P131:P143" si="20">SUM(IF(B131="P2 - Importante",3,0),IF(B131="P3 - Moyenne",2,0),IF(B131="P4 - Faible",1,0),IF(B131="P1 - Critique",4,0),IF(M131="Oui",2,0))</f>
        <v>2</v>
      </c>
      <c r="Q131" s="14" t="str">
        <f t="shared" si="18"/>
        <v>Affecté</v>
      </c>
      <c r="R131" s="27" t="str">
        <f t="shared" ref="R131:R143" si="21">IF(K131&gt;0,K131,"non résolu")</f>
        <v>non résolu</v>
      </c>
      <c r="S131" s="12">
        <f t="shared" ref="S131:S143" ca="1" si="22">TODAY()</f>
        <v>43665</v>
      </c>
      <c r="T131" s="15" t="str">
        <f t="shared" ca="1" si="19"/>
        <v>30 et +</v>
      </c>
      <c r="U131" s="15" t="e">
        <f t="shared" ref="U131:U143" si="23">IF(_xlfn.DAYS(R131,I131)&lt;=1,"1",IF(AND(_xlfn.DAYS(52,I131)&gt;1,_xlfn.DAYS(R131,I131)&lt;=2),"2",IF(AND(_xlfn.DAYS(R131,I131)&gt;2,_xlfn.DAYS(R131,I131)&lt;=15),"15",IF(AND(_xlfn.DAYS(R131,I131)&gt;15,_xlfn.DAYS(R131,I131)&lt;=30),"30",IF(_xlfn.DAYS(R131,I131)&gt;30,"30 et +","PB")))))</f>
        <v>#VALUE!</v>
      </c>
      <c r="V131" s="15" t="str">
        <f t="shared" ref="V131:V143" ca="1" si="24">IF(_xlfn.DAYS(S131,I131)&lt;=1,"1",IF(AND(_xlfn.DAYS(S131,I131)&gt;1,_xlfn.DAYS(S131,I131)&lt;=2),"2",IF(AND(_xlfn.DAYS(S131,I131)&gt;2,_xlfn.DAYS(S131,I131)&lt;=15),"15",IF(AND(_xlfn.DAYS(S131,I131)&gt;15,_xlfn.DAYS(S131,I131)&lt;=30),"30",IF(_xlfn.DAYS(S131,I131)&gt;30,"30 et +","PB")))))</f>
        <v>30 et +</v>
      </c>
      <c r="W131" s="16">
        <f t="shared" ref="W131:W143" si="25">IF(ISBLANK(A131),0,1)</f>
        <v>1</v>
      </c>
    </row>
    <row r="132" spans="1:23" s="20" customFormat="1" x14ac:dyDescent="0.25">
      <c r="A132" s="11" t="s">
        <v>324</v>
      </c>
      <c r="B132" s="11" t="s">
        <v>12</v>
      </c>
      <c r="C132" s="11" t="s">
        <v>309</v>
      </c>
      <c r="D132" s="3" t="s">
        <v>406</v>
      </c>
      <c r="E132" s="11" t="s">
        <v>406</v>
      </c>
      <c r="F132" s="11" t="s">
        <v>16</v>
      </c>
      <c r="G132" s="11" t="s">
        <v>26</v>
      </c>
      <c r="H132" s="11" t="s">
        <v>37</v>
      </c>
      <c r="I132" s="12">
        <f>VLOOKUP(extract!A132,import!A:J,9,FALSE)</f>
        <v>43572.898379629631</v>
      </c>
      <c r="J132" s="27">
        <v>43573.387152777781</v>
      </c>
      <c r="K132" s="27">
        <v>43591.465486111112</v>
      </c>
      <c r="L132" s="13" t="s">
        <v>406</v>
      </c>
      <c r="M132" s="11" t="s">
        <v>29</v>
      </c>
      <c r="N132" s="11" t="s">
        <v>277</v>
      </c>
      <c r="O132" s="14"/>
      <c r="P132" s="14">
        <f t="shared" si="20"/>
        <v>2</v>
      </c>
      <c r="Q132" s="14" t="str">
        <f t="shared" si="18"/>
        <v>Affecté</v>
      </c>
      <c r="R132" s="27">
        <f t="shared" si="21"/>
        <v>43591.465486111112</v>
      </c>
      <c r="S132" s="12">
        <f t="shared" ca="1" si="22"/>
        <v>43665</v>
      </c>
      <c r="T132" s="15" t="str">
        <f t="shared" ca="1" si="19"/>
        <v>30 et +</v>
      </c>
      <c r="U132" s="15" t="str">
        <f t="shared" si="23"/>
        <v>30</v>
      </c>
      <c r="V132" s="15" t="str">
        <f t="shared" ca="1" si="24"/>
        <v>30 et +</v>
      </c>
      <c r="W132" s="16">
        <f t="shared" si="25"/>
        <v>1</v>
      </c>
    </row>
    <row r="133" spans="1:23" s="20" customFormat="1" ht="30" x14ac:dyDescent="0.25">
      <c r="A133" s="11" t="s">
        <v>325</v>
      </c>
      <c r="B133" s="11" t="s">
        <v>12</v>
      </c>
      <c r="C133" s="11" t="s">
        <v>13</v>
      </c>
      <c r="D133" s="3" t="s">
        <v>406</v>
      </c>
      <c r="E133" s="11" t="s">
        <v>406</v>
      </c>
      <c r="F133" s="11" t="s">
        <v>16</v>
      </c>
      <c r="G133" s="11" t="s">
        <v>17</v>
      </c>
      <c r="H133" s="11" t="s">
        <v>18</v>
      </c>
      <c r="I133" s="27">
        <v>43573.532013888886</v>
      </c>
      <c r="J133" s="27">
        <v>43573.532013888886</v>
      </c>
      <c r="K133" s="27"/>
      <c r="L133" s="13" t="s">
        <v>406</v>
      </c>
      <c r="M133" s="11" t="s">
        <v>19</v>
      </c>
      <c r="N133" s="14"/>
      <c r="O133" s="14"/>
      <c r="P133" s="14">
        <f t="shared" si="20"/>
        <v>4</v>
      </c>
      <c r="Q133" s="14" t="str">
        <f t="shared" si="18"/>
        <v>En cours</v>
      </c>
      <c r="R133" s="27" t="str">
        <f t="shared" si="21"/>
        <v>non résolu</v>
      </c>
      <c r="S133" s="12">
        <f t="shared" ca="1" si="22"/>
        <v>43665</v>
      </c>
      <c r="T133" s="15" t="str">
        <f t="shared" ca="1" si="19"/>
        <v>30 et +</v>
      </c>
      <c r="U133" s="15" t="e">
        <f t="shared" si="23"/>
        <v>#VALUE!</v>
      </c>
      <c r="V133" s="15" t="str">
        <f t="shared" ca="1" si="24"/>
        <v>30 et +</v>
      </c>
      <c r="W133" s="16">
        <f t="shared" si="25"/>
        <v>1</v>
      </c>
    </row>
    <row r="134" spans="1:23" s="20" customFormat="1" x14ac:dyDescent="0.25">
      <c r="A134" s="11" t="s">
        <v>326</v>
      </c>
      <c r="B134" s="11" t="s">
        <v>12</v>
      </c>
      <c r="C134" s="11" t="s">
        <v>309</v>
      </c>
      <c r="D134" s="3" t="s">
        <v>406</v>
      </c>
      <c r="E134" s="11" t="s">
        <v>406</v>
      </c>
      <c r="F134" s="11" t="s">
        <v>16</v>
      </c>
      <c r="G134" s="11" t="s">
        <v>26</v>
      </c>
      <c r="H134" s="11" t="s">
        <v>37</v>
      </c>
      <c r="I134" s="12">
        <f>VLOOKUP(extract!A134,import!A:J,9,FALSE)</f>
        <v>43574.968113425923</v>
      </c>
      <c r="J134" s="27">
        <v>43578.422534722224</v>
      </c>
      <c r="K134" s="27"/>
      <c r="L134" s="13" t="s">
        <v>406</v>
      </c>
      <c r="M134" s="11" t="s">
        <v>29</v>
      </c>
      <c r="N134" s="11" t="s">
        <v>277</v>
      </c>
      <c r="O134" s="14"/>
      <c r="P134" s="14">
        <f t="shared" si="20"/>
        <v>2</v>
      </c>
      <c r="Q134" s="14" t="str">
        <f t="shared" si="18"/>
        <v>Affecté</v>
      </c>
      <c r="R134" s="27" t="str">
        <f t="shared" si="21"/>
        <v>non résolu</v>
      </c>
      <c r="S134" s="12">
        <f t="shared" ca="1" si="22"/>
        <v>43665</v>
      </c>
      <c r="T134" s="15" t="str">
        <f t="shared" ca="1" si="19"/>
        <v>30 et +</v>
      </c>
      <c r="U134" s="15" t="e">
        <f t="shared" si="23"/>
        <v>#VALUE!</v>
      </c>
      <c r="V134" s="15" t="str">
        <f t="shared" ca="1" si="24"/>
        <v>30 et +</v>
      </c>
      <c r="W134" s="16">
        <f t="shared" si="25"/>
        <v>1</v>
      </c>
    </row>
    <row r="135" spans="1:23" s="20" customFormat="1" ht="30" x14ac:dyDescent="0.25">
      <c r="A135" s="11" t="s">
        <v>301</v>
      </c>
      <c r="B135" s="11" t="s">
        <v>12</v>
      </c>
      <c r="C135" s="11" t="str">
        <f>VLOOKUP(extract!A135,import!A:C,3,FALSE)</f>
        <v>En attente</v>
      </c>
      <c r="D135" s="3" t="s">
        <v>406</v>
      </c>
      <c r="E135" s="11" t="s">
        <v>406</v>
      </c>
      <c r="F135" s="11" t="s">
        <v>16</v>
      </c>
      <c r="G135" s="11" t="s">
        <v>302</v>
      </c>
      <c r="H135" s="11" t="s">
        <v>37</v>
      </c>
      <c r="I135" s="12">
        <f>VLOOKUP(extract!A135,import!A:J,9,FALSE)</f>
        <v>43579.409583333334</v>
      </c>
      <c r="J135" s="27">
        <v>43579.468958333331</v>
      </c>
      <c r="K135" s="27"/>
      <c r="L135" s="13" t="s">
        <v>406</v>
      </c>
      <c r="M135" s="11" t="s">
        <v>29</v>
      </c>
      <c r="N135" s="14"/>
      <c r="O135" s="14"/>
      <c r="P135" s="14">
        <f t="shared" si="20"/>
        <v>2</v>
      </c>
      <c r="Q135" s="14" t="str">
        <f t="shared" si="18"/>
        <v>En attente</v>
      </c>
      <c r="R135" s="27" t="str">
        <f t="shared" si="21"/>
        <v>non résolu</v>
      </c>
      <c r="S135" s="12">
        <f t="shared" ca="1" si="22"/>
        <v>43665</v>
      </c>
      <c r="T135" s="15" t="str">
        <f t="shared" ca="1" si="19"/>
        <v>30 et +</v>
      </c>
      <c r="U135" s="15" t="e">
        <f t="shared" si="23"/>
        <v>#VALUE!</v>
      </c>
      <c r="V135" s="15" t="str">
        <f t="shared" ca="1" si="24"/>
        <v>30 et +</v>
      </c>
      <c r="W135" s="16">
        <f t="shared" si="25"/>
        <v>1</v>
      </c>
    </row>
    <row r="136" spans="1:23" s="20" customFormat="1" x14ac:dyDescent="0.25">
      <c r="A136" s="11" t="s">
        <v>329</v>
      </c>
      <c r="B136" s="11" t="s">
        <v>12</v>
      </c>
      <c r="C136" s="11" t="str">
        <f>VLOOKUP(extract!A136,import!A:C,3,FALSE)</f>
        <v>En cours</v>
      </c>
      <c r="D136" s="3" t="s">
        <v>406</v>
      </c>
      <c r="E136" s="11" t="s">
        <v>406</v>
      </c>
      <c r="F136" s="11" t="s">
        <v>16</v>
      </c>
      <c r="G136" s="11" t="s">
        <v>26</v>
      </c>
      <c r="H136" s="11" t="s">
        <v>37</v>
      </c>
      <c r="I136" s="12">
        <f>VLOOKUP(extract!A136,import!A:J,9,FALSE)</f>
        <v>43586.059270833335</v>
      </c>
      <c r="J136" s="27">
        <v>43587.502893518518</v>
      </c>
      <c r="K136" s="27"/>
      <c r="L136" s="13" t="s">
        <v>406</v>
      </c>
      <c r="M136" s="11" t="s">
        <v>29</v>
      </c>
      <c r="N136" s="14"/>
      <c r="O136" s="14"/>
      <c r="P136" s="14">
        <f t="shared" si="20"/>
        <v>2</v>
      </c>
      <c r="Q136" s="14" t="str">
        <f t="shared" si="18"/>
        <v>En cours</v>
      </c>
      <c r="R136" s="27" t="str">
        <f t="shared" si="21"/>
        <v>non résolu</v>
      </c>
      <c r="S136" s="12">
        <f t="shared" ca="1" si="22"/>
        <v>43665</v>
      </c>
      <c r="T136" s="15" t="str">
        <f t="shared" ca="1" si="19"/>
        <v>30 et +</v>
      </c>
      <c r="U136" s="15" t="e">
        <f t="shared" si="23"/>
        <v>#VALUE!</v>
      </c>
      <c r="V136" s="15" t="str">
        <f t="shared" ca="1" si="24"/>
        <v>30 et +</v>
      </c>
      <c r="W136" s="16">
        <f t="shared" si="25"/>
        <v>1</v>
      </c>
    </row>
    <row r="137" spans="1:23" s="20" customFormat="1" x14ac:dyDescent="0.25">
      <c r="A137" s="11" t="s">
        <v>331</v>
      </c>
      <c r="B137" s="11" t="s">
        <v>12</v>
      </c>
      <c r="C137" s="11" t="s">
        <v>13</v>
      </c>
      <c r="D137" s="3" t="s">
        <v>406</v>
      </c>
      <c r="E137" s="11" t="s">
        <v>406</v>
      </c>
      <c r="F137" s="11" t="s">
        <v>16</v>
      </c>
      <c r="G137" s="11" t="s">
        <v>26</v>
      </c>
      <c r="H137" s="11" t="s">
        <v>37</v>
      </c>
      <c r="I137" s="12">
        <f>VLOOKUP(extract!A137,import!A:J,9,FALSE)</f>
        <v>43587.461574074077</v>
      </c>
      <c r="J137" s="27">
        <v>43587.506527777776</v>
      </c>
      <c r="K137" s="49"/>
      <c r="L137" s="13" t="s">
        <v>406</v>
      </c>
      <c r="M137" s="11" t="s">
        <v>29</v>
      </c>
      <c r="N137" s="14"/>
      <c r="O137" s="14"/>
      <c r="P137" s="14">
        <f t="shared" si="20"/>
        <v>2</v>
      </c>
      <c r="Q137" s="14" t="str">
        <f t="shared" si="18"/>
        <v>En cours</v>
      </c>
      <c r="R137" s="27" t="str">
        <f t="shared" si="21"/>
        <v>non résolu</v>
      </c>
      <c r="S137" s="12">
        <f t="shared" ca="1" si="22"/>
        <v>43665</v>
      </c>
      <c r="T137" s="15" t="str">
        <f t="shared" ca="1" si="19"/>
        <v>30 et +</v>
      </c>
      <c r="U137" s="15" t="e">
        <f t="shared" si="23"/>
        <v>#VALUE!</v>
      </c>
      <c r="V137" s="15" t="str">
        <f t="shared" ca="1" si="24"/>
        <v>30 et +</v>
      </c>
      <c r="W137" s="16">
        <f t="shared" si="25"/>
        <v>1</v>
      </c>
    </row>
    <row r="138" spans="1:23" s="20" customFormat="1" x14ac:dyDescent="0.25">
      <c r="A138" s="11" t="s">
        <v>333</v>
      </c>
      <c r="B138" s="11" t="s">
        <v>12</v>
      </c>
      <c r="C138" s="11" t="str">
        <f>VLOOKUP(extract!A138,import!A:C,3,FALSE)</f>
        <v>En cours</v>
      </c>
      <c r="D138" s="3" t="s">
        <v>406</v>
      </c>
      <c r="E138" s="11" t="s">
        <v>406</v>
      </c>
      <c r="F138" s="11" t="s">
        <v>16</v>
      </c>
      <c r="G138" s="11" t="s">
        <v>26</v>
      </c>
      <c r="H138" s="11" t="s">
        <v>37</v>
      </c>
      <c r="I138" s="12">
        <f>VLOOKUP(extract!A138,import!A:J,9,FALSE)</f>
        <v>43587.905949074076</v>
      </c>
      <c r="J138" s="27">
        <v>43588.419606481482</v>
      </c>
      <c r="K138" s="49"/>
      <c r="L138" s="13" t="s">
        <v>406</v>
      </c>
      <c r="M138" s="11" t="s">
        <v>29</v>
      </c>
      <c r="N138" s="14"/>
      <c r="O138" s="14"/>
      <c r="P138" s="14">
        <f t="shared" si="20"/>
        <v>2</v>
      </c>
      <c r="Q138" s="14" t="str">
        <f t="shared" si="18"/>
        <v>En cours</v>
      </c>
      <c r="R138" s="27" t="str">
        <f t="shared" si="21"/>
        <v>non résolu</v>
      </c>
      <c r="S138" s="12">
        <f t="shared" ca="1" si="22"/>
        <v>43665</v>
      </c>
      <c r="T138" s="15" t="str">
        <f t="shared" ca="1" si="19"/>
        <v>30 et +</v>
      </c>
      <c r="U138" s="15" t="e">
        <f t="shared" si="23"/>
        <v>#VALUE!</v>
      </c>
      <c r="V138" s="15" t="str">
        <f t="shared" ca="1" si="24"/>
        <v>30 et +</v>
      </c>
      <c r="W138" s="16">
        <f t="shared" si="25"/>
        <v>1</v>
      </c>
    </row>
    <row r="139" spans="1:23" s="20" customFormat="1" x14ac:dyDescent="0.25">
      <c r="A139" s="11" t="s">
        <v>335</v>
      </c>
      <c r="B139" s="11" t="s">
        <v>12</v>
      </c>
      <c r="C139" s="11" t="str">
        <f>VLOOKUP(extract!A139,import!A:C,3,FALSE)</f>
        <v>En cours</v>
      </c>
      <c r="D139" s="3" t="s">
        <v>407</v>
      </c>
      <c r="E139" s="11" t="s">
        <v>406</v>
      </c>
      <c r="F139" s="11" t="s">
        <v>16</v>
      </c>
      <c r="G139" s="11" t="s">
        <v>26</v>
      </c>
      <c r="H139" s="11" t="s">
        <v>37</v>
      </c>
      <c r="I139" s="12">
        <f>VLOOKUP(extract!A139,import!A:J,9,FALSE)</f>
        <v>43588.734525462962</v>
      </c>
      <c r="J139" s="27">
        <v>43591.422766203701</v>
      </c>
      <c r="K139" s="49"/>
      <c r="L139" s="13" t="s">
        <v>406</v>
      </c>
      <c r="M139" s="11" t="s">
        <v>29</v>
      </c>
      <c r="N139" s="14"/>
      <c r="O139" s="14"/>
      <c r="P139" s="14">
        <f t="shared" si="20"/>
        <v>2</v>
      </c>
      <c r="Q139" s="14" t="str">
        <f t="shared" si="18"/>
        <v>En cours</v>
      </c>
      <c r="R139" s="27" t="str">
        <f t="shared" si="21"/>
        <v>non résolu</v>
      </c>
      <c r="S139" s="12">
        <f t="shared" ca="1" si="22"/>
        <v>43665</v>
      </c>
      <c r="T139" s="15" t="str">
        <f t="shared" ca="1" si="19"/>
        <v>30 et +</v>
      </c>
      <c r="U139" s="15" t="e">
        <f t="shared" si="23"/>
        <v>#VALUE!</v>
      </c>
      <c r="V139" s="15" t="str">
        <f t="shared" ca="1" si="24"/>
        <v>30 et +</v>
      </c>
      <c r="W139" s="16">
        <f t="shared" si="25"/>
        <v>1</v>
      </c>
    </row>
    <row r="140" spans="1:23" s="20" customFormat="1" x14ac:dyDescent="0.25">
      <c r="A140" s="11" t="s">
        <v>336</v>
      </c>
      <c r="B140" s="11" t="s">
        <v>12</v>
      </c>
      <c r="C140" s="11" t="str">
        <f>VLOOKUP(extract!A140,import!A:C,3,FALSE)</f>
        <v>En cours</v>
      </c>
      <c r="D140" s="3" t="s">
        <v>406</v>
      </c>
      <c r="E140" s="11" t="s">
        <v>406</v>
      </c>
      <c r="F140" s="11" t="s">
        <v>16</v>
      </c>
      <c r="G140" s="11" t="s">
        <v>26</v>
      </c>
      <c r="H140" s="11" t="s">
        <v>37</v>
      </c>
      <c r="I140" s="12">
        <f>VLOOKUP(extract!A140,import!A:J,9,FALSE)</f>
        <v>43589.48228009259</v>
      </c>
      <c r="J140" s="27">
        <v>43592.422766145835</v>
      </c>
      <c r="K140" s="49"/>
      <c r="L140" s="13" t="s">
        <v>406</v>
      </c>
      <c r="M140" s="11" t="s">
        <v>29</v>
      </c>
      <c r="N140" s="14"/>
      <c r="O140" s="14"/>
      <c r="P140" s="14">
        <f t="shared" si="20"/>
        <v>2</v>
      </c>
      <c r="Q140" s="14" t="str">
        <f t="shared" si="18"/>
        <v>En cours</v>
      </c>
      <c r="R140" s="27" t="str">
        <f t="shared" si="21"/>
        <v>non résolu</v>
      </c>
      <c r="S140" s="12">
        <f t="shared" ca="1" si="22"/>
        <v>43665</v>
      </c>
      <c r="T140" s="15" t="str">
        <f t="shared" ca="1" si="19"/>
        <v>30 et +</v>
      </c>
      <c r="U140" s="15" t="e">
        <f t="shared" si="23"/>
        <v>#VALUE!</v>
      </c>
      <c r="V140" s="15" t="str">
        <f t="shared" ca="1" si="24"/>
        <v>30 et +</v>
      </c>
      <c r="W140" s="16">
        <f t="shared" si="25"/>
        <v>1</v>
      </c>
    </row>
    <row r="141" spans="1:23" s="20" customFormat="1" x14ac:dyDescent="0.25">
      <c r="A141" s="11" t="s">
        <v>338</v>
      </c>
      <c r="B141" s="11" t="s">
        <v>12</v>
      </c>
      <c r="C141" s="11" t="str">
        <f>VLOOKUP(extract!A141,import!A:C,3,FALSE)</f>
        <v>En cours</v>
      </c>
      <c r="D141" s="3" t="s">
        <v>406</v>
      </c>
      <c r="E141" s="11" t="s">
        <v>406</v>
      </c>
      <c r="F141" s="11" t="s">
        <v>16</v>
      </c>
      <c r="G141" s="11" t="s">
        <v>26</v>
      </c>
      <c r="H141" s="11" t="s">
        <v>37</v>
      </c>
      <c r="I141" s="12">
        <f>VLOOKUP(extract!A141,import!A:J,9,FALSE)</f>
        <v>43590.575266203705</v>
      </c>
      <c r="J141" s="27">
        <v>43593.422766145835</v>
      </c>
      <c r="K141" s="49"/>
      <c r="L141" s="13" t="s">
        <v>406</v>
      </c>
      <c r="M141" s="11" t="s">
        <v>29</v>
      </c>
      <c r="N141" s="14"/>
      <c r="O141" s="14"/>
      <c r="P141" s="14">
        <f t="shared" si="20"/>
        <v>2</v>
      </c>
      <c r="Q141" s="14" t="str">
        <f t="shared" si="18"/>
        <v>En cours</v>
      </c>
      <c r="R141" s="27" t="str">
        <f t="shared" si="21"/>
        <v>non résolu</v>
      </c>
      <c r="S141" s="12">
        <f t="shared" ca="1" si="22"/>
        <v>43665</v>
      </c>
      <c r="T141" s="15" t="str">
        <f t="shared" ca="1" si="19"/>
        <v>30 et +</v>
      </c>
      <c r="U141" s="15" t="e">
        <f t="shared" si="23"/>
        <v>#VALUE!</v>
      </c>
      <c r="V141" s="15" t="str">
        <f t="shared" ca="1" si="24"/>
        <v>30 et +</v>
      </c>
      <c r="W141" s="16">
        <f t="shared" si="25"/>
        <v>1</v>
      </c>
    </row>
    <row r="142" spans="1:23" s="20" customFormat="1" x14ac:dyDescent="0.25">
      <c r="A142" s="11" t="s">
        <v>340</v>
      </c>
      <c r="B142" s="11" t="s">
        <v>12</v>
      </c>
      <c r="C142" s="11" t="str">
        <f>VLOOKUP(extract!A142,import!A:C,3,FALSE)</f>
        <v>En cours</v>
      </c>
      <c r="D142" s="3" t="s">
        <v>406</v>
      </c>
      <c r="E142" s="11" t="s">
        <v>406</v>
      </c>
      <c r="F142" s="11" t="s">
        <v>16</v>
      </c>
      <c r="G142" s="11" t="s">
        <v>26</v>
      </c>
      <c r="H142" s="11" t="s">
        <v>37</v>
      </c>
      <c r="I142" s="12">
        <f>VLOOKUP(extract!A142,import!A:J,9,FALSE)</f>
        <v>43590.911296296297</v>
      </c>
      <c r="J142" s="27">
        <v>43594.422766145835</v>
      </c>
      <c r="K142" s="49"/>
      <c r="L142" s="13" t="s">
        <v>406</v>
      </c>
      <c r="M142" s="11" t="s">
        <v>29</v>
      </c>
      <c r="N142" s="14"/>
      <c r="O142" s="14"/>
      <c r="P142" s="14">
        <f t="shared" si="20"/>
        <v>2</v>
      </c>
      <c r="Q142" s="14" t="str">
        <f t="shared" si="18"/>
        <v>En cours</v>
      </c>
      <c r="R142" s="27" t="str">
        <f t="shared" si="21"/>
        <v>non résolu</v>
      </c>
      <c r="S142" s="12">
        <f t="shared" ca="1" si="22"/>
        <v>43665</v>
      </c>
      <c r="T142" s="15" t="str">
        <f t="shared" ca="1" si="19"/>
        <v>30 et +</v>
      </c>
      <c r="U142" s="15" t="e">
        <f t="shared" si="23"/>
        <v>#VALUE!</v>
      </c>
      <c r="V142" s="15" t="str">
        <f t="shared" ca="1" si="24"/>
        <v>30 et +</v>
      </c>
      <c r="W142" s="16">
        <f t="shared" si="25"/>
        <v>1</v>
      </c>
    </row>
    <row r="143" spans="1:23" s="20" customFormat="1" x14ac:dyDescent="0.25">
      <c r="A143" s="21" t="s">
        <v>342</v>
      </c>
      <c r="B143" s="21" t="s">
        <v>12</v>
      </c>
      <c r="C143" s="11" t="str">
        <f>VLOOKUP(extract!A143,import!A:C,3,FALSE)</f>
        <v>En cours</v>
      </c>
      <c r="D143" s="3" t="s">
        <v>406</v>
      </c>
      <c r="E143" s="11" t="s">
        <v>406</v>
      </c>
      <c r="F143" s="21" t="s">
        <v>16</v>
      </c>
      <c r="G143" s="21" t="s">
        <v>26</v>
      </c>
      <c r="H143" s="21" t="s">
        <v>37</v>
      </c>
      <c r="I143" s="12">
        <f>VLOOKUP(extract!A143,import!A:J,9,FALSE)</f>
        <v>43591.55400462963</v>
      </c>
      <c r="J143" s="27">
        <v>43591.568553240744</v>
      </c>
      <c r="K143" s="49"/>
      <c r="L143" s="13" t="s">
        <v>406</v>
      </c>
      <c r="M143" s="21" t="s">
        <v>29</v>
      </c>
      <c r="N143" s="15"/>
      <c r="O143" s="15"/>
      <c r="P143" s="14">
        <f t="shared" si="20"/>
        <v>2</v>
      </c>
      <c r="Q143" s="14" t="str">
        <f t="shared" si="18"/>
        <v>En cours</v>
      </c>
      <c r="R143" s="27" t="str">
        <f t="shared" si="21"/>
        <v>non résolu</v>
      </c>
      <c r="S143" s="12">
        <f t="shared" ca="1" si="22"/>
        <v>43665</v>
      </c>
      <c r="T143" s="15" t="str">
        <f t="shared" ca="1" si="19"/>
        <v>30 et +</v>
      </c>
      <c r="U143" s="15" t="e">
        <f t="shared" si="23"/>
        <v>#VALUE!</v>
      </c>
      <c r="V143" s="15" t="str">
        <f t="shared" ca="1" si="24"/>
        <v>30 et +</v>
      </c>
      <c r="W143" s="16">
        <f t="shared" si="25"/>
        <v>1</v>
      </c>
    </row>
    <row r="144" spans="1:23" x14ac:dyDescent="0.25">
      <c r="K144" s="49"/>
    </row>
    <row r="145" spans="11:11" x14ac:dyDescent="0.25">
      <c r="K145" s="49"/>
    </row>
    <row r="146" spans="11:11" x14ac:dyDescent="0.25">
      <c r="K146" s="49"/>
    </row>
    <row r="147" spans="11:11" x14ac:dyDescent="0.25">
      <c r="K147" s="49"/>
    </row>
    <row r="148" spans="11:11" x14ac:dyDescent="0.25">
      <c r="K148" s="49"/>
    </row>
    <row r="149" spans="11:11" x14ac:dyDescent="0.25">
      <c r="K149" s="49"/>
    </row>
    <row r="150" spans="11:11" x14ac:dyDescent="0.25">
      <c r="K150" s="49"/>
    </row>
    <row r="151" spans="11:11" x14ac:dyDescent="0.25">
      <c r="K151" s="49"/>
    </row>
    <row r="152" spans="11:11" x14ac:dyDescent="0.25">
      <c r="K152" s="49"/>
    </row>
    <row r="153" spans="11:11" x14ac:dyDescent="0.25">
      <c r="K153" s="49"/>
    </row>
    <row r="154" spans="11:11" x14ac:dyDescent="0.25">
      <c r="K154" s="49"/>
    </row>
    <row r="155" spans="11:11" x14ac:dyDescent="0.25">
      <c r="K155" s="49"/>
    </row>
    <row r="156" spans="11:11" x14ac:dyDescent="0.25">
      <c r="K156" s="49"/>
    </row>
    <row r="157" spans="11:11" x14ac:dyDescent="0.25">
      <c r="K157" s="49"/>
    </row>
    <row r="158" spans="11:11" x14ac:dyDescent="0.25">
      <c r="K158" s="49"/>
    </row>
    <row r="159" spans="11:11" x14ac:dyDescent="0.25">
      <c r="K159" s="49"/>
    </row>
    <row r="160" spans="11:11" x14ac:dyDescent="0.25">
      <c r="K160" s="49"/>
    </row>
    <row r="161" spans="11:11" x14ac:dyDescent="0.25">
      <c r="K161" s="49"/>
    </row>
    <row r="162" spans="11:11" x14ac:dyDescent="0.25">
      <c r="K162" s="49"/>
    </row>
    <row r="163" spans="11:11" x14ac:dyDescent="0.25">
      <c r="K163" s="49"/>
    </row>
    <row r="164" spans="11:11" x14ac:dyDescent="0.25">
      <c r="K164" s="49"/>
    </row>
    <row r="165" spans="11:11" x14ac:dyDescent="0.25">
      <c r="K165" s="49"/>
    </row>
    <row r="166" spans="11:11" x14ac:dyDescent="0.25">
      <c r="K166" s="49"/>
    </row>
    <row r="167" spans="11:11" x14ac:dyDescent="0.25">
      <c r="K167" s="49"/>
    </row>
    <row r="168" spans="11:11" x14ac:dyDescent="0.25">
      <c r="K168" s="49"/>
    </row>
    <row r="169" spans="11:11" x14ac:dyDescent="0.25">
      <c r="K169" s="49"/>
    </row>
    <row r="170" spans="11:11" x14ac:dyDescent="0.25">
      <c r="K170" s="49"/>
    </row>
    <row r="171" spans="11:11" x14ac:dyDescent="0.25">
      <c r="K171" s="49"/>
    </row>
    <row r="172" spans="11:11" x14ac:dyDescent="0.25">
      <c r="K172" s="49"/>
    </row>
    <row r="173" spans="11:11" x14ac:dyDescent="0.25">
      <c r="K173" s="49"/>
    </row>
    <row r="174" spans="11:11" x14ac:dyDescent="0.25">
      <c r="K174" s="49"/>
    </row>
    <row r="175" spans="11:11" x14ac:dyDescent="0.25">
      <c r="K175" s="49"/>
    </row>
    <row r="176" spans="11:11" x14ac:dyDescent="0.25">
      <c r="K176" s="49"/>
    </row>
    <row r="177" spans="11:11" x14ac:dyDescent="0.25">
      <c r="K177" s="49"/>
    </row>
    <row r="178" spans="11:11" x14ac:dyDescent="0.25">
      <c r="K178" s="49"/>
    </row>
    <row r="179" spans="11:11" x14ac:dyDescent="0.25">
      <c r="K179" s="49"/>
    </row>
    <row r="180" spans="11:11" x14ac:dyDescent="0.25">
      <c r="K180" s="49"/>
    </row>
    <row r="181" spans="11:11" x14ac:dyDescent="0.25">
      <c r="K181" s="49"/>
    </row>
    <row r="182" spans="11:11" x14ac:dyDescent="0.25">
      <c r="K182" s="49"/>
    </row>
    <row r="183" spans="11:11" x14ac:dyDescent="0.25">
      <c r="K183" s="49"/>
    </row>
    <row r="184" spans="11:11" x14ac:dyDescent="0.25">
      <c r="K184" s="49"/>
    </row>
    <row r="185" spans="11:11" x14ac:dyDescent="0.25">
      <c r="K185" s="49"/>
    </row>
    <row r="186" spans="11:11" x14ac:dyDescent="0.25">
      <c r="K186" s="49"/>
    </row>
    <row r="187" spans="11:11" x14ac:dyDescent="0.25">
      <c r="K187" s="49"/>
    </row>
    <row r="188" spans="11:11" x14ac:dyDescent="0.25">
      <c r="K188" s="49"/>
    </row>
    <row r="189" spans="11:11" x14ac:dyDescent="0.25">
      <c r="K189" s="49"/>
    </row>
    <row r="190" spans="11:11" x14ac:dyDescent="0.25">
      <c r="K190" s="49"/>
    </row>
    <row r="191" spans="11:11" x14ac:dyDescent="0.25">
      <c r="K191" s="49"/>
    </row>
    <row r="192" spans="11:11" x14ac:dyDescent="0.25">
      <c r="K192" s="49"/>
    </row>
    <row r="193" spans="11:11" x14ac:dyDescent="0.25">
      <c r="K193" s="49"/>
    </row>
    <row r="194" spans="11:11" x14ac:dyDescent="0.25">
      <c r="K194" s="49"/>
    </row>
    <row r="195" spans="11:11" x14ac:dyDescent="0.25">
      <c r="K195" s="49"/>
    </row>
    <row r="196" spans="11:11" x14ac:dyDescent="0.25">
      <c r="K196" s="49"/>
    </row>
    <row r="197" spans="11:11" x14ac:dyDescent="0.25">
      <c r="K197" s="49"/>
    </row>
    <row r="198" spans="11:11" x14ac:dyDescent="0.25">
      <c r="K198" s="49"/>
    </row>
    <row r="199" spans="11:11" x14ac:dyDescent="0.25">
      <c r="K199" s="49"/>
    </row>
    <row r="200" spans="11:11" x14ac:dyDescent="0.25">
      <c r="K200" s="49"/>
    </row>
    <row r="201" spans="11:11" x14ac:dyDescent="0.25">
      <c r="K201" s="49"/>
    </row>
    <row r="202" spans="11:11" x14ac:dyDescent="0.25">
      <c r="K202" s="49"/>
    </row>
    <row r="203" spans="11:11" x14ac:dyDescent="0.25">
      <c r="K203" s="49"/>
    </row>
    <row r="204" spans="11:11" x14ac:dyDescent="0.25">
      <c r="K204" s="49"/>
    </row>
    <row r="205" spans="11:11" x14ac:dyDescent="0.25">
      <c r="K205" s="49"/>
    </row>
    <row r="206" spans="11:11" x14ac:dyDescent="0.25">
      <c r="K206" s="49"/>
    </row>
    <row r="207" spans="11:11" x14ac:dyDescent="0.25">
      <c r="K207" s="49"/>
    </row>
    <row r="208" spans="11:11" x14ac:dyDescent="0.25">
      <c r="K208" s="49"/>
    </row>
    <row r="209" spans="11:11" x14ac:dyDescent="0.25">
      <c r="K209" s="49"/>
    </row>
    <row r="210" spans="11:11" x14ac:dyDescent="0.25">
      <c r="K210" s="49"/>
    </row>
    <row r="211" spans="11:11" x14ac:dyDescent="0.25">
      <c r="K211" s="49"/>
    </row>
    <row r="212" spans="11:11" x14ac:dyDescent="0.25">
      <c r="K212" s="49"/>
    </row>
    <row r="213" spans="11:11" x14ac:dyDescent="0.25">
      <c r="K213" s="49"/>
    </row>
    <row r="214" spans="11:11" x14ac:dyDescent="0.25">
      <c r="K214" s="49"/>
    </row>
    <row r="215" spans="11:11" x14ac:dyDescent="0.25">
      <c r="K215" s="49"/>
    </row>
    <row r="216" spans="11:11" x14ac:dyDescent="0.25">
      <c r="K216" s="49"/>
    </row>
    <row r="217" spans="11:11" x14ac:dyDescent="0.25">
      <c r="K217" s="49"/>
    </row>
    <row r="218" spans="11:11" x14ac:dyDescent="0.25">
      <c r="K218" s="49"/>
    </row>
    <row r="219" spans="11:11" x14ac:dyDescent="0.25">
      <c r="K219" s="49"/>
    </row>
    <row r="220" spans="11:11" x14ac:dyDescent="0.25">
      <c r="K220" s="49"/>
    </row>
    <row r="221" spans="11:11" x14ac:dyDescent="0.25">
      <c r="K221" s="49"/>
    </row>
    <row r="222" spans="11:11" x14ac:dyDescent="0.25">
      <c r="K222" s="49"/>
    </row>
    <row r="223" spans="11:11" x14ac:dyDescent="0.25">
      <c r="K223" s="49"/>
    </row>
    <row r="224" spans="11:11" x14ac:dyDescent="0.25">
      <c r="K224" s="49"/>
    </row>
    <row r="225" spans="11:11" x14ac:dyDescent="0.25">
      <c r="K225" s="49"/>
    </row>
    <row r="226" spans="11:11" x14ac:dyDescent="0.25">
      <c r="K226" s="49"/>
    </row>
    <row r="227" spans="11:11" x14ac:dyDescent="0.25">
      <c r="K227" s="49"/>
    </row>
    <row r="228" spans="11:11" x14ac:dyDescent="0.25">
      <c r="K228" s="49"/>
    </row>
    <row r="229" spans="11:11" x14ac:dyDescent="0.25">
      <c r="K229" s="49"/>
    </row>
    <row r="230" spans="11:11" x14ac:dyDescent="0.25">
      <c r="K230" s="49"/>
    </row>
    <row r="231" spans="11:11" x14ac:dyDescent="0.25">
      <c r="K231" s="49"/>
    </row>
    <row r="232" spans="11:11" x14ac:dyDescent="0.25">
      <c r="K232" s="49"/>
    </row>
    <row r="233" spans="11:11" x14ac:dyDescent="0.25">
      <c r="K233" s="49"/>
    </row>
    <row r="234" spans="11:11" x14ac:dyDescent="0.25">
      <c r="K234" s="49"/>
    </row>
    <row r="235" spans="11:11" x14ac:dyDescent="0.25">
      <c r="K235" s="49"/>
    </row>
    <row r="236" spans="11:11" x14ac:dyDescent="0.25">
      <c r="K236" s="49"/>
    </row>
    <row r="237" spans="11:11" x14ac:dyDescent="0.25">
      <c r="K237" s="49"/>
    </row>
    <row r="238" spans="11:11" x14ac:dyDescent="0.25">
      <c r="K238" s="49"/>
    </row>
    <row r="239" spans="11:11" x14ac:dyDescent="0.25">
      <c r="K239" s="49"/>
    </row>
    <row r="240" spans="11:11" x14ac:dyDescent="0.25">
      <c r="K240" s="49"/>
    </row>
    <row r="241" spans="11:11" x14ac:dyDescent="0.25">
      <c r="K241" s="49"/>
    </row>
    <row r="242" spans="11:11" x14ac:dyDescent="0.25">
      <c r="K242" s="49"/>
    </row>
    <row r="243" spans="11:11" x14ac:dyDescent="0.25">
      <c r="K243" s="49"/>
    </row>
    <row r="244" spans="11:11" x14ac:dyDescent="0.25">
      <c r="K244" s="49"/>
    </row>
    <row r="245" spans="11:11" x14ac:dyDescent="0.25">
      <c r="K245" s="49"/>
    </row>
    <row r="246" spans="11:11" x14ac:dyDescent="0.25">
      <c r="K246" s="49"/>
    </row>
    <row r="247" spans="11:11" x14ac:dyDescent="0.25">
      <c r="K247" s="49"/>
    </row>
    <row r="248" spans="11:11" x14ac:dyDescent="0.25">
      <c r="K248" s="49"/>
    </row>
    <row r="249" spans="11:11" x14ac:dyDescent="0.25">
      <c r="K249" s="49"/>
    </row>
    <row r="250" spans="11:11" x14ac:dyDescent="0.25">
      <c r="K250" s="49"/>
    </row>
    <row r="251" spans="11:11" x14ac:dyDescent="0.25">
      <c r="K251" s="49"/>
    </row>
    <row r="252" spans="11:11" x14ac:dyDescent="0.25">
      <c r="K252" s="49"/>
    </row>
    <row r="253" spans="11:11" x14ac:dyDescent="0.25">
      <c r="K253" s="49"/>
    </row>
    <row r="254" spans="11:11" x14ac:dyDescent="0.25">
      <c r="K254" s="49"/>
    </row>
    <row r="255" spans="11:11" x14ac:dyDescent="0.25">
      <c r="K255" s="49"/>
    </row>
    <row r="256" spans="11:11" x14ac:dyDescent="0.25">
      <c r="K256" s="49"/>
    </row>
    <row r="257" spans="11:11" x14ac:dyDescent="0.25">
      <c r="K257" s="49"/>
    </row>
    <row r="258" spans="11:11" x14ac:dyDescent="0.25">
      <c r="K258" s="49"/>
    </row>
    <row r="259" spans="11:11" x14ac:dyDescent="0.25">
      <c r="K259" s="49"/>
    </row>
    <row r="260" spans="11:11" x14ac:dyDescent="0.25">
      <c r="K260" s="49"/>
    </row>
    <row r="261" spans="11:11" x14ac:dyDescent="0.25">
      <c r="K261" s="49"/>
    </row>
    <row r="262" spans="11:11" x14ac:dyDescent="0.25">
      <c r="K262" s="49"/>
    </row>
    <row r="263" spans="11:11" x14ac:dyDescent="0.25">
      <c r="K263" s="49"/>
    </row>
    <row r="264" spans="11:11" x14ac:dyDescent="0.25">
      <c r="K264" s="49"/>
    </row>
    <row r="265" spans="11:11" x14ac:dyDescent="0.25">
      <c r="K265" s="49"/>
    </row>
    <row r="266" spans="11:11" x14ac:dyDescent="0.25">
      <c r="K266" s="49"/>
    </row>
    <row r="267" spans="11:11" x14ac:dyDescent="0.25">
      <c r="K267" s="49"/>
    </row>
    <row r="268" spans="11:11" x14ac:dyDescent="0.25">
      <c r="K268" s="49"/>
    </row>
    <row r="269" spans="11:11" x14ac:dyDescent="0.25">
      <c r="K269" s="49"/>
    </row>
    <row r="270" spans="11:11" x14ac:dyDescent="0.25">
      <c r="K270" s="49"/>
    </row>
    <row r="271" spans="11:11" x14ac:dyDescent="0.25">
      <c r="K271" s="49"/>
    </row>
    <row r="272" spans="11:11" x14ac:dyDescent="0.25">
      <c r="K272" s="49"/>
    </row>
    <row r="273" spans="11:11" x14ac:dyDescent="0.25">
      <c r="K273" s="49"/>
    </row>
    <row r="274" spans="11:11" x14ac:dyDescent="0.25">
      <c r="K274" s="49"/>
    </row>
    <row r="275" spans="11:11" x14ac:dyDescent="0.25">
      <c r="K275" s="49"/>
    </row>
    <row r="276" spans="11:11" x14ac:dyDescent="0.25">
      <c r="K276" s="49"/>
    </row>
    <row r="277" spans="11:11" x14ac:dyDescent="0.25">
      <c r="K277" s="49"/>
    </row>
    <row r="278" spans="11:11" x14ac:dyDescent="0.25">
      <c r="K278" s="49"/>
    </row>
    <row r="279" spans="11:11" x14ac:dyDescent="0.25">
      <c r="K279" s="49"/>
    </row>
    <row r="280" spans="11:11" x14ac:dyDescent="0.25">
      <c r="K280" s="49"/>
    </row>
    <row r="281" spans="11:11" x14ac:dyDescent="0.25">
      <c r="K281" s="49"/>
    </row>
    <row r="282" spans="11:11" x14ac:dyDescent="0.25">
      <c r="K282" s="49"/>
    </row>
    <row r="283" spans="11:11" x14ac:dyDescent="0.25">
      <c r="K283" s="50"/>
    </row>
    <row r="284" spans="11:11" x14ac:dyDescent="0.25">
      <c r="K284" s="50"/>
    </row>
  </sheetData>
  <autoFilter ref="A1:W416"/>
  <sortState ref="A2:N122">
    <sortCondition ref="A2:A122"/>
  </sortState>
  <conditionalFormatting sqref="D1:D1048576">
    <cfRule type="containsBlanks" dxfId="4" priority="2">
      <formula>LEN(TRIM(D1))=0</formula>
    </cfRule>
    <cfRule type="containsText" dxfId="3" priority="3" operator="containsText" text="Transféré">
      <formula>NOT(ISERROR(SEARCH("Transféré",D1)))</formula>
    </cfRule>
  </conditionalFormatting>
  <conditionalFormatting sqref="M1:M1048576">
    <cfRule type="containsText" dxfId="2" priority="1" operator="containsText" text="oui">
      <formula>NOT(ISERROR(SEARCH("oui",M1)))</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65"/>
  <sheetViews>
    <sheetView showGridLines="0" tabSelected="1" zoomScale="70" zoomScaleNormal="70" workbookViewId="0">
      <selection activeCell="Q11" sqref="Q11"/>
    </sheetView>
  </sheetViews>
  <sheetFormatPr baseColWidth="10" defaultRowHeight="15.75" x14ac:dyDescent="0.25"/>
  <cols>
    <col min="1" max="1" width="50.85546875" style="34" customWidth="1"/>
    <col min="2" max="2" width="4.7109375" customWidth="1"/>
    <col min="3" max="3" width="19.42578125" style="20" customWidth="1"/>
    <col min="4" max="4" width="13.7109375" customWidth="1"/>
    <col min="16" max="16" width="3.85546875" style="66" customWidth="1"/>
    <col min="17" max="17" width="50.42578125" style="70" customWidth="1"/>
    <col min="18" max="18" width="4.140625" customWidth="1"/>
    <col min="19" max="19" width="19.42578125" style="20" customWidth="1"/>
    <col min="20" max="20" width="13.7109375" customWidth="1"/>
    <col min="32" max="32" width="4.140625" customWidth="1"/>
    <col min="33" max="33" width="19.42578125" style="20" customWidth="1"/>
    <col min="34" max="34" width="13.7109375" customWidth="1"/>
  </cols>
  <sheetData>
    <row r="1" spans="1:45" ht="6" customHeight="1" x14ac:dyDescent="0.25"/>
    <row r="2" spans="1:45" ht="18.75" x14ac:dyDescent="0.25">
      <c r="A2" s="34" t="s">
        <v>376</v>
      </c>
      <c r="Q2" s="71" t="s">
        <v>408</v>
      </c>
    </row>
    <row r="3" spans="1:45" ht="18.75" x14ac:dyDescent="0.25">
      <c r="Q3" s="71"/>
    </row>
    <row r="4" spans="1:45" thickBot="1" x14ac:dyDescent="0.3">
      <c r="A4" s="35" t="s">
        <v>377</v>
      </c>
      <c r="D4" s="37"/>
      <c r="E4" s="37"/>
      <c r="F4" s="37"/>
      <c r="G4" s="37"/>
      <c r="H4" s="37"/>
      <c r="I4" s="37"/>
      <c r="J4" s="37"/>
      <c r="K4" s="37"/>
      <c r="L4" s="37"/>
      <c r="M4" s="37"/>
      <c r="N4" s="37"/>
      <c r="O4" s="37"/>
      <c r="Q4" s="72" t="s">
        <v>412</v>
      </c>
      <c r="T4" s="37"/>
      <c r="U4" s="37"/>
      <c r="V4" s="37"/>
      <c r="W4" s="37"/>
      <c r="X4" s="37"/>
      <c r="Y4" s="37"/>
      <c r="Z4" s="37"/>
      <c r="AA4" s="37"/>
      <c r="AB4" s="37"/>
      <c r="AC4" s="37"/>
      <c r="AD4" s="37"/>
      <c r="AE4" s="37"/>
      <c r="AH4" s="37"/>
      <c r="AI4" s="37"/>
      <c r="AJ4" s="37"/>
      <c r="AK4" s="37"/>
      <c r="AL4" s="37"/>
      <c r="AM4" s="37"/>
      <c r="AN4" s="37"/>
      <c r="AO4" s="37"/>
      <c r="AP4" s="37"/>
      <c r="AQ4" s="37"/>
      <c r="AR4" s="37"/>
      <c r="AS4" s="37"/>
    </row>
    <row r="5" spans="1:45" thickBot="1" x14ac:dyDescent="0.3">
      <c r="A5" s="88" t="s">
        <v>394</v>
      </c>
      <c r="C5" s="55"/>
      <c r="D5" s="48">
        <v>43466</v>
      </c>
      <c r="E5" s="48">
        <v>43497</v>
      </c>
      <c r="F5" s="48">
        <v>43525</v>
      </c>
      <c r="G5" s="48">
        <v>43556</v>
      </c>
      <c r="H5" s="48">
        <v>43586</v>
      </c>
      <c r="I5" s="48">
        <v>43617</v>
      </c>
      <c r="J5" s="48">
        <v>43647</v>
      </c>
      <c r="K5" s="48">
        <v>43678</v>
      </c>
      <c r="L5" s="48">
        <v>43709</v>
      </c>
      <c r="M5" s="48">
        <v>43739</v>
      </c>
      <c r="N5" s="48">
        <v>43770</v>
      </c>
      <c r="O5" s="67">
        <v>43800</v>
      </c>
      <c r="S5" s="55"/>
      <c r="T5" s="48">
        <v>43466</v>
      </c>
      <c r="U5" s="48">
        <v>43497</v>
      </c>
      <c r="V5" s="48">
        <v>43525</v>
      </c>
      <c r="W5" s="48">
        <v>43556</v>
      </c>
      <c r="X5" s="48">
        <v>43586</v>
      </c>
      <c r="Y5" s="48">
        <v>43617</v>
      </c>
      <c r="Z5" s="48">
        <v>43647</v>
      </c>
      <c r="AA5" s="48">
        <v>43678</v>
      </c>
      <c r="AB5" s="48">
        <v>43709</v>
      </c>
      <c r="AC5" s="48">
        <v>43739</v>
      </c>
      <c r="AD5" s="48">
        <v>43770</v>
      </c>
      <c r="AE5" s="67">
        <v>43800</v>
      </c>
      <c r="AG5" s="55"/>
      <c r="AH5" s="48">
        <v>43466</v>
      </c>
      <c r="AI5" s="48">
        <v>43497</v>
      </c>
      <c r="AJ5" s="48">
        <v>43525</v>
      </c>
      <c r="AK5" s="48">
        <v>43556</v>
      </c>
      <c r="AL5" s="48">
        <v>43586</v>
      </c>
      <c r="AM5" s="48">
        <v>43617</v>
      </c>
      <c r="AN5" s="48">
        <v>43647</v>
      </c>
      <c r="AO5" s="48">
        <v>43678</v>
      </c>
      <c r="AP5" s="48">
        <v>43709</v>
      </c>
      <c r="AQ5" s="48">
        <v>43739</v>
      </c>
      <c r="AR5" s="48">
        <v>43770</v>
      </c>
      <c r="AS5" s="67">
        <v>43800</v>
      </c>
    </row>
    <row r="6" spans="1:45" ht="15" x14ac:dyDescent="0.25">
      <c r="A6" s="88"/>
      <c r="B6" s="36"/>
      <c r="C6" s="56" t="s">
        <v>388</v>
      </c>
      <c r="D6" s="38">
        <f>SUMPRODUCT((extract!$J$2:$J$2000&lt;=EOMONTH(D$5,0))*(extract!$B$2:$B$2000=$C6)*1)</f>
        <v>0</v>
      </c>
      <c r="E6" s="40">
        <f>SUMPRODUCT((extract!$J$2:$J$2000&lt;=EOMONTH(E$5,0))*(extract!$B$2:$B$2000=$C6)*1)</f>
        <v>0</v>
      </c>
      <c r="F6" s="38">
        <f>SUMPRODUCT((extract!$J$2:$J$2000&lt;=EOMONTH(F$5,0))*(extract!$B$2:$B$2000=$C6)*1)</f>
        <v>0</v>
      </c>
      <c r="G6" s="40">
        <f>SUMPRODUCT((extract!$J$2:$J$2000&lt;=EOMONTH(G$5,0))*(extract!$B$2:$B$2000=$C6)*1)</f>
        <v>0</v>
      </c>
      <c r="H6" s="38">
        <f>SUMPRODUCT((extract!$J$2:$J$2000&lt;=EOMONTH(H$5,0))*(extract!$B$2:$B$2000=$C6)*1)</f>
        <v>0</v>
      </c>
      <c r="I6" s="40">
        <f>SUMPRODUCT((extract!$J$2:$J$2000&lt;=EOMONTH(I$5,0))*(extract!$B$2:$B$2000=$C6)*1)</f>
        <v>0</v>
      </c>
      <c r="J6" s="38">
        <f>SUMPRODUCT((extract!$J$2:$J$2000&lt;=EOMONTH(J$5,0))*(extract!$B$2:$B$2000=$C6)*1)</f>
        <v>0</v>
      </c>
      <c r="K6" s="40">
        <f>SUMPRODUCT((extract!$J$2:$J$2000&lt;=EOMONTH(K$5,0))*(extract!$B$2:$B$2000=$C6)*1)</f>
        <v>0</v>
      </c>
      <c r="L6" s="38">
        <f>SUMPRODUCT((extract!$J$2:$J$2000&lt;=EOMONTH(L$5,0))*(extract!$B$2:$B$2000=$C6)*1)</f>
        <v>0</v>
      </c>
      <c r="M6" s="40">
        <f>SUMPRODUCT((extract!$J$2:$J$2000&lt;=EOMONTH(M$5,0))*(extract!$B$2:$B$2000=$C6)*1)</f>
        <v>0</v>
      </c>
      <c r="N6" s="38">
        <f>SUMPRODUCT((extract!$J$2:$J$2000&lt;=EOMONTH(N$5,0))*(extract!$B$2:$B$2000=$C6)*1)</f>
        <v>0</v>
      </c>
      <c r="O6" s="45">
        <f>SUMPRODUCT((extract!$J$2:$J$2000&lt;=EOMONTH(O$5,0))*(extract!$B$2:$B$2000=$C6)*1)</f>
        <v>0</v>
      </c>
      <c r="Q6" s="87" t="s">
        <v>409</v>
      </c>
      <c r="R6" s="36"/>
      <c r="S6" s="56" t="s">
        <v>388</v>
      </c>
      <c r="T6" s="38">
        <v>0</v>
      </c>
      <c r="U6" s="40">
        <v>0</v>
      </c>
      <c r="V6" s="38"/>
      <c r="W6" s="40"/>
      <c r="X6" s="38"/>
      <c r="Y6" s="40"/>
      <c r="Z6" s="38"/>
      <c r="AA6" s="40"/>
      <c r="AB6" s="38"/>
      <c r="AC6" s="40"/>
      <c r="AD6" s="38"/>
      <c r="AE6" s="45"/>
      <c r="AF6" s="36"/>
      <c r="AG6" s="56" t="s">
        <v>388</v>
      </c>
      <c r="AH6" s="38">
        <f>D6-T6</f>
        <v>0</v>
      </c>
      <c r="AI6" s="40">
        <f t="shared" ref="AI6:AS9" si="0">E6-U6</f>
        <v>0</v>
      </c>
      <c r="AJ6" s="38">
        <f t="shared" si="0"/>
        <v>0</v>
      </c>
      <c r="AK6" s="40">
        <f t="shared" si="0"/>
        <v>0</v>
      </c>
      <c r="AL6" s="38">
        <f t="shared" si="0"/>
        <v>0</v>
      </c>
      <c r="AM6" s="40">
        <f t="shared" si="0"/>
        <v>0</v>
      </c>
      <c r="AN6" s="38">
        <f t="shared" si="0"/>
        <v>0</v>
      </c>
      <c r="AO6" s="40">
        <f t="shared" si="0"/>
        <v>0</v>
      </c>
      <c r="AP6" s="38">
        <f t="shared" si="0"/>
        <v>0</v>
      </c>
      <c r="AQ6" s="40">
        <f t="shared" si="0"/>
        <v>0</v>
      </c>
      <c r="AR6" s="38">
        <f t="shared" si="0"/>
        <v>0</v>
      </c>
      <c r="AS6" s="45">
        <f t="shared" si="0"/>
        <v>0</v>
      </c>
    </row>
    <row r="7" spans="1:45" ht="15" x14ac:dyDescent="0.25">
      <c r="A7" s="88"/>
      <c r="B7" s="36"/>
      <c r="C7" s="20" t="s">
        <v>198</v>
      </c>
      <c r="D7">
        <f>SUMPRODUCT((extract!$J$2:$J$2000&lt;=EOMONTH(D$5,0))*(extract!$B$2:$B$2000=$C7)*1)</f>
        <v>0</v>
      </c>
      <c r="E7" s="41">
        <f>SUMPRODUCT((extract!$J$2:$J$2000&lt;=EOMONTH(E$5,0))*(extract!$B$2:$B$2000=$C7)*1)</f>
        <v>1</v>
      </c>
      <c r="F7">
        <f>SUMPRODUCT((extract!$J$2:$J$2000&lt;=EOMONTH(F$5,0))*(extract!$B$2:$B$2000=$C7)*1)</f>
        <v>2</v>
      </c>
      <c r="G7" s="41">
        <f>SUMPRODUCT((extract!$J$2:$J$2000&lt;=EOMONTH(G$5,0))*(extract!$B$2:$B$2000=$C7)*1)</f>
        <v>2</v>
      </c>
      <c r="H7">
        <f>SUMPRODUCT((extract!$J$2:$J$2000&lt;=EOMONTH(H$5,0))*(extract!$B$2:$B$2000=$C7)*1)</f>
        <v>2</v>
      </c>
      <c r="I7" s="41">
        <f>SUMPRODUCT((extract!$J$2:$J$2000&lt;=EOMONTH(I$5,0))*(extract!$B$2:$B$2000=$C7)*1)</f>
        <v>2</v>
      </c>
      <c r="J7">
        <f>SUMPRODUCT((extract!$J$2:$J$2000&lt;=EOMONTH(J$5,0))*(extract!$B$2:$B$2000=$C7)*1)</f>
        <v>2</v>
      </c>
      <c r="K7" s="41">
        <f>SUMPRODUCT((extract!$J$2:$J$2000&lt;=EOMONTH(K$5,0))*(extract!$B$2:$B$2000=$C7)*1)</f>
        <v>2</v>
      </c>
      <c r="L7">
        <f>SUMPRODUCT((extract!$J$2:$J$2000&lt;=EOMONTH(L$5,0))*(extract!$B$2:$B$2000=$C7)*1)</f>
        <v>2</v>
      </c>
      <c r="M7" s="41">
        <f>SUMPRODUCT((extract!$J$2:$J$2000&lt;=EOMONTH(M$5,0))*(extract!$B$2:$B$2000=$C7)*1)</f>
        <v>2</v>
      </c>
      <c r="N7">
        <f>SUMPRODUCT((extract!$J$2:$J$2000&lt;=EOMONTH(N$5,0))*(extract!$B$2:$B$2000=$C7)*1)</f>
        <v>2</v>
      </c>
      <c r="O7" s="43">
        <f>SUMPRODUCT((extract!$J$2:$J$2000&lt;=EOMONTH(O$5,0))*(extract!$B$2:$B$2000=$C7)*1)</f>
        <v>2</v>
      </c>
      <c r="Q7" s="87"/>
      <c r="R7" s="36"/>
      <c r="S7" s="20" t="s">
        <v>198</v>
      </c>
      <c r="T7">
        <v>0</v>
      </c>
      <c r="U7" s="41">
        <v>1</v>
      </c>
      <c r="W7" s="41"/>
      <c r="Y7" s="41"/>
      <c r="AA7" s="41"/>
      <c r="AC7" s="41"/>
      <c r="AE7" s="43"/>
      <c r="AF7" s="36"/>
      <c r="AG7" s="20" t="s">
        <v>198</v>
      </c>
      <c r="AH7">
        <f t="shared" ref="AH7:AH9" si="1">D7-T7</f>
        <v>0</v>
      </c>
      <c r="AI7" s="41">
        <f t="shared" si="0"/>
        <v>0</v>
      </c>
      <c r="AJ7">
        <f t="shared" si="0"/>
        <v>2</v>
      </c>
      <c r="AK7" s="41">
        <f t="shared" si="0"/>
        <v>2</v>
      </c>
      <c r="AL7">
        <f t="shared" si="0"/>
        <v>2</v>
      </c>
      <c r="AM7" s="41">
        <f t="shared" si="0"/>
        <v>2</v>
      </c>
      <c r="AN7">
        <f t="shared" si="0"/>
        <v>2</v>
      </c>
      <c r="AO7" s="41">
        <f t="shared" si="0"/>
        <v>2</v>
      </c>
      <c r="AP7">
        <f t="shared" si="0"/>
        <v>2</v>
      </c>
      <c r="AQ7" s="41">
        <f t="shared" si="0"/>
        <v>2</v>
      </c>
      <c r="AR7">
        <f t="shared" si="0"/>
        <v>2</v>
      </c>
      <c r="AS7" s="43">
        <f t="shared" si="0"/>
        <v>2</v>
      </c>
    </row>
    <row r="8" spans="1:45" ht="15" x14ac:dyDescent="0.25">
      <c r="A8" s="88"/>
      <c r="B8" s="36"/>
      <c r="C8" s="56" t="s">
        <v>12</v>
      </c>
      <c r="D8" s="38">
        <f>SUMPRODUCT((extract!$J$2:$J$2000&lt;=EOMONTH(D$5,0))*(extract!$B$2:$B$2000=$C8)*1)</f>
        <v>0</v>
      </c>
      <c r="E8" s="40">
        <f>SUMPRODUCT((extract!$J$2:$J$2000&lt;=EOMONTH(E$5,0))*(extract!$B$2:$B$2000=$C8)*1)</f>
        <v>69</v>
      </c>
      <c r="F8" s="38">
        <f>SUMPRODUCT((extract!$J$2:$J$2000&lt;=EOMONTH(F$5,0))*(extract!$B$2:$B$2000=$C8)*1)</f>
        <v>107</v>
      </c>
      <c r="G8" s="40">
        <f>SUMPRODUCT((extract!$J$2:$J$2000&lt;=EOMONTH(G$5,0))*(extract!$B$2:$B$2000=$C8)*1)</f>
        <v>130</v>
      </c>
      <c r="H8" s="38">
        <f>SUMPRODUCT((extract!$J$2:$J$2000&lt;=EOMONTH(H$5,0))*(extract!$B$2:$B$2000=$C8)*1)</f>
        <v>138</v>
      </c>
      <c r="I8" s="40">
        <f>SUMPRODUCT((extract!$J$2:$J$2000&lt;=EOMONTH(I$5,0))*(extract!$B$2:$B$2000=$C8)*1)</f>
        <v>138</v>
      </c>
      <c r="J8" s="38">
        <f>SUMPRODUCT((extract!$J$2:$J$2000&lt;=EOMONTH(J$5,0))*(extract!$B$2:$B$2000=$C8)*1)</f>
        <v>138</v>
      </c>
      <c r="K8" s="40">
        <f>SUMPRODUCT((extract!$J$2:$J$2000&lt;=EOMONTH(K$5,0))*(extract!$B$2:$B$2000=$C8)*1)</f>
        <v>138</v>
      </c>
      <c r="L8" s="38">
        <f>SUMPRODUCT((extract!$J$2:$J$2000&lt;=EOMONTH(L$5,0))*(extract!$B$2:$B$2000=$C8)*1)</f>
        <v>138</v>
      </c>
      <c r="M8" s="40">
        <f>SUMPRODUCT((extract!$J$2:$J$2000&lt;=EOMONTH(M$5,0))*(extract!$B$2:$B$2000=$C8)*1)</f>
        <v>138</v>
      </c>
      <c r="N8" s="38">
        <f>SUMPRODUCT((extract!$J$2:$J$2000&lt;=EOMONTH(N$5,0))*(extract!$B$2:$B$2000=$C8)*1)</f>
        <v>138</v>
      </c>
      <c r="O8" s="45">
        <f>SUMPRODUCT((extract!$J$2:$J$2000&lt;=EOMONTH(O$5,0))*(extract!$B$2:$B$2000=$C8)*1)</f>
        <v>138</v>
      </c>
      <c r="Q8" s="87"/>
      <c r="R8" s="36"/>
      <c r="S8" s="56" t="s">
        <v>12</v>
      </c>
      <c r="T8" s="38">
        <v>0</v>
      </c>
      <c r="U8" s="40">
        <v>71</v>
      </c>
      <c r="V8" s="38"/>
      <c r="W8" s="40"/>
      <c r="X8" s="38"/>
      <c r="Y8" s="40"/>
      <c r="Z8" s="38"/>
      <c r="AA8" s="40"/>
      <c r="AB8" s="38"/>
      <c r="AC8" s="40"/>
      <c r="AD8" s="38"/>
      <c r="AE8" s="45"/>
      <c r="AF8" s="36"/>
      <c r="AG8" s="56" t="s">
        <v>12</v>
      </c>
      <c r="AH8" s="38">
        <f t="shared" si="1"/>
        <v>0</v>
      </c>
      <c r="AI8" s="40">
        <f t="shared" si="0"/>
        <v>-2</v>
      </c>
      <c r="AJ8" s="38">
        <f t="shared" si="0"/>
        <v>107</v>
      </c>
      <c r="AK8" s="40">
        <f t="shared" si="0"/>
        <v>130</v>
      </c>
      <c r="AL8" s="38">
        <f t="shared" si="0"/>
        <v>138</v>
      </c>
      <c r="AM8" s="40">
        <f t="shared" si="0"/>
        <v>138</v>
      </c>
      <c r="AN8" s="38">
        <f t="shared" si="0"/>
        <v>138</v>
      </c>
      <c r="AO8" s="40">
        <f t="shared" si="0"/>
        <v>138</v>
      </c>
      <c r="AP8" s="38">
        <f t="shared" si="0"/>
        <v>138</v>
      </c>
      <c r="AQ8" s="40">
        <f t="shared" si="0"/>
        <v>138</v>
      </c>
      <c r="AR8" s="38">
        <f t="shared" si="0"/>
        <v>138</v>
      </c>
      <c r="AS8" s="45">
        <f t="shared" si="0"/>
        <v>138</v>
      </c>
    </row>
    <row r="9" spans="1:45" thickBot="1" x14ac:dyDescent="0.3">
      <c r="A9" s="88"/>
      <c r="B9" s="36"/>
      <c r="C9" s="57" t="s">
        <v>103</v>
      </c>
      <c r="D9" s="37">
        <f>SUMPRODUCT((extract!$J$2:$J$2000&lt;=EOMONTH(D$5,0))*(extract!$B$2:$B$2000=$C9)*1)</f>
        <v>0</v>
      </c>
      <c r="E9" s="42">
        <f>SUMPRODUCT((extract!$J$2:$J$2000&lt;=EOMONTH(E$5,0))*(extract!$B$2:$B$2000=$C9)*1)</f>
        <v>2</v>
      </c>
      <c r="F9" s="37">
        <f>SUMPRODUCT((extract!$J$2:$J$2000&lt;=EOMONTH(F$5,0))*(extract!$B$2:$B$2000=$C9)*1)</f>
        <v>2</v>
      </c>
      <c r="G9" s="42">
        <f>SUMPRODUCT((extract!$J$2:$J$2000&lt;=EOMONTH(G$5,0))*(extract!$B$2:$B$2000=$C9)*1)</f>
        <v>2</v>
      </c>
      <c r="H9" s="37">
        <f>SUMPRODUCT((extract!$J$2:$J$2000&lt;=EOMONTH(H$5,0))*(extract!$B$2:$B$2000=$C9)*1)</f>
        <v>2</v>
      </c>
      <c r="I9" s="42">
        <f>SUMPRODUCT((extract!$J$2:$J$2000&lt;=EOMONTH(I$5,0))*(extract!$B$2:$B$2000=$C9)*1)</f>
        <v>2</v>
      </c>
      <c r="J9" s="37">
        <f>SUMPRODUCT((extract!$J$2:$J$2000&lt;=EOMONTH(J$5,0))*(extract!$B$2:$B$2000=$C9)*1)</f>
        <v>2</v>
      </c>
      <c r="K9" s="42">
        <f>SUMPRODUCT((extract!$J$2:$J$2000&lt;=EOMONTH(K$5,0))*(extract!$B$2:$B$2000=$C9)*1)</f>
        <v>2</v>
      </c>
      <c r="L9" s="37">
        <f>SUMPRODUCT((extract!$J$2:$J$2000&lt;=EOMONTH(L$5,0))*(extract!$B$2:$B$2000=$C9)*1)</f>
        <v>2</v>
      </c>
      <c r="M9" s="42">
        <f>SUMPRODUCT((extract!$J$2:$J$2000&lt;=EOMONTH(M$5,0))*(extract!$B$2:$B$2000=$C9)*1)</f>
        <v>2</v>
      </c>
      <c r="N9" s="37">
        <f>SUMPRODUCT((extract!$J$2:$J$2000&lt;=EOMONTH(N$5,0))*(extract!$B$2:$B$2000=$C9)*1)</f>
        <v>2</v>
      </c>
      <c r="O9" s="44">
        <f>SUMPRODUCT((extract!$J$2:$J$2000&lt;=EOMONTH(O$5,0))*(extract!$B$2:$B$2000=$C9)*1)</f>
        <v>2</v>
      </c>
      <c r="Q9" s="87"/>
      <c r="S9" s="57" t="s">
        <v>103</v>
      </c>
      <c r="T9" s="37">
        <v>0</v>
      </c>
      <c r="U9" s="42">
        <v>2</v>
      </c>
      <c r="V9" s="37"/>
      <c r="W9" s="42"/>
      <c r="X9" s="37"/>
      <c r="Y9" s="42"/>
      <c r="Z9" s="37"/>
      <c r="AA9" s="42"/>
      <c r="AB9" s="37"/>
      <c r="AC9" s="42"/>
      <c r="AD9" s="37"/>
      <c r="AE9" s="44"/>
      <c r="AG9" s="57" t="s">
        <v>103</v>
      </c>
      <c r="AH9" s="37">
        <f t="shared" si="1"/>
        <v>0</v>
      </c>
      <c r="AI9" s="42">
        <f t="shared" si="0"/>
        <v>0</v>
      </c>
      <c r="AJ9" s="37">
        <f t="shared" si="0"/>
        <v>2</v>
      </c>
      <c r="AK9" s="42">
        <f t="shared" si="0"/>
        <v>2</v>
      </c>
      <c r="AL9" s="37">
        <f t="shared" si="0"/>
        <v>2</v>
      </c>
      <c r="AM9" s="42">
        <f t="shared" si="0"/>
        <v>2</v>
      </c>
      <c r="AN9" s="37">
        <f t="shared" si="0"/>
        <v>2</v>
      </c>
      <c r="AO9" s="42">
        <f t="shared" si="0"/>
        <v>2</v>
      </c>
      <c r="AP9" s="37">
        <f t="shared" si="0"/>
        <v>2</v>
      </c>
      <c r="AQ9" s="42">
        <f t="shared" si="0"/>
        <v>2</v>
      </c>
      <c r="AR9" s="37">
        <f t="shared" si="0"/>
        <v>2</v>
      </c>
      <c r="AS9" s="44">
        <f t="shared" si="0"/>
        <v>2</v>
      </c>
    </row>
    <row r="10" spans="1:45" ht="15" x14ac:dyDescent="0.25">
      <c r="A10" s="35"/>
    </row>
    <row r="11" spans="1:45" thickBot="1" x14ac:dyDescent="0.3">
      <c r="A11" s="35" t="s">
        <v>378</v>
      </c>
      <c r="D11" s="37"/>
      <c r="E11" s="37"/>
      <c r="F11" s="37"/>
      <c r="G11" s="37"/>
      <c r="H11" s="37"/>
      <c r="I11" s="37"/>
      <c r="J11" s="37"/>
      <c r="K11" s="37"/>
      <c r="L11" s="37"/>
      <c r="M11" s="37"/>
      <c r="N11" s="37"/>
      <c r="O11" s="37"/>
      <c r="T11" s="37"/>
      <c r="U11" s="37"/>
      <c r="V11" s="37"/>
      <c r="W11" s="37"/>
      <c r="X11" s="37"/>
      <c r="Y11" s="37"/>
      <c r="Z11" s="37"/>
      <c r="AA11" s="37"/>
      <c r="AB11" s="37"/>
      <c r="AC11" s="37"/>
      <c r="AD11" s="37"/>
      <c r="AE11" s="37"/>
      <c r="AH11" s="37"/>
      <c r="AI11" s="37"/>
      <c r="AJ11" s="37"/>
      <c r="AK11" s="37"/>
      <c r="AL11" s="37"/>
      <c r="AM11" s="37"/>
      <c r="AN11" s="37"/>
      <c r="AO11" s="37"/>
      <c r="AP11" s="37"/>
      <c r="AQ11" s="37"/>
      <c r="AR11" s="37"/>
      <c r="AS11" s="37"/>
    </row>
    <row r="12" spans="1:45" thickBot="1" x14ac:dyDescent="0.3">
      <c r="A12" s="88" t="s">
        <v>395</v>
      </c>
      <c r="C12" s="55"/>
      <c r="D12" s="48">
        <v>43466</v>
      </c>
      <c r="E12" s="48">
        <v>43497</v>
      </c>
      <c r="F12" s="48">
        <v>43525</v>
      </c>
      <c r="G12" s="48">
        <v>43556</v>
      </c>
      <c r="H12" s="48">
        <v>43586</v>
      </c>
      <c r="I12" s="48">
        <v>43617</v>
      </c>
      <c r="J12" s="48">
        <v>43647</v>
      </c>
      <c r="K12" s="48">
        <v>43678</v>
      </c>
      <c r="L12" s="48">
        <v>43709</v>
      </c>
      <c r="M12" s="48">
        <v>43739</v>
      </c>
      <c r="N12" s="48">
        <v>43770</v>
      </c>
      <c r="O12" s="48">
        <v>43800</v>
      </c>
      <c r="P12" s="68"/>
      <c r="Q12" s="87" t="s">
        <v>410</v>
      </c>
      <c r="S12" s="55"/>
      <c r="T12" s="48">
        <v>43466</v>
      </c>
      <c r="U12" s="48">
        <v>43497</v>
      </c>
      <c r="V12" s="48">
        <v>43525</v>
      </c>
      <c r="W12" s="48">
        <v>43556</v>
      </c>
      <c r="X12" s="48">
        <v>43586</v>
      </c>
      <c r="Y12" s="48">
        <v>43617</v>
      </c>
      <c r="Z12" s="48">
        <v>43647</v>
      </c>
      <c r="AA12" s="48">
        <v>43678</v>
      </c>
      <c r="AB12" s="48">
        <v>43709</v>
      </c>
      <c r="AC12" s="48">
        <v>43739</v>
      </c>
      <c r="AD12" s="48">
        <v>43770</v>
      </c>
      <c r="AE12" s="67">
        <v>43800</v>
      </c>
      <c r="AG12" s="55"/>
      <c r="AH12" s="48">
        <v>43466</v>
      </c>
      <c r="AI12" s="48">
        <v>43497</v>
      </c>
      <c r="AJ12" s="48">
        <v>43525</v>
      </c>
      <c r="AK12" s="48">
        <v>43556</v>
      </c>
      <c r="AL12" s="48">
        <v>43586</v>
      </c>
      <c r="AM12" s="48">
        <v>43617</v>
      </c>
      <c r="AN12" s="48">
        <v>43647</v>
      </c>
      <c r="AO12" s="48">
        <v>43678</v>
      </c>
      <c r="AP12" s="48">
        <v>43709</v>
      </c>
      <c r="AQ12" s="48">
        <v>43739</v>
      </c>
      <c r="AR12" s="48">
        <v>43770</v>
      </c>
      <c r="AS12" s="67">
        <v>43800</v>
      </c>
    </row>
    <row r="13" spans="1:45" ht="15" x14ac:dyDescent="0.25">
      <c r="A13" s="88"/>
      <c r="B13" s="36"/>
      <c r="C13" s="56" t="s">
        <v>388</v>
      </c>
      <c r="D13" s="38">
        <f>SUMPRODUCT((extract!$K$2:$K$2000&gt;=EOMONTH(D$12,0)+1)*(extract!$J$2:$J$2000&lt;=EOMONTH(D$12,0))*(extract!$B$2:$B$2000=$C13)*1)+SUMPRODUCT((extract!$K$2:$K$2000=0)*(extract!$J$2:$J$2000&lt;=EOMONTH(D$12,0))*(extract!$B$2:$B$2000=$C13)*1)</f>
        <v>0</v>
      </c>
      <c r="E13" s="40">
        <f>SUMPRODUCT((extract!$K$2:$K$2000&gt;=EOMONTH(E$12,0)+1)*(extract!$J$2:$J$2000&lt;=EOMONTH(E$12,0))*(extract!$B$2:$B$2000=$C13)*1)+SUMPRODUCT((extract!$K$2:$K$2000=0)*(extract!$J$2:$J$2000&lt;=EOMONTH(E$12,0))*(extract!$B$2:$B$2000=$C13)*1)</f>
        <v>0</v>
      </c>
      <c r="F13" s="38">
        <f>SUMPRODUCT((extract!$K$2:$K$2000&gt;=EOMONTH(F$12,0)+1)*(extract!$J$2:$J$2000&lt;=EOMONTH(F$12,0))*(extract!$B$2:$B$2000=$C13)*1)+SUMPRODUCT((extract!$K$2:$K$2000=0)*(extract!$J$2:$J$2000&lt;=EOMONTH(F$12,0))*(extract!$B$2:$B$2000=$C13)*1)</f>
        <v>0</v>
      </c>
      <c r="G13" s="40">
        <f>SUMPRODUCT((extract!$K$2:$K$2000&gt;=EOMONTH(G$12,0)+1)*(extract!$J$2:$J$2000&lt;=EOMONTH(G$12,0))*(extract!$B$2:$B$2000=$C13)*1)+SUMPRODUCT((extract!$K$2:$K$2000=0)*(extract!$J$2:$J$2000&lt;=EOMONTH(G$12,0))*(extract!$B$2:$B$2000=$C13)*1)</f>
        <v>0</v>
      </c>
      <c r="H13" s="38">
        <f>SUMPRODUCT((extract!$K$2:$K$2000&gt;=EOMONTH(H$12,0)+1)*(extract!$J$2:$J$2000&lt;=EOMONTH(H$12,0))*(extract!$B$2:$B$2000=$C13)*1)+SUMPRODUCT((extract!$K$2:$K$2000=0)*(extract!$J$2:$J$2000&lt;=EOMONTH(H$12,0))*(extract!$B$2:$B$2000=$C13)*1)</f>
        <v>0</v>
      </c>
      <c r="I13" s="40">
        <f>SUMPRODUCT((extract!$K$2:$K$2000&gt;=EOMONTH(I$12,0)+1)*(extract!$J$2:$J$2000&lt;=EOMONTH(I$12,0))*(extract!$B$2:$B$2000=$C13)*1)+SUMPRODUCT((extract!$K$2:$K$2000=0)*(extract!$J$2:$J$2000&lt;=EOMONTH(I$12,0))*(extract!$B$2:$B$2000=$C13)*1)</f>
        <v>0</v>
      </c>
      <c r="J13" s="38">
        <f>SUMPRODUCT((extract!$K$2:$K$2000&gt;=EOMONTH(J$12,0)+1)*(extract!$J$2:$J$2000&lt;=EOMONTH(J$12,0))*(extract!$B$2:$B$2000=$C13)*1)+SUMPRODUCT((extract!$K$2:$K$2000=0)*(extract!$J$2:$J$2000&lt;=EOMONTH(J$12,0))*(extract!$B$2:$B$2000=$C13)*1)</f>
        <v>0</v>
      </c>
      <c r="K13" s="40">
        <f>SUMPRODUCT((extract!$K$2:$K$2000&gt;=EOMONTH(K$12,0)+1)*(extract!$J$2:$J$2000&lt;=EOMONTH(K$12,0))*(extract!$B$2:$B$2000=$C13)*1)+SUMPRODUCT((extract!$K$2:$K$2000=0)*(extract!$J$2:$J$2000&lt;=EOMONTH(K$12,0))*(extract!$B$2:$B$2000=$C13)*1)</f>
        <v>0</v>
      </c>
      <c r="L13" s="38">
        <f>SUMPRODUCT((extract!$K$2:$K$2000&gt;=EOMONTH(L$12,0)+1)*(extract!$J$2:$J$2000&lt;=EOMONTH(L$12,0))*(extract!$B$2:$B$2000=$C13)*1)+SUMPRODUCT((extract!$K$2:$K$2000=0)*(extract!$J$2:$J$2000&lt;=EOMONTH(L$12,0))*(extract!$B$2:$B$2000=$C13)*1)</f>
        <v>0</v>
      </c>
      <c r="M13" s="40">
        <f>SUMPRODUCT((extract!$K$2:$K$2000&gt;=EOMONTH(M$12,0)+1)*(extract!$J$2:$J$2000&lt;=EOMONTH(M$12,0))*(extract!$B$2:$B$2000=$C13)*1)+SUMPRODUCT((extract!$K$2:$K$2000=0)*(extract!$J$2:$J$2000&lt;=EOMONTH(M$12,0))*(extract!$B$2:$B$2000=$C13)*1)</f>
        <v>0</v>
      </c>
      <c r="N13" s="38">
        <f>SUMPRODUCT((extract!$K$2:$K$2000&gt;=EOMONTH(N$12,0)+1)*(extract!$J$2:$J$2000&lt;=EOMONTH(N$12,0))*(extract!$B$2:$B$2000=$C13)*1)+SUMPRODUCT((extract!$K$2:$K$2000=0)*(extract!$J$2:$J$2000&lt;=EOMONTH(N$12,0))*(extract!$B$2:$B$2000=$C13)*1)</f>
        <v>0</v>
      </c>
      <c r="O13" s="45">
        <f>SUMPRODUCT((extract!$K$2:$K$2000&gt;=EOMONTH(O$12,0)+1)*(extract!$J$2:$J$2000&lt;=EOMONTH(O$12,0))*(extract!$B$2:$B$2000=$C13)*1)+SUMPRODUCT((extract!$K$2:$K$2000=0)*(extract!$J$2:$J$2000&lt;=EOMONTH(O$12,0))*(extract!$B$2:$B$2000=$C13)*1)</f>
        <v>0</v>
      </c>
      <c r="Q13" s="87"/>
      <c r="R13" s="36"/>
      <c r="S13" s="56" t="s">
        <v>388</v>
      </c>
      <c r="T13" s="38">
        <v>0</v>
      </c>
      <c r="U13" s="40">
        <v>0</v>
      </c>
      <c r="V13" s="38"/>
      <c r="W13" s="40"/>
      <c r="X13" s="38"/>
      <c r="Y13" s="40"/>
      <c r="Z13" s="38"/>
      <c r="AA13" s="40"/>
      <c r="AB13" s="38"/>
      <c r="AC13" s="40"/>
      <c r="AD13" s="38"/>
      <c r="AE13" s="45"/>
      <c r="AF13" s="36"/>
      <c r="AG13" s="56" t="s">
        <v>388</v>
      </c>
      <c r="AH13" s="38">
        <f>D13-T13</f>
        <v>0</v>
      </c>
      <c r="AI13" s="40">
        <f t="shared" ref="AI13:AS16" si="2">E13-U13</f>
        <v>0</v>
      </c>
      <c r="AJ13" s="38">
        <f t="shared" si="2"/>
        <v>0</v>
      </c>
      <c r="AK13" s="40">
        <f t="shared" si="2"/>
        <v>0</v>
      </c>
      <c r="AL13" s="38">
        <f t="shared" si="2"/>
        <v>0</v>
      </c>
      <c r="AM13" s="40">
        <f t="shared" si="2"/>
        <v>0</v>
      </c>
      <c r="AN13" s="38">
        <f t="shared" si="2"/>
        <v>0</v>
      </c>
      <c r="AO13" s="40">
        <f t="shared" si="2"/>
        <v>0</v>
      </c>
      <c r="AP13" s="38">
        <f t="shared" si="2"/>
        <v>0</v>
      </c>
      <c r="AQ13" s="40">
        <f t="shared" si="2"/>
        <v>0</v>
      </c>
      <c r="AR13" s="38">
        <f t="shared" si="2"/>
        <v>0</v>
      </c>
      <c r="AS13" s="45">
        <f t="shared" si="2"/>
        <v>0</v>
      </c>
    </row>
    <row r="14" spans="1:45" ht="15" x14ac:dyDescent="0.25">
      <c r="A14" s="88"/>
      <c r="B14" s="36"/>
      <c r="C14" s="20" t="s">
        <v>198</v>
      </c>
      <c r="D14">
        <f>SUMPRODUCT((extract!$K$2:$K$2000&gt;=EOMONTH(D$12,0)+1)*(extract!$J$2:$J$2000&lt;=EOMONTH(D$12,0))*(extract!$B$2:$B$2000=$C14)*1)+SUMPRODUCT((extract!$K$2:$K$2000=0)*(extract!$J$2:$J$2000&lt;=EOMONTH(D$12,0))*(extract!$B$2:$B$2000=$C14)*1)</f>
        <v>0</v>
      </c>
      <c r="E14" s="41">
        <f>SUMPRODUCT((extract!$K$2:$K$2000&gt;=EOMONTH(E$12,0)+1)*(extract!$J$2:$J$2000&lt;=EOMONTH(E$12,0))*(extract!$B$2:$B$2000=$C14)*1)+SUMPRODUCT((extract!$K$2:$K$2000=0)*(extract!$J$2:$J$2000&lt;=EOMONTH(E$12,0))*(extract!$B$2:$B$2000=$C14)*1)</f>
        <v>1</v>
      </c>
      <c r="F14">
        <f>SUMPRODUCT((extract!$K$2:$K$2000&gt;=EOMONTH(F$12,0)+1)*(extract!$J$2:$J$2000&lt;=EOMONTH(F$12,0))*(extract!$B$2:$B$2000=$C14)*1)+SUMPRODUCT((extract!$K$2:$K$2000=0)*(extract!$J$2:$J$2000&lt;=EOMONTH(F$12,0))*(extract!$B$2:$B$2000=$C14)*1)</f>
        <v>2</v>
      </c>
      <c r="G14" s="41">
        <f>SUMPRODUCT((extract!$K$2:$K$2000&gt;=EOMONTH(G$12,0)+1)*(extract!$J$2:$J$2000&lt;=EOMONTH(G$12,0))*(extract!$B$2:$B$2000=$C14)*1)+SUMPRODUCT((extract!$K$2:$K$2000=0)*(extract!$J$2:$J$2000&lt;=EOMONTH(G$12,0))*(extract!$B$2:$B$2000=$C14)*1)</f>
        <v>0</v>
      </c>
      <c r="H14">
        <f>SUMPRODUCT((extract!$K$2:$K$2000&gt;=EOMONTH(H$12,0)+1)*(extract!$J$2:$J$2000&lt;=EOMONTH(H$12,0))*(extract!$B$2:$B$2000=$C14)*1)+SUMPRODUCT((extract!$K$2:$K$2000=0)*(extract!$J$2:$J$2000&lt;=EOMONTH(H$12,0))*(extract!$B$2:$B$2000=$C14)*1)</f>
        <v>0</v>
      </c>
      <c r="I14" s="41">
        <f>SUMPRODUCT((extract!$K$2:$K$2000&gt;=EOMONTH(I$12,0)+1)*(extract!$J$2:$J$2000&lt;=EOMONTH(I$12,0))*(extract!$B$2:$B$2000=$C14)*1)+SUMPRODUCT((extract!$K$2:$K$2000=0)*(extract!$J$2:$J$2000&lt;=EOMONTH(I$12,0))*(extract!$B$2:$B$2000=$C14)*1)</f>
        <v>0</v>
      </c>
      <c r="J14">
        <f>SUMPRODUCT((extract!$K$2:$K$2000&gt;=EOMONTH(J$12,0)+1)*(extract!$J$2:$J$2000&lt;=EOMONTH(J$12,0))*(extract!$B$2:$B$2000=$C14)*1)+SUMPRODUCT((extract!$K$2:$K$2000=0)*(extract!$J$2:$J$2000&lt;=EOMONTH(J$12,0))*(extract!$B$2:$B$2000=$C14)*1)</f>
        <v>0</v>
      </c>
      <c r="K14" s="41">
        <f>SUMPRODUCT((extract!$K$2:$K$2000&gt;=EOMONTH(K$12,0)+1)*(extract!$J$2:$J$2000&lt;=EOMONTH(K$12,0))*(extract!$B$2:$B$2000=$C14)*1)+SUMPRODUCT((extract!$K$2:$K$2000=0)*(extract!$J$2:$J$2000&lt;=EOMONTH(K$12,0))*(extract!$B$2:$B$2000=$C14)*1)</f>
        <v>0</v>
      </c>
      <c r="L14">
        <f>SUMPRODUCT((extract!$K$2:$K$2000&gt;=EOMONTH(L$12,0)+1)*(extract!$J$2:$J$2000&lt;=EOMONTH(L$12,0))*(extract!$B$2:$B$2000=$C14)*1)+SUMPRODUCT((extract!$K$2:$K$2000=0)*(extract!$J$2:$J$2000&lt;=EOMONTH(L$12,0))*(extract!$B$2:$B$2000=$C14)*1)</f>
        <v>0</v>
      </c>
      <c r="M14" s="41">
        <f>SUMPRODUCT((extract!$K$2:$K$2000&gt;=EOMONTH(M$12,0)+1)*(extract!$J$2:$J$2000&lt;=EOMONTH(M$12,0))*(extract!$B$2:$B$2000=$C14)*1)+SUMPRODUCT((extract!$K$2:$K$2000=0)*(extract!$J$2:$J$2000&lt;=EOMONTH(M$12,0))*(extract!$B$2:$B$2000=$C14)*1)</f>
        <v>0</v>
      </c>
      <c r="N14">
        <f>SUMPRODUCT((extract!$K$2:$K$2000&gt;=EOMONTH(N$12,0)+1)*(extract!$J$2:$J$2000&lt;=EOMONTH(N$12,0))*(extract!$B$2:$B$2000=$C14)*1)+SUMPRODUCT((extract!$K$2:$K$2000=0)*(extract!$J$2:$J$2000&lt;=EOMONTH(N$12,0))*(extract!$B$2:$B$2000=$C14)*1)</f>
        <v>0</v>
      </c>
      <c r="O14" s="43">
        <f>SUMPRODUCT((extract!$K$2:$K$2000&gt;=EOMONTH(O$12,0)+1)*(extract!$J$2:$J$2000&lt;=EOMONTH(O$12,0))*(extract!$B$2:$B$2000=$C14)*1)+SUMPRODUCT((extract!$K$2:$K$2000=0)*(extract!$J$2:$J$2000&lt;=EOMONTH(O$12,0))*(extract!$B$2:$B$2000=$C14)*1)</f>
        <v>0</v>
      </c>
      <c r="Q14" s="87"/>
      <c r="R14" s="36"/>
      <c r="S14" s="20" t="s">
        <v>198</v>
      </c>
      <c r="T14" s="76">
        <v>0</v>
      </c>
      <c r="U14" s="41">
        <v>1</v>
      </c>
      <c r="W14" s="41"/>
      <c r="Y14" s="41"/>
      <c r="AA14" s="41"/>
      <c r="AC14" s="41"/>
      <c r="AE14" s="43"/>
      <c r="AF14" s="36"/>
      <c r="AG14" s="20" t="s">
        <v>198</v>
      </c>
      <c r="AH14">
        <f t="shared" ref="AH14:AH16" si="3">D14-T14</f>
        <v>0</v>
      </c>
      <c r="AI14" s="41">
        <f t="shared" si="2"/>
        <v>0</v>
      </c>
      <c r="AJ14">
        <f t="shared" si="2"/>
        <v>2</v>
      </c>
      <c r="AK14" s="41">
        <f t="shared" si="2"/>
        <v>0</v>
      </c>
      <c r="AL14">
        <f t="shared" si="2"/>
        <v>0</v>
      </c>
      <c r="AM14" s="41">
        <f t="shared" si="2"/>
        <v>0</v>
      </c>
      <c r="AN14">
        <f t="shared" si="2"/>
        <v>0</v>
      </c>
      <c r="AO14" s="41">
        <f t="shared" si="2"/>
        <v>0</v>
      </c>
      <c r="AP14">
        <f t="shared" si="2"/>
        <v>0</v>
      </c>
      <c r="AQ14" s="41">
        <f t="shared" si="2"/>
        <v>0</v>
      </c>
      <c r="AR14">
        <f t="shared" si="2"/>
        <v>0</v>
      </c>
      <c r="AS14" s="43">
        <f t="shared" si="2"/>
        <v>0</v>
      </c>
    </row>
    <row r="15" spans="1:45" ht="15" x14ac:dyDescent="0.25">
      <c r="A15" s="88"/>
      <c r="B15" s="36"/>
      <c r="C15" s="56" t="s">
        <v>12</v>
      </c>
      <c r="D15" s="38">
        <f>SUMPRODUCT((extract!$K$2:$K$2000&gt;=EOMONTH(D$12,0)+1)*(extract!$J$2:$J$2000&lt;=EOMONTH(D$12,0))*(extract!$B$2:$B$2000=$C15)*1)+SUMPRODUCT((extract!$K$2:$K$2000=0)*(extract!$J$2:$J$2000&lt;=EOMONTH(D$12,0))*(extract!$B$2:$B$2000=$C15)*1)</f>
        <v>0</v>
      </c>
      <c r="E15" s="40">
        <f>SUMPRODUCT((extract!$K$2:$K$2000&gt;=EOMONTH(E$12,0)+1)*(extract!$J$2:$J$2000&lt;=EOMONTH(E$12,0))*(extract!$B$2:$B$2000=$C15)*1)+SUMPRODUCT((extract!$K$2:$K$2000=0)*(extract!$J$2:$J$2000&lt;=EOMONTH(E$12,0))*(extract!$B$2:$B$2000=$C15)*1)</f>
        <v>65</v>
      </c>
      <c r="F15" s="38">
        <f>SUMPRODUCT((extract!$K$2:$K$2000&gt;=EOMONTH(F$12,0)+1)*(extract!$J$2:$J$2000&lt;=EOMONTH(F$12,0))*(extract!$B$2:$B$2000=$C15)*1)+SUMPRODUCT((extract!$K$2:$K$2000=0)*(extract!$J$2:$J$2000&lt;=EOMONTH(F$12,0))*(extract!$B$2:$B$2000=$C15)*1)</f>
        <v>82</v>
      </c>
      <c r="G15" s="40">
        <f>SUMPRODUCT((extract!$K$2:$K$2000&gt;=EOMONTH(G$12,0)+1)*(extract!$J$2:$J$2000&lt;=EOMONTH(G$12,0))*(extract!$B$2:$B$2000=$C15)*1)+SUMPRODUCT((extract!$K$2:$K$2000=0)*(extract!$J$2:$J$2000&lt;=EOMONTH(G$12,0))*(extract!$B$2:$B$2000=$C15)*1)</f>
        <v>75</v>
      </c>
      <c r="H15" s="38">
        <f>SUMPRODUCT((extract!$K$2:$K$2000&gt;=EOMONTH(H$12,0)+1)*(extract!$J$2:$J$2000&lt;=EOMONTH(H$12,0))*(extract!$B$2:$B$2000=$C15)*1)+SUMPRODUCT((extract!$K$2:$K$2000=0)*(extract!$J$2:$J$2000&lt;=EOMONTH(H$12,0))*(extract!$B$2:$B$2000=$C15)*1)</f>
        <v>82</v>
      </c>
      <c r="I15" s="40">
        <f>SUMPRODUCT((extract!$K$2:$K$2000&gt;=EOMONTH(I$12,0)+1)*(extract!$J$2:$J$2000&lt;=EOMONTH(I$12,0))*(extract!$B$2:$B$2000=$C15)*1)+SUMPRODUCT((extract!$K$2:$K$2000=0)*(extract!$J$2:$J$2000&lt;=EOMONTH(I$12,0))*(extract!$B$2:$B$2000=$C15)*1)</f>
        <v>59</v>
      </c>
      <c r="J15" s="38">
        <f>SUMPRODUCT((extract!$K$2:$K$2000&gt;=EOMONTH(J$12,0)+1)*(extract!$J$2:$J$2000&lt;=EOMONTH(J$12,0))*(extract!$B$2:$B$2000=$C15)*1)+SUMPRODUCT((extract!$K$2:$K$2000=0)*(extract!$J$2:$J$2000&lt;=EOMONTH(J$12,0))*(extract!$B$2:$B$2000=$C15)*1)</f>
        <v>59</v>
      </c>
      <c r="K15" s="40">
        <f>SUMPRODUCT((extract!$K$2:$K$2000&gt;=EOMONTH(K$12,0)+1)*(extract!$J$2:$J$2000&lt;=EOMONTH(K$12,0))*(extract!$B$2:$B$2000=$C15)*1)+SUMPRODUCT((extract!$K$2:$K$2000=0)*(extract!$J$2:$J$2000&lt;=EOMONTH(K$12,0))*(extract!$B$2:$B$2000=$C15)*1)</f>
        <v>59</v>
      </c>
      <c r="L15" s="38">
        <f>SUMPRODUCT((extract!$K$2:$K$2000&gt;=EOMONTH(L$12,0)+1)*(extract!$J$2:$J$2000&lt;=EOMONTH(L$12,0))*(extract!$B$2:$B$2000=$C15)*1)+SUMPRODUCT((extract!$K$2:$K$2000=0)*(extract!$J$2:$J$2000&lt;=EOMONTH(L$12,0))*(extract!$B$2:$B$2000=$C15)*1)</f>
        <v>59</v>
      </c>
      <c r="M15" s="40">
        <f>SUMPRODUCT((extract!$K$2:$K$2000&gt;=EOMONTH(M$12,0)+1)*(extract!$J$2:$J$2000&lt;=EOMONTH(M$12,0))*(extract!$B$2:$B$2000=$C15)*1)+SUMPRODUCT((extract!$K$2:$K$2000=0)*(extract!$J$2:$J$2000&lt;=EOMONTH(M$12,0))*(extract!$B$2:$B$2000=$C15)*1)</f>
        <v>59</v>
      </c>
      <c r="N15" s="38">
        <f>SUMPRODUCT((extract!$K$2:$K$2000&gt;=EOMONTH(N$12,0)+1)*(extract!$J$2:$J$2000&lt;=EOMONTH(N$12,0))*(extract!$B$2:$B$2000=$C15)*1)+SUMPRODUCT((extract!$K$2:$K$2000=0)*(extract!$J$2:$J$2000&lt;=EOMONTH(N$12,0))*(extract!$B$2:$B$2000=$C15)*1)</f>
        <v>59</v>
      </c>
      <c r="O15" s="45">
        <f>SUMPRODUCT((extract!$K$2:$K$2000&gt;=EOMONTH(O$12,0)+1)*(extract!$J$2:$J$2000&lt;=EOMONTH(O$12,0))*(extract!$B$2:$B$2000=$C15)*1)+SUMPRODUCT((extract!$K$2:$K$2000=0)*(extract!$J$2:$J$2000&lt;=EOMONTH(O$12,0))*(extract!$B$2:$B$2000=$C15)*1)</f>
        <v>59</v>
      </c>
      <c r="Q15" s="87"/>
      <c r="R15" s="36"/>
      <c r="S15" s="56" t="s">
        <v>12</v>
      </c>
      <c r="T15" s="38">
        <v>0</v>
      </c>
      <c r="U15" s="40">
        <v>67</v>
      </c>
      <c r="V15" s="38"/>
      <c r="W15" s="40"/>
      <c r="X15" s="38"/>
      <c r="Y15" s="40"/>
      <c r="Z15" s="38"/>
      <c r="AA15" s="40"/>
      <c r="AB15" s="38"/>
      <c r="AC15" s="40"/>
      <c r="AD15" s="38"/>
      <c r="AE15" s="45"/>
      <c r="AF15" s="36"/>
      <c r="AG15" s="56" t="s">
        <v>12</v>
      </c>
      <c r="AH15" s="38">
        <f t="shared" si="3"/>
        <v>0</v>
      </c>
      <c r="AI15" s="40">
        <f t="shared" si="2"/>
        <v>-2</v>
      </c>
      <c r="AJ15" s="38">
        <f t="shared" si="2"/>
        <v>82</v>
      </c>
      <c r="AK15" s="40">
        <f t="shared" si="2"/>
        <v>75</v>
      </c>
      <c r="AL15" s="38">
        <f t="shared" si="2"/>
        <v>82</v>
      </c>
      <c r="AM15" s="40">
        <f t="shared" si="2"/>
        <v>59</v>
      </c>
      <c r="AN15" s="38">
        <f t="shared" si="2"/>
        <v>59</v>
      </c>
      <c r="AO15" s="40">
        <f t="shared" si="2"/>
        <v>59</v>
      </c>
      <c r="AP15" s="38">
        <f t="shared" si="2"/>
        <v>59</v>
      </c>
      <c r="AQ15" s="40">
        <f t="shared" si="2"/>
        <v>59</v>
      </c>
      <c r="AR15" s="38">
        <f t="shared" si="2"/>
        <v>59</v>
      </c>
      <c r="AS15" s="45">
        <f t="shared" si="2"/>
        <v>59</v>
      </c>
    </row>
    <row r="16" spans="1:45" thickBot="1" x14ac:dyDescent="0.3">
      <c r="A16" s="88"/>
      <c r="B16" s="36"/>
      <c r="C16" s="57" t="s">
        <v>103</v>
      </c>
      <c r="D16" s="37">
        <f>SUMPRODUCT((extract!$K$2:$K$2000&gt;=EOMONTH(D$12,0)+1)*(extract!$J$2:$J$2000&lt;=EOMONTH(D$12,0))*(extract!$B$2:$B$2000=$C16)*1)+SUMPRODUCT((extract!$K$2:$K$2000=0)*(extract!$J$2:$J$2000&lt;=EOMONTH(D$12,0))*(extract!$B$2:$B$2000=$C16)*1)</f>
        <v>0</v>
      </c>
      <c r="E16" s="42">
        <f>SUMPRODUCT((extract!$K$2:$K$2000&gt;=EOMONTH(E$12,0)+1)*(extract!$J$2:$J$2000&lt;=EOMONTH(E$12,0))*(extract!$B$2:$B$2000=$C16)*1)+SUMPRODUCT((extract!$K$2:$K$2000=0)*(extract!$J$2:$J$2000&lt;=EOMONTH(E$12,0))*(extract!$B$2:$B$2000=$C16)*1)</f>
        <v>2</v>
      </c>
      <c r="F16" s="37">
        <f>SUMPRODUCT((extract!$K$2:$K$2000&gt;=EOMONTH(F$12,0)+1)*(extract!$J$2:$J$2000&lt;=EOMONTH(F$12,0))*(extract!$B$2:$B$2000=$C16)*1)+SUMPRODUCT((extract!$K$2:$K$2000=0)*(extract!$J$2:$J$2000&lt;=EOMONTH(F$12,0))*(extract!$B$2:$B$2000=$C16)*1)</f>
        <v>2</v>
      </c>
      <c r="G16" s="42">
        <f>SUMPRODUCT((extract!$K$2:$K$2000&gt;=EOMONTH(G$12,0)+1)*(extract!$J$2:$J$2000&lt;=EOMONTH(G$12,0))*(extract!$B$2:$B$2000=$C16)*1)+SUMPRODUCT((extract!$K$2:$K$2000=0)*(extract!$J$2:$J$2000&lt;=EOMONTH(G$12,0))*(extract!$B$2:$B$2000=$C16)*1)</f>
        <v>1</v>
      </c>
      <c r="H16" s="37">
        <f>SUMPRODUCT((extract!$K$2:$K$2000&gt;=EOMONTH(H$12,0)+1)*(extract!$J$2:$J$2000&lt;=EOMONTH(H$12,0))*(extract!$B$2:$B$2000=$C16)*1)+SUMPRODUCT((extract!$K$2:$K$2000=0)*(extract!$J$2:$J$2000&lt;=EOMONTH(H$12,0))*(extract!$B$2:$B$2000=$C16)*1)</f>
        <v>1</v>
      </c>
      <c r="I16" s="42">
        <f>SUMPRODUCT((extract!$K$2:$K$2000&gt;=EOMONTH(I$12,0)+1)*(extract!$J$2:$J$2000&lt;=EOMONTH(I$12,0))*(extract!$B$2:$B$2000=$C16)*1)+SUMPRODUCT((extract!$K$2:$K$2000=0)*(extract!$J$2:$J$2000&lt;=EOMONTH(I$12,0))*(extract!$B$2:$B$2000=$C16)*1)</f>
        <v>1</v>
      </c>
      <c r="J16" s="37">
        <f>SUMPRODUCT((extract!$K$2:$K$2000&gt;=EOMONTH(J$12,0)+1)*(extract!$J$2:$J$2000&lt;=EOMONTH(J$12,0))*(extract!$B$2:$B$2000=$C16)*1)+SUMPRODUCT((extract!$K$2:$K$2000=0)*(extract!$J$2:$J$2000&lt;=EOMONTH(J$12,0))*(extract!$B$2:$B$2000=$C16)*1)</f>
        <v>1</v>
      </c>
      <c r="K16" s="42">
        <f>SUMPRODUCT((extract!$K$2:$K$2000&gt;=EOMONTH(K$12,0)+1)*(extract!$J$2:$J$2000&lt;=EOMONTH(K$12,0))*(extract!$B$2:$B$2000=$C16)*1)+SUMPRODUCT((extract!$K$2:$K$2000=0)*(extract!$J$2:$J$2000&lt;=EOMONTH(K$12,0))*(extract!$B$2:$B$2000=$C16)*1)</f>
        <v>1</v>
      </c>
      <c r="L16" s="37">
        <f>SUMPRODUCT((extract!$K$2:$K$2000&gt;=EOMONTH(L$12,0)+1)*(extract!$J$2:$J$2000&lt;=EOMONTH(L$12,0))*(extract!$B$2:$B$2000=$C16)*1)+SUMPRODUCT((extract!$K$2:$K$2000=0)*(extract!$J$2:$J$2000&lt;=EOMONTH(L$12,0))*(extract!$B$2:$B$2000=$C16)*1)</f>
        <v>1</v>
      </c>
      <c r="M16" s="42">
        <f>SUMPRODUCT((extract!$K$2:$K$2000&gt;=EOMONTH(M$12,0)+1)*(extract!$J$2:$J$2000&lt;=EOMONTH(M$12,0))*(extract!$B$2:$B$2000=$C16)*1)+SUMPRODUCT((extract!$K$2:$K$2000=0)*(extract!$J$2:$J$2000&lt;=EOMONTH(M$12,0))*(extract!$B$2:$B$2000=$C16)*1)</f>
        <v>1</v>
      </c>
      <c r="N16" s="37">
        <f>SUMPRODUCT((extract!$K$2:$K$2000&gt;=EOMONTH(N$12,0)+1)*(extract!$J$2:$J$2000&lt;=EOMONTH(N$12,0))*(extract!$B$2:$B$2000=$C16)*1)+SUMPRODUCT((extract!$K$2:$K$2000=0)*(extract!$J$2:$J$2000&lt;=EOMONTH(N$12,0))*(extract!$B$2:$B$2000=$C16)*1)</f>
        <v>1</v>
      </c>
      <c r="O16" s="44">
        <f>SUMPRODUCT((extract!$K$2:$K$2000&gt;=EOMONTH(O$12,0)+1)*(extract!$J$2:$J$2000&lt;=EOMONTH(O$12,0))*(extract!$B$2:$B$2000=$C16)*1)+SUMPRODUCT((extract!$K$2:$K$2000=0)*(extract!$J$2:$J$2000&lt;=EOMONTH(O$12,0))*(extract!$B$2:$B$2000=$C16)*1)</f>
        <v>1</v>
      </c>
      <c r="Q16" s="87"/>
      <c r="S16" s="57" t="s">
        <v>103</v>
      </c>
      <c r="T16" s="37">
        <v>0</v>
      </c>
      <c r="U16" s="42">
        <v>2</v>
      </c>
      <c r="V16" s="37"/>
      <c r="W16" s="42"/>
      <c r="X16" s="37"/>
      <c r="Y16" s="42"/>
      <c r="Z16" s="37"/>
      <c r="AA16" s="42"/>
      <c r="AB16" s="37"/>
      <c r="AC16" s="42"/>
      <c r="AD16" s="37"/>
      <c r="AE16" s="44"/>
      <c r="AG16" s="57" t="s">
        <v>103</v>
      </c>
      <c r="AH16" s="37">
        <f t="shared" si="3"/>
        <v>0</v>
      </c>
      <c r="AI16" s="42">
        <f t="shared" si="2"/>
        <v>0</v>
      </c>
      <c r="AJ16" s="37">
        <f t="shared" si="2"/>
        <v>2</v>
      </c>
      <c r="AK16" s="42">
        <f t="shared" si="2"/>
        <v>1</v>
      </c>
      <c r="AL16" s="37">
        <f t="shared" si="2"/>
        <v>1</v>
      </c>
      <c r="AM16" s="42">
        <f t="shared" si="2"/>
        <v>1</v>
      </c>
      <c r="AN16" s="37">
        <f t="shared" si="2"/>
        <v>1</v>
      </c>
      <c r="AO16" s="42">
        <f t="shared" si="2"/>
        <v>1</v>
      </c>
      <c r="AP16" s="37">
        <f t="shared" si="2"/>
        <v>1</v>
      </c>
      <c r="AQ16" s="42">
        <f t="shared" si="2"/>
        <v>1</v>
      </c>
      <c r="AR16" s="37">
        <f t="shared" si="2"/>
        <v>1</v>
      </c>
      <c r="AS16" s="44">
        <f t="shared" si="2"/>
        <v>1</v>
      </c>
    </row>
    <row r="18" spans="1:45" thickBot="1" x14ac:dyDescent="0.3">
      <c r="A18" s="35" t="s">
        <v>393</v>
      </c>
      <c r="D18" s="37"/>
      <c r="E18" s="37"/>
      <c r="F18" s="37"/>
      <c r="G18" s="37"/>
      <c r="H18" s="37"/>
      <c r="I18" s="37"/>
      <c r="J18" s="37"/>
      <c r="K18" s="37"/>
      <c r="L18" s="37"/>
      <c r="M18" s="37"/>
      <c r="N18" s="37"/>
      <c r="O18" s="37"/>
      <c r="T18" s="37"/>
      <c r="U18" s="37"/>
      <c r="V18" s="37"/>
      <c r="W18" s="37"/>
      <c r="X18" s="37"/>
      <c r="Y18" s="37"/>
      <c r="Z18" s="37"/>
      <c r="AA18" s="37"/>
      <c r="AB18" s="37"/>
      <c r="AC18" s="37"/>
      <c r="AD18" s="37"/>
      <c r="AE18" s="37"/>
      <c r="AH18" s="37"/>
      <c r="AI18" s="37"/>
      <c r="AJ18" s="37"/>
      <c r="AK18" s="37"/>
      <c r="AL18" s="37"/>
      <c r="AM18" s="37"/>
      <c r="AN18" s="37"/>
      <c r="AO18" s="37"/>
      <c r="AP18" s="37"/>
      <c r="AQ18" s="37"/>
      <c r="AR18" s="37"/>
      <c r="AS18" s="37"/>
    </row>
    <row r="19" spans="1:45" ht="17.25" customHeight="1" thickBot="1" x14ac:dyDescent="0.3">
      <c r="A19" s="88" t="s">
        <v>396</v>
      </c>
      <c r="C19" s="55"/>
      <c r="D19" s="48">
        <v>43466</v>
      </c>
      <c r="E19" s="48">
        <v>43497</v>
      </c>
      <c r="F19" s="48">
        <v>43525</v>
      </c>
      <c r="G19" s="48">
        <v>43556</v>
      </c>
      <c r="H19" s="48">
        <v>43586</v>
      </c>
      <c r="I19" s="48">
        <v>43617</v>
      </c>
      <c r="J19" s="48">
        <v>43647</v>
      </c>
      <c r="K19" s="48">
        <v>43678</v>
      </c>
      <c r="L19" s="48">
        <v>43709</v>
      </c>
      <c r="M19" s="48">
        <v>43739</v>
      </c>
      <c r="N19" s="48">
        <v>43770</v>
      </c>
      <c r="O19" s="48">
        <v>43800</v>
      </c>
      <c r="P19" s="68"/>
      <c r="Q19" s="87" t="s">
        <v>411</v>
      </c>
      <c r="S19" s="55"/>
      <c r="T19" s="48">
        <v>43466</v>
      </c>
      <c r="U19" s="48">
        <v>43497</v>
      </c>
      <c r="V19" s="48">
        <v>43525</v>
      </c>
      <c r="W19" s="48">
        <v>43556</v>
      </c>
      <c r="X19" s="48">
        <v>43586</v>
      </c>
      <c r="Y19" s="48">
        <v>43617</v>
      </c>
      <c r="Z19" s="48">
        <v>43647</v>
      </c>
      <c r="AA19" s="48">
        <v>43678</v>
      </c>
      <c r="AB19" s="48">
        <v>43709</v>
      </c>
      <c r="AC19" s="48">
        <v>43739</v>
      </c>
      <c r="AD19" s="48">
        <v>43770</v>
      </c>
      <c r="AE19" s="48">
        <v>43800</v>
      </c>
      <c r="AF19" s="75"/>
      <c r="AG19" s="55"/>
      <c r="AH19" s="48">
        <v>43466</v>
      </c>
      <c r="AI19" s="48">
        <v>43497</v>
      </c>
      <c r="AJ19" s="48">
        <v>43525</v>
      </c>
      <c r="AK19" s="48">
        <v>43556</v>
      </c>
      <c r="AL19" s="48">
        <v>43586</v>
      </c>
      <c r="AM19" s="48">
        <v>43617</v>
      </c>
      <c r="AN19" s="48">
        <v>43647</v>
      </c>
      <c r="AO19" s="48">
        <v>43678</v>
      </c>
      <c r="AP19" s="48">
        <v>43709</v>
      </c>
      <c r="AQ19" s="48">
        <v>43739</v>
      </c>
      <c r="AR19" s="48">
        <v>43770</v>
      </c>
      <c r="AS19" s="67">
        <v>43800</v>
      </c>
    </row>
    <row r="20" spans="1:45" ht="17.25" customHeight="1" x14ac:dyDescent="0.25">
      <c r="A20" s="88"/>
      <c r="B20" s="36"/>
      <c r="C20" s="56" t="s">
        <v>388</v>
      </c>
      <c r="D20" s="38">
        <f>SUMPRODUCT((extract!$K$2:$K$2000&gt;=EOMONTH(D$19,0)+1)*(extract!$J$2:$J$2000&lt;=EOMONTH(D$19,0))*(extract!$M$2:$M$2000="Oui")*(extract!$B$2:$B$2000=$C20)*1)+SUMPRODUCT((extract!$K$2:$K$2000=0)*(extract!$J$2:$J$2000&lt;=EOMONTH(D$19,0))*(extract!$M$2:$M$2000="Oui")*(extract!$B$2:$B$2000=$C20)*1)</f>
        <v>0</v>
      </c>
      <c r="E20" s="40">
        <f>SUMPRODUCT((extract!$K$2:$K$2000&gt;=EOMONTH(E$19,0)+1)*(extract!$J$2:$J$2000&lt;=EOMONTH(E$19,0))*(extract!$M$2:$M$2000="Oui")*(extract!$B$2:$B$2000=$C20)*1)+SUMPRODUCT((extract!$K$2:$K$2000=0)*(extract!$J$2:$J$2000&lt;=EOMONTH(E$19,0))*(extract!$M$2:$M$2000="Oui")*(extract!$B$2:$B$2000=$C20)*1)</f>
        <v>0</v>
      </c>
      <c r="F20" s="38">
        <f>SUMPRODUCT((extract!$K$2:$K$2000&gt;=EOMONTH(F$19,0)+1)*(extract!$J$2:$J$2000&lt;=EOMONTH(F$19,0))*(extract!$M$2:$M$2000="Oui")*(extract!$B$2:$B$2000=$C20)*1)+SUMPRODUCT((extract!$K$2:$K$2000=0)*(extract!$J$2:$J$2000&lt;=EOMONTH(F$19,0))*(extract!$M$2:$M$2000="Oui")*(extract!$B$2:$B$2000=$C20)*1)</f>
        <v>0</v>
      </c>
      <c r="G20" s="40">
        <f>SUMPRODUCT((extract!$K$2:$K$2000&gt;=EOMONTH(G$19,0)+1)*(extract!$J$2:$J$2000&lt;=EOMONTH(G$19,0))*(extract!$M$2:$M$2000="Oui")*(extract!$B$2:$B$2000=$C20)*1)+SUMPRODUCT((extract!$K$2:$K$2000=0)*(extract!$J$2:$J$2000&lt;=EOMONTH(G$19,0))*(extract!$M$2:$M$2000="Oui")*(extract!$B$2:$B$2000=$C20)*1)</f>
        <v>0</v>
      </c>
      <c r="H20" s="38">
        <f>SUMPRODUCT((extract!$K$2:$K$2000&gt;=EOMONTH(H$19,0)+1)*(extract!$J$2:$J$2000&lt;=EOMONTH(H$19,0))*(extract!$M$2:$M$2000="Oui")*(extract!$B$2:$B$2000=$C20)*1)+SUMPRODUCT((extract!$K$2:$K$2000=0)*(extract!$J$2:$J$2000&lt;=EOMONTH(H$19,0))*(extract!$M$2:$M$2000="Oui")*(extract!$B$2:$B$2000=$C20)*1)</f>
        <v>0</v>
      </c>
      <c r="I20" s="40">
        <f>SUMPRODUCT((extract!$K$2:$K$2000&gt;=EOMONTH(I$19,0)+1)*(extract!$J$2:$J$2000&lt;=EOMONTH(I$19,0))*(extract!$M$2:$M$2000="Oui")*(extract!$B$2:$B$2000=$C20)*1)+SUMPRODUCT((extract!$K$2:$K$2000=0)*(extract!$J$2:$J$2000&lt;=EOMONTH(I$19,0))*(extract!$M$2:$M$2000="Oui")*(extract!$B$2:$B$2000=$C20)*1)</f>
        <v>0</v>
      </c>
      <c r="J20" s="38">
        <f>SUMPRODUCT((extract!$K$2:$K$2000&gt;=EOMONTH(J$19,0)+1)*(extract!$J$2:$J$2000&lt;=EOMONTH(J$19,0))*(extract!$M$2:$M$2000="Oui")*(extract!$B$2:$B$2000=$C20)*1)+SUMPRODUCT((extract!$K$2:$K$2000=0)*(extract!$J$2:$J$2000&lt;=EOMONTH(J$19,0))*(extract!$M$2:$M$2000="Oui")*(extract!$B$2:$B$2000=$C20)*1)</f>
        <v>0</v>
      </c>
      <c r="K20" s="40">
        <f>SUMPRODUCT((extract!$K$2:$K$2000&gt;=EOMONTH(K$19,0)+1)*(extract!$J$2:$J$2000&lt;=EOMONTH(K$19,0))*(extract!$M$2:$M$2000="Oui")*(extract!$B$2:$B$2000=$C20)*1)+SUMPRODUCT((extract!$K$2:$K$2000=0)*(extract!$J$2:$J$2000&lt;=EOMONTH(K$19,0))*(extract!$M$2:$M$2000="Oui")*(extract!$B$2:$B$2000=$C20)*1)</f>
        <v>0</v>
      </c>
      <c r="L20" s="38">
        <f>SUMPRODUCT((extract!$K$2:$K$2000&gt;=EOMONTH(L$19,0)+1)*(extract!$J$2:$J$2000&lt;=EOMONTH(L$19,0))*(extract!$M$2:$M$2000="Oui")*(extract!$B$2:$B$2000=$C20)*1)+SUMPRODUCT((extract!$K$2:$K$2000=0)*(extract!$J$2:$J$2000&lt;=EOMONTH(L$19,0))*(extract!$M$2:$M$2000="Oui")*(extract!$B$2:$B$2000=$C20)*1)</f>
        <v>0</v>
      </c>
      <c r="M20" s="40">
        <f>SUMPRODUCT((extract!$K$2:$K$2000&gt;=EOMONTH(M$19,0)+1)*(extract!$J$2:$J$2000&lt;=EOMONTH(M$19,0))*(extract!$M$2:$M$2000="Oui")*(extract!$B$2:$B$2000=$C20)*1)+SUMPRODUCT((extract!$K$2:$K$2000=0)*(extract!$J$2:$J$2000&lt;=EOMONTH(M$19,0))*(extract!$M$2:$M$2000="Oui")*(extract!$B$2:$B$2000=$C20)*1)</f>
        <v>0</v>
      </c>
      <c r="N20" s="38">
        <f>SUMPRODUCT((extract!$K$2:$K$2000&gt;=EOMONTH(N$19,0)+1)*(extract!$J$2:$J$2000&lt;=EOMONTH(N$19,0))*(extract!$M$2:$M$2000="Oui")*(extract!$B$2:$B$2000=$C20)*1)+SUMPRODUCT((extract!$K$2:$K$2000=0)*(extract!$J$2:$J$2000&lt;=EOMONTH(N$19,0))*(extract!$M$2:$M$2000="Oui")*(extract!$B$2:$B$2000=$C20)*1)</f>
        <v>0</v>
      </c>
      <c r="O20" s="45">
        <f>SUMPRODUCT((extract!$K$2:$K$2000&gt;=EOMONTH(O$19,0)+1)*(extract!$J$2:$J$2000&lt;=EOMONTH(O$19,0))*(extract!$M$2:$M$2000="Oui")*(extract!$B$2:$B$2000=$C20)*1)+SUMPRODUCT((extract!$K$2:$K$2000=0)*(extract!$J$2:$J$2000&lt;=EOMONTH(O$19,0))*(extract!$M$2:$M$2000="Oui")*(extract!$B$2:$B$2000=$C20)*1)</f>
        <v>0</v>
      </c>
      <c r="Q20" s="87"/>
      <c r="R20" s="36"/>
      <c r="S20" s="56" t="s">
        <v>388</v>
      </c>
      <c r="T20" s="38">
        <v>0</v>
      </c>
      <c r="U20" s="40">
        <v>0</v>
      </c>
      <c r="V20" s="38"/>
      <c r="W20" s="40"/>
      <c r="X20" s="38"/>
      <c r="Y20" s="40"/>
      <c r="Z20" s="38"/>
      <c r="AA20" s="40"/>
      <c r="AB20" s="38"/>
      <c r="AC20" s="40"/>
      <c r="AD20" s="38"/>
      <c r="AE20" s="45"/>
      <c r="AF20" s="36"/>
      <c r="AG20" s="56" t="s">
        <v>388</v>
      </c>
      <c r="AH20" s="38">
        <f>D20-T20</f>
        <v>0</v>
      </c>
      <c r="AI20" s="40">
        <f t="shared" ref="AI20:AS23" si="4">E20-U20</f>
        <v>0</v>
      </c>
      <c r="AJ20" s="38">
        <f t="shared" si="4"/>
        <v>0</v>
      </c>
      <c r="AK20" s="40">
        <f t="shared" si="4"/>
        <v>0</v>
      </c>
      <c r="AL20" s="38">
        <f t="shared" si="4"/>
        <v>0</v>
      </c>
      <c r="AM20" s="40">
        <f t="shared" si="4"/>
        <v>0</v>
      </c>
      <c r="AN20" s="38">
        <f t="shared" si="4"/>
        <v>0</v>
      </c>
      <c r="AO20" s="40">
        <f t="shared" si="4"/>
        <v>0</v>
      </c>
      <c r="AP20" s="38">
        <f t="shared" si="4"/>
        <v>0</v>
      </c>
      <c r="AQ20" s="40">
        <f t="shared" si="4"/>
        <v>0</v>
      </c>
      <c r="AR20" s="38">
        <f t="shared" si="4"/>
        <v>0</v>
      </c>
      <c r="AS20" s="45">
        <f t="shared" si="4"/>
        <v>0</v>
      </c>
    </row>
    <row r="21" spans="1:45" ht="17.25" customHeight="1" x14ac:dyDescent="0.25">
      <c r="A21" s="88"/>
      <c r="B21" s="36"/>
      <c r="C21" s="20" t="s">
        <v>198</v>
      </c>
      <c r="D21">
        <f>SUMPRODUCT((extract!$K$2:$K$2000&gt;=EOMONTH(D$19,0)+1)*(extract!$J$2:$J$2000&lt;=EOMONTH(D$19,0))*(extract!$M$2:$M$2000="Oui")*(extract!$B$2:$B$2000=$C21)*1)+SUMPRODUCT((extract!$K$2:$K$2000=0)*(extract!$J$2:$J$2000&lt;=EOMONTH(D$19,0))*(extract!$M$2:$M$2000="Oui")*(extract!$B$2:$B$2000=$C21)*1)</f>
        <v>0</v>
      </c>
      <c r="E21" s="41">
        <f>SUMPRODUCT((extract!$K$2:$K$2000&gt;=EOMONTH(E$19,0)+1)*(extract!$J$2:$J$2000&lt;=EOMONTH(E$19,0))*(extract!$M$2:$M$2000="Oui")*(extract!$B$2:$B$2000=$C21)*1)+SUMPRODUCT((extract!$K$2:$K$2000=0)*(extract!$J$2:$J$2000&lt;=EOMONTH(E$19,0))*(extract!$M$2:$M$2000="Oui")*(extract!$B$2:$B$2000=$C21)*1)</f>
        <v>0</v>
      </c>
      <c r="F21">
        <f>SUMPRODUCT((extract!$K$2:$K$2000&gt;=EOMONTH(F$19,0)+1)*(extract!$J$2:$J$2000&lt;=EOMONTH(F$19,0))*(extract!$M$2:$M$2000="Oui")*(extract!$B$2:$B$2000=$C21)*1)+SUMPRODUCT((extract!$K$2:$K$2000=0)*(extract!$J$2:$J$2000&lt;=EOMONTH(F$19,0))*(extract!$M$2:$M$2000="Oui")*(extract!$B$2:$B$2000=$C21)*1)</f>
        <v>0</v>
      </c>
      <c r="G21" s="41">
        <f>SUMPRODUCT((extract!$K$2:$K$2000&gt;=EOMONTH(G$19,0)+1)*(extract!$J$2:$J$2000&lt;=EOMONTH(G$19,0))*(extract!$M$2:$M$2000="Oui")*(extract!$B$2:$B$2000=$C21)*1)+SUMPRODUCT((extract!$K$2:$K$2000=0)*(extract!$J$2:$J$2000&lt;=EOMONTH(G$19,0))*(extract!$M$2:$M$2000="Oui")*(extract!$B$2:$B$2000=$C21)*1)</f>
        <v>0</v>
      </c>
      <c r="H21">
        <f>SUMPRODUCT((extract!$K$2:$K$2000&gt;=EOMONTH(H$19,0)+1)*(extract!$J$2:$J$2000&lt;=EOMONTH(H$19,0))*(extract!$M$2:$M$2000="Oui")*(extract!$B$2:$B$2000=$C21)*1)+SUMPRODUCT((extract!$K$2:$K$2000=0)*(extract!$J$2:$J$2000&lt;=EOMONTH(H$19,0))*(extract!$M$2:$M$2000="Oui")*(extract!$B$2:$B$2000=$C21)*1)</f>
        <v>0</v>
      </c>
      <c r="I21" s="41">
        <f>SUMPRODUCT((extract!$K$2:$K$2000&gt;=EOMONTH(I$19,0)+1)*(extract!$J$2:$J$2000&lt;=EOMONTH(I$19,0))*(extract!$M$2:$M$2000="Oui")*(extract!$B$2:$B$2000=$C21)*1)+SUMPRODUCT((extract!$K$2:$K$2000=0)*(extract!$J$2:$J$2000&lt;=EOMONTH(I$19,0))*(extract!$M$2:$M$2000="Oui")*(extract!$B$2:$B$2000=$C21)*1)</f>
        <v>0</v>
      </c>
      <c r="J21">
        <f>SUMPRODUCT((extract!$K$2:$K$2000&gt;=EOMONTH(J$19,0)+1)*(extract!$J$2:$J$2000&lt;=EOMONTH(J$19,0))*(extract!$M$2:$M$2000="Oui")*(extract!$B$2:$B$2000=$C21)*1)+SUMPRODUCT((extract!$K$2:$K$2000=0)*(extract!$J$2:$J$2000&lt;=EOMONTH(J$19,0))*(extract!$M$2:$M$2000="Oui")*(extract!$B$2:$B$2000=$C21)*1)</f>
        <v>0</v>
      </c>
      <c r="K21" s="41">
        <f>SUMPRODUCT((extract!$K$2:$K$2000&gt;=EOMONTH(K$19,0)+1)*(extract!$J$2:$J$2000&lt;=EOMONTH(K$19,0))*(extract!$M$2:$M$2000="Oui")*(extract!$B$2:$B$2000=$C21)*1)+SUMPRODUCT((extract!$K$2:$K$2000=0)*(extract!$J$2:$J$2000&lt;=EOMONTH(K$19,0))*(extract!$M$2:$M$2000="Oui")*(extract!$B$2:$B$2000=$C21)*1)</f>
        <v>0</v>
      </c>
      <c r="L21">
        <f>SUMPRODUCT((extract!$K$2:$K$2000&gt;=EOMONTH(L$19,0)+1)*(extract!$J$2:$J$2000&lt;=EOMONTH(L$19,0))*(extract!$M$2:$M$2000="Oui")*(extract!$B$2:$B$2000=$C21)*1)+SUMPRODUCT((extract!$K$2:$K$2000=0)*(extract!$J$2:$J$2000&lt;=EOMONTH(L$19,0))*(extract!$M$2:$M$2000="Oui")*(extract!$B$2:$B$2000=$C21)*1)</f>
        <v>0</v>
      </c>
      <c r="M21" s="41">
        <f>SUMPRODUCT((extract!$K$2:$K$2000&gt;=EOMONTH(M$19,0)+1)*(extract!$J$2:$J$2000&lt;=EOMONTH(M$19,0))*(extract!$M$2:$M$2000="Oui")*(extract!$B$2:$B$2000=$C21)*1)+SUMPRODUCT((extract!$K$2:$K$2000=0)*(extract!$J$2:$J$2000&lt;=EOMONTH(M$19,0))*(extract!$M$2:$M$2000="Oui")*(extract!$B$2:$B$2000=$C21)*1)</f>
        <v>0</v>
      </c>
      <c r="N21">
        <f>SUMPRODUCT((extract!$K$2:$K$2000&gt;=EOMONTH(N$19,0)+1)*(extract!$J$2:$J$2000&lt;=EOMONTH(N$19,0))*(extract!$M$2:$M$2000="Oui")*(extract!$B$2:$B$2000=$C21)*1)+SUMPRODUCT((extract!$K$2:$K$2000=0)*(extract!$J$2:$J$2000&lt;=EOMONTH(N$19,0))*(extract!$M$2:$M$2000="Oui")*(extract!$B$2:$B$2000=$C21)*1)</f>
        <v>0</v>
      </c>
      <c r="O21" s="43">
        <f>SUMPRODUCT((extract!$K$2:$K$2000&gt;=EOMONTH(O$19,0)+1)*(extract!$J$2:$J$2000&lt;=EOMONTH(O$19,0))*(extract!$M$2:$M$2000="Oui")*(extract!$B$2:$B$2000=$C21)*1)+SUMPRODUCT((extract!$K$2:$K$2000=0)*(extract!$J$2:$J$2000&lt;=EOMONTH(O$19,0))*(extract!$M$2:$M$2000="Oui")*(extract!$B$2:$B$2000=$C21)*1)</f>
        <v>0</v>
      </c>
      <c r="Q21" s="87"/>
      <c r="R21" s="36"/>
      <c r="S21" s="20" t="s">
        <v>198</v>
      </c>
      <c r="T21" s="76">
        <v>0</v>
      </c>
      <c r="U21" s="41">
        <v>0</v>
      </c>
      <c r="W21" s="41"/>
      <c r="Y21" s="41"/>
      <c r="AA21" s="41"/>
      <c r="AC21" s="41"/>
      <c r="AE21" s="43"/>
      <c r="AF21" s="36"/>
      <c r="AG21" s="20" t="s">
        <v>198</v>
      </c>
      <c r="AH21">
        <f t="shared" ref="AH21:AH23" si="5">D21-T21</f>
        <v>0</v>
      </c>
      <c r="AI21" s="41">
        <f t="shared" si="4"/>
        <v>0</v>
      </c>
      <c r="AJ21">
        <f t="shared" si="4"/>
        <v>0</v>
      </c>
      <c r="AK21" s="41">
        <f t="shared" si="4"/>
        <v>0</v>
      </c>
      <c r="AL21">
        <f t="shared" si="4"/>
        <v>0</v>
      </c>
      <c r="AM21" s="41">
        <f t="shared" si="4"/>
        <v>0</v>
      </c>
      <c r="AN21">
        <f t="shared" si="4"/>
        <v>0</v>
      </c>
      <c r="AO21" s="41">
        <f t="shared" si="4"/>
        <v>0</v>
      </c>
      <c r="AP21">
        <f t="shared" si="4"/>
        <v>0</v>
      </c>
      <c r="AQ21" s="41">
        <f t="shared" si="4"/>
        <v>0</v>
      </c>
      <c r="AR21">
        <f t="shared" si="4"/>
        <v>0</v>
      </c>
      <c r="AS21" s="43">
        <f t="shared" si="4"/>
        <v>0</v>
      </c>
    </row>
    <row r="22" spans="1:45" ht="17.25" customHeight="1" x14ac:dyDescent="0.25">
      <c r="A22" s="88"/>
      <c r="B22" s="36"/>
      <c r="C22" s="56" t="s">
        <v>12</v>
      </c>
      <c r="D22" s="38">
        <f>SUMPRODUCT((extract!$K$2:$K$2000&gt;=EOMONTH(D$19,0)+1)*(extract!$J$2:$J$2000&lt;=EOMONTH(D$19,0))*(extract!$M$2:$M$2000="Oui")*(extract!$B$2:$B$2000=$C22)*1)+SUMPRODUCT((extract!$K$2:$K$2000=0)*(extract!$J$2:$J$2000&lt;=EOMONTH(D$19,0))*(extract!$M$2:$M$2000="Oui")*(extract!$B$2:$B$2000=$C22)*1)</f>
        <v>0</v>
      </c>
      <c r="E22" s="40">
        <f>SUMPRODUCT((extract!$K$2:$K$2000&gt;=EOMONTH(E$19,0)+1)*(extract!$J$2:$J$2000&lt;=EOMONTH(E$19,0))*(extract!$M$2:$M$2000="Oui")*(extract!$B$2:$B$2000=$C22)*1)+SUMPRODUCT((extract!$K$2:$K$2000=0)*(extract!$J$2:$J$2000&lt;=EOMONTH(E$19,0))*(extract!$M$2:$M$2000="Oui")*(extract!$B$2:$B$2000=$C22)*1)</f>
        <v>5</v>
      </c>
      <c r="F22" s="38">
        <f>SUMPRODUCT((extract!$K$2:$K$2000&gt;=EOMONTH(F$19,0)+1)*(extract!$J$2:$J$2000&lt;=EOMONTH(F$19,0))*(extract!$M$2:$M$2000="Oui")*(extract!$B$2:$B$2000=$C22)*1)+SUMPRODUCT((extract!$K$2:$K$2000=0)*(extract!$J$2:$J$2000&lt;=EOMONTH(F$19,0))*(extract!$M$2:$M$2000="Oui")*(extract!$B$2:$B$2000=$C22)*1)</f>
        <v>4</v>
      </c>
      <c r="G22" s="40">
        <f>SUMPRODUCT((extract!$K$2:$K$2000&gt;=EOMONTH(G$19,0)+1)*(extract!$J$2:$J$2000&lt;=EOMONTH(G$19,0))*(extract!$M$2:$M$2000="Oui")*(extract!$B$2:$B$2000=$C22)*1)+SUMPRODUCT((extract!$K$2:$K$2000=0)*(extract!$J$2:$J$2000&lt;=EOMONTH(G$19,0))*(extract!$M$2:$M$2000="Oui")*(extract!$B$2:$B$2000=$C22)*1)</f>
        <v>5</v>
      </c>
      <c r="H22" s="38">
        <f>SUMPRODUCT((extract!$K$2:$K$2000&gt;=EOMONTH(H$19,0)+1)*(extract!$J$2:$J$2000&lt;=EOMONTH(H$19,0))*(extract!$M$2:$M$2000="Oui")*(extract!$B$2:$B$2000=$C22)*1)+SUMPRODUCT((extract!$K$2:$K$2000=0)*(extract!$J$2:$J$2000&lt;=EOMONTH(H$19,0))*(extract!$M$2:$M$2000="Oui")*(extract!$B$2:$B$2000=$C22)*1)</f>
        <v>5</v>
      </c>
      <c r="I22" s="40">
        <f>SUMPRODUCT((extract!$K$2:$K$2000&gt;=EOMONTH(I$19,0)+1)*(extract!$J$2:$J$2000&lt;=EOMONTH(I$19,0))*(extract!$M$2:$M$2000="Oui")*(extract!$B$2:$B$2000=$C22)*1)+SUMPRODUCT((extract!$K$2:$K$2000=0)*(extract!$J$2:$J$2000&lt;=EOMONTH(I$19,0))*(extract!$M$2:$M$2000="Oui")*(extract!$B$2:$B$2000=$C22)*1)</f>
        <v>4</v>
      </c>
      <c r="J22" s="38">
        <f>SUMPRODUCT((extract!$K$2:$K$2000&gt;=EOMONTH(J$19,0)+1)*(extract!$J$2:$J$2000&lt;=EOMONTH(J$19,0))*(extract!$M$2:$M$2000="Oui")*(extract!$B$2:$B$2000=$C22)*1)+SUMPRODUCT((extract!$K$2:$K$2000=0)*(extract!$J$2:$J$2000&lt;=EOMONTH(J$19,0))*(extract!$M$2:$M$2000="Oui")*(extract!$B$2:$B$2000=$C22)*1)</f>
        <v>4</v>
      </c>
      <c r="K22" s="40">
        <f>SUMPRODUCT((extract!$K$2:$K$2000&gt;=EOMONTH(K$19,0)+1)*(extract!$J$2:$J$2000&lt;=EOMONTH(K$19,0))*(extract!$M$2:$M$2000="Oui")*(extract!$B$2:$B$2000=$C22)*1)+SUMPRODUCT((extract!$K$2:$K$2000=0)*(extract!$J$2:$J$2000&lt;=EOMONTH(K$19,0))*(extract!$M$2:$M$2000="Oui")*(extract!$B$2:$B$2000=$C22)*1)</f>
        <v>4</v>
      </c>
      <c r="L22" s="38">
        <f>SUMPRODUCT((extract!$K$2:$K$2000&gt;=EOMONTH(L$19,0)+1)*(extract!$J$2:$J$2000&lt;=EOMONTH(L$19,0))*(extract!$M$2:$M$2000="Oui")*(extract!$B$2:$B$2000=$C22)*1)+SUMPRODUCT((extract!$K$2:$K$2000=0)*(extract!$J$2:$J$2000&lt;=EOMONTH(L$19,0))*(extract!$M$2:$M$2000="Oui")*(extract!$B$2:$B$2000=$C22)*1)</f>
        <v>4</v>
      </c>
      <c r="M22" s="40">
        <f>SUMPRODUCT((extract!$K$2:$K$2000&gt;=EOMONTH(M$19,0)+1)*(extract!$J$2:$J$2000&lt;=EOMONTH(M$19,0))*(extract!$M$2:$M$2000="Oui")*(extract!$B$2:$B$2000=$C22)*1)+SUMPRODUCT((extract!$K$2:$K$2000=0)*(extract!$J$2:$J$2000&lt;=EOMONTH(M$19,0))*(extract!$M$2:$M$2000="Oui")*(extract!$B$2:$B$2000=$C22)*1)</f>
        <v>4</v>
      </c>
      <c r="N22" s="38">
        <f>SUMPRODUCT((extract!$K$2:$K$2000&gt;=EOMONTH(N$19,0)+1)*(extract!$J$2:$J$2000&lt;=EOMONTH(N$19,0))*(extract!$M$2:$M$2000="Oui")*(extract!$B$2:$B$2000=$C22)*1)+SUMPRODUCT((extract!$K$2:$K$2000=0)*(extract!$J$2:$J$2000&lt;=EOMONTH(N$19,0))*(extract!$M$2:$M$2000="Oui")*(extract!$B$2:$B$2000=$C22)*1)</f>
        <v>4</v>
      </c>
      <c r="O22" s="45">
        <f>SUMPRODUCT((extract!$K$2:$K$2000&gt;=EOMONTH(O$19,0)+1)*(extract!$J$2:$J$2000&lt;=EOMONTH(O$19,0))*(extract!$M$2:$M$2000="Oui")*(extract!$B$2:$B$2000=$C22)*1)+SUMPRODUCT((extract!$K$2:$K$2000=0)*(extract!$J$2:$J$2000&lt;=EOMONTH(O$19,0))*(extract!$M$2:$M$2000="Oui")*(extract!$B$2:$B$2000=$C22)*1)</f>
        <v>4</v>
      </c>
      <c r="Q22" s="87"/>
      <c r="R22" s="36"/>
      <c r="S22" s="56" t="s">
        <v>12</v>
      </c>
      <c r="T22" s="38">
        <v>0</v>
      </c>
      <c r="U22" s="40">
        <v>5</v>
      </c>
      <c r="V22" s="38"/>
      <c r="W22" s="40"/>
      <c r="X22" s="38"/>
      <c r="Y22" s="40"/>
      <c r="Z22" s="38"/>
      <c r="AA22" s="40"/>
      <c r="AB22" s="38"/>
      <c r="AC22" s="40"/>
      <c r="AD22" s="38"/>
      <c r="AE22" s="45"/>
      <c r="AF22" s="36"/>
      <c r="AG22" s="56" t="s">
        <v>12</v>
      </c>
      <c r="AH22" s="38">
        <f t="shared" si="5"/>
        <v>0</v>
      </c>
      <c r="AI22" s="40">
        <f t="shared" si="4"/>
        <v>0</v>
      </c>
      <c r="AJ22" s="38">
        <f t="shared" si="4"/>
        <v>4</v>
      </c>
      <c r="AK22" s="40">
        <f t="shared" si="4"/>
        <v>5</v>
      </c>
      <c r="AL22" s="38">
        <f t="shared" si="4"/>
        <v>5</v>
      </c>
      <c r="AM22" s="40">
        <f t="shared" si="4"/>
        <v>4</v>
      </c>
      <c r="AN22" s="38">
        <f t="shared" si="4"/>
        <v>4</v>
      </c>
      <c r="AO22" s="40">
        <f t="shared" si="4"/>
        <v>4</v>
      </c>
      <c r="AP22" s="38">
        <f t="shared" si="4"/>
        <v>4</v>
      </c>
      <c r="AQ22" s="40">
        <f t="shared" si="4"/>
        <v>4</v>
      </c>
      <c r="AR22" s="38">
        <f t="shared" si="4"/>
        <v>4</v>
      </c>
      <c r="AS22" s="45">
        <f t="shared" si="4"/>
        <v>4</v>
      </c>
    </row>
    <row r="23" spans="1:45" ht="17.25" customHeight="1" thickBot="1" x14ac:dyDescent="0.3">
      <c r="A23" s="88"/>
      <c r="B23" s="36"/>
      <c r="C23" s="57" t="s">
        <v>103</v>
      </c>
      <c r="D23" s="37">
        <f>SUMPRODUCT((extract!$K$2:$K$2000&gt;=EOMONTH(D$19,0)+1)*(extract!$J$2:$J$2000&lt;=EOMONTH(D$19,0))*(extract!$M$2:$M$2000="Oui")*(extract!$B$2:$B$2000=$C23)*1)+SUMPRODUCT((extract!$K$2:$K$2000=0)*(extract!$J$2:$J$2000&lt;=EOMONTH(D$19,0))*(extract!$M$2:$M$2000="Oui")*(extract!$B$2:$B$2000=$C23)*1)</f>
        <v>0</v>
      </c>
      <c r="E23" s="42">
        <f>SUMPRODUCT((extract!$K$2:$K$2000&gt;=EOMONTH(E$19,0)+1)*(extract!$J$2:$J$2000&lt;=EOMONTH(E$19,0))*(extract!$M$2:$M$2000="Oui")*(extract!$B$2:$B$2000=$C23)*1)+SUMPRODUCT((extract!$K$2:$K$2000=0)*(extract!$J$2:$J$2000&lt;=EOMONTH(E$19,0))*(extract!$M$2:$M$2000="Oui")*(extract!$B$2:$B$2000=$C23)*1)</f>
        <v>0</v>
      </c>
      <c r="F23" s="37">
        <f>SUMPRODUCT((extract!$K$2:$K$2000&gt;=EOMONTH(F$19,0)+1)*(extract!$J$2:$J$2000&lt;=EOMONTH(F$19,0))*(extract!$M$2:$M$2000="Oui")*(extract!$B$2:$B$2000=$C23)*1)+SUMPRODUCT((extract!$K$2:$K$2000=0)*(extract!$J$2:$J$2000&lt;=EOMONTH(F$19,0))*(extract!$M$2:$M$2000="Oui")*(extract!$B$2:$B$2000=$C23)*1)</f>
        <v>0</v>
      </c>
      <c r="G23" s="42">
        <f>SUMPRODUCT((extract!$K$2:$K$2000&gt;=EOMONTH(G$19,0)+1)*(extract!$J$2:$J$2000&lt;=EOMONTH(G$19,0))*(extract!$M$2:$M$2000="Oui")*(extract!$B$2:$B$2000=$C23)*1)+SUMPRODUCT((extract!$K$2:$K$2000=0)*(extract!$J$2:$J$2000&lt;=EOMONTH(G$19,0))*(extract!$M$2:$M$2000="Oui")*(extract!$B$2:$B$2000=$C23)*1)</f>
        <v>0</v>
      </c>
      <c r="H23" s="37">
        <f>SUMPRODUCT((extract!$K$2:$K$2000&gt;=EOMONTH(H$19,0)+1)*(extract!$J$2:$J$2000&lt;=EOMONTH(H$19,0))*(extract!$M$2:$M$2000="Oui")*(extract!$B$2:$B$2000=$C23)*1)+SUMPRODUCT((extract!$K$2:$K$2000=0)*(extract!$J$2:$J$2000&lt;=EOMONTH(H$19,0))*(extract!$M$2:$M$2000="Oui")*(extract!$B$2:$B$2000=$C23)*1)</f>
        <v>0</v>
      </c>
      <c r="I23" s="42">
        <f>SUMPRODUCT((extract!$K$2:$K$2000&gt;=EOMONTH(I$19,0)+1)*(extract!$J$2:$J$2000&lt;=EOMONTH(I$19,0))*(extract!$M$2:$M$2000="Oui")*(extract!$B$2:$B$2000=$C23)*1)+SUMPRODUCT((extract!$K$2:$K$2000=0)*(extract!$J$2:$J$2000&lt;=EOMONTH(I$19,0))*(extract!$M$2:$M$2000="Oui")*(extract!$B$2:$B$2000=$C23)*1)</f>
        <v>0</v>
      </c>
      <c r="J23" s="37">
        <f>SUMPRODUCT((extract!$K$2:$K$2000&gt;=EOMONTH(J$19,0)+1)*(extract!$J$2:$J$2000&lt;=EOMONTH(J$19,0))*(extract!$M$2:$M$2000="Oui")*(extract!$B$2:$B$2000=$C23)*1)+SUMPRODUCT((extract!$K$2:$K$2000=0)*(extract!$J$2:$J$2000&lt;=EOMONTH(J$19,0))*(extract!$M$2:$M$2000="Oui")*(extract!$B$2:$B$2000=$C23)*1)</f>
        <v>0</v>
      </c>
      <c r="K23" s="42">
        <f>SUMPRODUCT((extract!$K$2:$K$2000&gt;=EOMONTH(K$19,0)+1)*(extract!$J$2:$J$2000&lt;=EOMONTH(K$19,0))*(extract!$M$2:$M$2000="Oui")*(extract!$B$2:$B$2000=$C23)*1)+SUMPRODUCT((extract!$K$2:$K$2000=0)*(extract!$J$2:$J$2000&lt;=EOMONTH(K$19,0))*(extract!$M$2:$M$2000="Oui")*(extract!$B$2:$B$2000=$C23)*1)</f>
        <v>0</v>
      </c>
      <c r="L23" s="37">
        <f>SUMPRODUCT((extract!$K$2:$K$2000&gt;=EOMONTH(L$19,0)+1)*(extract!$J$2:$J$2000&lt;=EOMONTH(L$19,0))*(extract!$M$2:$M$2000="Oui")*(extract!$B$2:$B$2000=$C23)*1)+SUMPRODUCT((extract!$K$2:$K$2000=0)*(extract!$J$2:$J$2000&lt;=EOMONTH(L$19,0))*(extract!$M$2:$M$2000="Oui")*(extract!$B$2:$B$2000=$C23)*1)</f>
        <v>0</v>
      </c>
      <c r="M23" s="42">
        <f>SUMPRODUCT((extract!$K$2:$K$2000&gt;=EOMONTH(M$19,0)+1)*(extract!$J$2:$J$2000&lt;=EOMONTH(M$19,0))*(extract!$M$2:$M$2000="Oui")*(extract!$B$2:$B$2000=$C23)*1)+SUMPRODUCT((extract!$K$2:$K$2000=0)*(extract!$J$2:$J$2000&lt;=EOMONTH(M$19,0))*(extract!$M$2:$M$2000="Oui")*(extract!$B$2:$B$2000=$C23)*1)</f>
        <v>0</v>
      </c>
      <c r="N23" s="37">
        <f>SUMPRODUCT((extract!$K$2:$K$2000&gt;=EOMONTH(N$19,0)+1)*(extract!$J$2:$J$2000&lt;=EOMONTH(N$19,0))*(extract!$M$2:$M$2000="Oui")*(extract!$B$2:$B$2000=$C23)*1)+SUMPRODUCT((extract!$K$2:$K$2000=0)*(extract!$J$2:$J$2000&lt;=EOMONTH(N$19,0))*(extract!$M$2:$M$2000="Oui")*(extract!$B$2:$B$2000=$C23)*1)</f>
        <v>0</v>
      </c>
      <c r="O23" s="44">
        <f>SUMPRODUCT((extract!$K$2:$K$2000&gt;=EOMONTH(O$19,0)+1)*(extract!$J$2:$J$2000&lt;=EOMONTH(O$19,0))*(extract!$M$2:$M$2000="Oui")*(extract!$B$2:$B$2000=$C23)*1)+SUMPRODUCT((extract!$K$2:$K$2000=0)*(extract!$J$2:$J$2000&lt;=EOMONTH(O$19,0))*(extract!$M$2:$M$2000="Oui")*(extract!$B$2:$B$2000=$C23)*1)</f>
        <v>0</v>
      </c>
      <c r="Q23" s="87"/>
      <c r="S23" s="57" t="s">
        <v>103</v>
      </c>
      <c r="T23" s="37">
        <v>0</v>
      </c>
      <c r="U23" s="42">
        <v>0</v>
      </c>
      <c r="V23" s="37"/>
      <c r="W23" s="42"/>
      <c r="X23" s="37"/>
      <c r="Y23" s="42"/>
      <c r="Z23" s="37"/>
      <c r="AA23" s="42"/>
      <c r="AB23" s="37"/>
      <c r="AC23" s="42"/>
      <c r="AD23" s="37"/>
      <c r="AE23" s="44"/>
      <c r="AG23" s="57" t="s">
        <v>103</v>
      </c>
      <c r="AH23" s="37">
        <f t="shared" si="5"/>
        <v>0</v>
      </c>
      <c r="AI23" s="42">
        <f t="shared" si="4"/>
        <v>0</v>
      </c>
      <c r="AJ23" s="37">
        <f t="shared" si="4"/>
        <v>0</v>
      </c>
      <c r="AK23" s="42">
        <f t="shared" si="4"/>
        <v>0</v>
      </c>
      <c r="AL23" s="37">
        <f t="shared" si="4"/>
        <v>0</v>
      </c>
      <c r="AM23" s="42">
        <f t="shared" si="4"/>
        <v>0</v>
      </c>
      <c r="AN23" s="37">
        <f t="shared" si="4"/>
        <v>0</v>
      </c>
      <c r="AO23" s="42">
        <f t="shared" si="4"/>
        <v>0</v>
      </c>
      <c r="AP23" s="37">
        <f t="shared" si="4"/>
        <v>0</v>
      </c>
      <c r="AQ23" s="42">
        <f t="shared" si="4"/>
        <v>0</v>
      </c>
      <c r="AR23" s="37">
        <f t="shared" si="4"/>
        <v>0</v>
      </c>
      <c r="AS23" s="44">
        <f t="shared" si="4"/>
        <v>0</v>
      </c>
    </row>
    <row r="25" spans="1:45" ht="16.5" thickBot="1" x14ac:dyDescent="0.3">
      <c r="A25" s="34" t="s">
        <v>379</v>
      </c>
      <c r="D25" s="37"/>
      <c r="E25" s="37"/>
      <c r="F25" s="37"/>
      <c r="G25" s="37"/>
      <c r="H25" s="37"/>
      <c r="I25" s="37"/>
      <c r="J25" s="37"/>
      <c r="K25" s="37"/>
      <c r="L25" s="37"/>
      <c r="M25" s="37"/>
      <c r="N25" s="37"/>
      <c r="O25" s="37"/>
      <c r="T25" s="37"/>
      <c r="U25" s="37"/>
      <c r="V25" s="37"/>
      <c r="W25" s="37"/>
      <c r="X25" s="37"/>
      <c r="Y25" s="37"/>
      <c r="Z25" s="37"/>
      <c r="AA25" s="37"/>
      <c r="AB25" s="37"/>
      <c r="AC25" s="37"/>
      <c r="AD25" s="37"/>
      <c r="AE25" s="37"/>
      <c r="AH25" s="37"/>
      <c r="AI25" s="37"/>
      <c r="AJ25" s="37"/>
      <c r="AK25" s="37"/>
      <c r="AL25" s="37"/>
      <c r="AM25" s="37"/>
      <c r="AN25" s="37"/>
      <c r="AO25" s="37"/>
      <c r="AP25" s="37"/>
      <c r="AQ25" s="37"/>
      <c r="AR25" s="37"/>
      <c r="AS25" s="37"/>
    </row>
    <row r="26" spans="1:45" thickBot="1" x14ac:dyDescent="0.3">
      <c r="A26" s="52" t="s">
        <v>397</v>
      </c>
      <c r="C26" s="58">
        <v>43435</v>
      </c>
      <c r="D26" s="48">
        <v>43466</v>
      </c>
      <c r="E26" s="48">
        <v>43497</v>
      </c>
      <c r="F26" s="48">
        <v>43525</v>
      </c>
      <c r="G26" s="48">
        <v>43556</v>
      </c>
      <c r="H26" s="48">
        <v>43586</v>
      </c>
      <c r="I26" s="48">
        <v>43617</v>
      </c>
      <c r="J26" s="48">
        <v>43647</v>
      </c>
      <c r="K26" s="48">
        <v>43678</v>
      </c>
      <c r="L26" s="48">
        <v>43709</v>
      </c>
      <c r="M26" s="48">
        <v>43739</v>
      </c>
      <c r="N26" s="48">
        <v>43770</v>
      </c>
      <c r="O26" s="48">
        <v>43800</v>
      </c>
      <c r="P26" s="68"/>
      <c r="S26" s="58">
        <v>43435</v>
      </c>
      <c r="T26" s="48">
        <v>43466</v>
      </c>
      <c r="U26" s="48">
        <v>43497</v>
      </c>
      <c r="V26" s="48">
        <v>43525</v>
      </c>
      <c r="W26" s="48">
        <v>43556</v>
      </c>
      <c r="X26" s="48">
        <v>43586</v>
      </c>
      <c r="Y26" s="48">
        <v>43617</v>
      </c>
      <c r="Z26" s="48">
        <v>43647</v>
      </c>
      <c r="AA26" s="48">
        <v>43678</v>
      </c>
      <c r="AB26" s="48">
        <v>43709</v>
      </c>
      <c r="AC26" s="48">
        <v>43739</v>
      </c>
      <c r="AD26" s="48">
        <v>43770</v>
      </c>
      <c r="AE26" s="48">
        <v>43800</v>
      </c>
      <c r="AF26" s="75"/>
      <c r="AG26" s="58">
        <v>43435</v>
      </c>
      <c r="AH26" s="48">
        <v>43466</v>
      </c>
      <c r="AI26" s="48">
        <v>43497</v>
      </c>
      <c r="AJ26" s="48">
        <v>43525</v>
      </c>
      <c r="AK26" s="48">
        <v>43556</v>
      </c>
      <c r="AL26" s="48">
        <v>43586</v>
      </c>
      <c r="AM26" s="48">
        <v>43617</v>
      </c>
      <c r="AN26" s="48">
        <v>43647</v>
      </c>
      <c r="AO26" s="48">
        <v>43678</v>
      </c>
      <c r="AP26" s="48">
        <v>43709</v>
      </c>
      <c r="AQ26" s="48">
        <v>43739</v>
      </c>
      <c r="AR26" s="48">
        <v>43770</v>
      </c>
      <c r="AS26" s="67">
        <v>43800</v>
      </c>
    </row>
    <row r="27" spans="1:45" ht="72.75" customHeight="1" x14ac:dyDescent="0.25">
      <c r="A27" s="51" t="s">
        <v>398</v>
      </c>
      <c r="B27" s="36"/>
      <c r="C27" s="56" t="s">
        <v>13</v>
      </c>
      <c r="D27" s="56">
        <f>SUMPRODUCT((extract!$J$2:$J$2000&lt;=EOMONTH(D$26,-1))*(extract!$K$2:$K$2000&gt;=EOMONTH(D$26,0))*1)</f>
        <v>0</v>
      </c>
      <c r="E27" s="60">
        <f>SUMPRODUCT((extract!$J$2:$J$2000&lt;=EOMONTH(E$26,0))*(extract!$K$2:$K$2000&gt;=EOMONTH(E$26,-1))*1)</f>
        <v>61</v>
      </c>
      <c r="F27" s="56">
        <f>SUMPRODUCT((extract!$J$2:$J$2000&lt;=EOMONTH(F$26,0))*(extract!$K$2:$K$2000&gt;=EOMONTH(F$26,-1))*1)</f>
        <v>76</v>
      </c>
      <c r="G27" s="60">
        <f>SUMPRODUCT((extract!$J$2:$J$2000&lt;=EOMONTH(G$26,0))*(extract!$K$2:$K$2000&gt;=EOMONTH(G$26,-1))*1)</f>
        <v>57</v>
      </c>
      <c r="H27" s="56">
        <f>SUMPRODUCT((extract!$J$2:$J$2000&lt;=EOMONTH(H$26,0))*(extract!$K$2:$K$2000&gt;=EOMONTH(H$26,-1))*1)</f>
        <v>24</v>
      </c>
      <c r="I27" s="60">
        <f>SUMPRODUCT((extract!$J$2:$J$2000&lt;=EOMONTH(I$26,0))*(extract!$K$2:$K$2000&gt;=EOMONTH(I$26,-1))*1)</f>
        <v>23</v>
      </c>
      <c r="J27" s="56">
        <f>SUMPRODUCT((extract!$J$2:$J$2000&lt;=EOMONTH(J$26,0))*(extract!$K$2:$K$2000&gt;=EOMONTH(J$26,-1))*1)</f>
        <v>0</v>
      </c>
      <c r="K27" s="60">
        <f>SUMPRODUCT((extract!$J$2:$J$2000&lt;=EOMONTH(K$26,0))*(extract!$K$2:$K$2000&gt;=EOMONTH(K$26,-1))*1)</f>
        <v>0</v>
      </c>
      <c r="L27" s="56">
        <f>SUMPRODUCT((extract!$J$2:$J$2000&lt;=EOMONTH(L$26,0))*(extract!$K$2:$K$2000&gt;=EOMONTH(L$26,-1))*1)</f>
        <v>0</v>
      </c>
      <c r="M27" s="60">
        <f>SUMPRODUCT((extract!$J$2:$J$2000&lt;=EOMONTH(M$26,0))*(extract!$K$2:$K$2000&gt;=EOMONTH(M$26,-1))*1)</f>
        <v>0</v>
      </c>
      <c r="N27" s="56">
        <f>SUMPRODUCT((extract!$J$2:$J$2000&lt;=EOMONTH(N$26,0))*(extract!$K$2:$K$2000&gt;=EOMONTH(N$26,-1))*1)</f>
        <v>0</v>
      </c>
      <c r="O27" s="61">
        <f>SUMPRODUCT((extract!$J$2:$J$2000&lt;=EOMONTH(O$26,0))*(extract!$K$2:$K$2000&gt;=EOMONTH(O$26,-1))*1)</f>
        <v>0</v>
      </c>
      <c r="Q27" s="73" t="s">
        <v>415</v>
      </c>
      <c r="R27" s="36"/>
      <c r="S27" s="56" t="s">
        <v>13</v>
      </c>
      <c r="T27" s="56">
        <v>0</v>
      </c>
      <c r="U27" s="60">
        <v>0</v>
      </c>
      <c r="V27" s="56">
        <v>70</v>
      </c>
      <c r="W27" s="60"/>
      <c r="X27" s="56"/>
      <c r="Y27" s="60"/>
      <c r="Z27" s="56"/>
      <c r="AA27" s="60"/>
      <c r="AB27" s="56"/>
      <c r="AC27" s="60"/>
      <c r="AD27" s="56"/>
      <c r="AE27" s="61"/>
      <c r="AF27" s="36"/>
      <c r="AG27" s="56" t="s">
        <v>13</v>
      </c>
      <c r="AH27" s="56">
        <f>D27-T27</f>
        <v>0</v>
      </c>
      <c r="AI27" s="60">
        <f t="shared" ref="AI27:AS30" si="6">E27-U27</f>
        <v>61</v>
      </c>
      <c r="AJ27" s="56">
        <f t="shared" si="6"/>
        <v>6</v>
      </c>
      <c r="AK27" s="60">
        <f t="shared" si="6"/>
        <v>57</v>
      </c>
      <c r="AL27" s="56">
        <f t="shared" si="6"/>
        <v>24</v>
      </c>
      <c r="AM27" s="60">
        <f t="shared" si="6"/>
        <v>23</v>
      </c>
      <c r="AN27" s="56">
        <f t="shared" si="6"/>
        <v>0</v>
      </c>
      <c r="AO27" s="60">
        <f t="shared" si="6"/>
        <v>0</v>
      </c>
      <c r="AP27" s="56">
        <f t="shared" si="6"/>
        <v>0</v>
      </c>
      <c r="AQ27" s="60">
        <f t="shared" si="6"/>
        <v>0</v>
      </c>
      <c r="AR27" s="56">
        <f t="shared" si="6"/>
        <v>0</v>
      </c>
      <c r="AS27" s="61">
        <f t="shared" si="6"/>
        <v>0</v>
      </c>
    </row>
    <row r="28" spans="1:45" ht="16.5" customHeight="1" x14ac:dyDescent="0.25">
      <c r="A28" s="54" t="s">
        <v>399</v>
      </c>
      <c r="B28" s="36"/>
      <c r="C28" s="78" t="s">
        <v>380</v>
      </c>
      <c r="D28" s="79">
        <f>SUMIF(extract!J2:J2000,MOIS=D26,extract!W2:W2000)</f>
        <v>0</v>
      </c>
      <c r="E28" s="80">
        <f>SUMIF(extract!K2:K2000,MOIS=E26,extract!X2:X2000)</f>
        <v>0</v>
      </c>
      <c r="F28" s="79">
        <f>SUMIF(extract!L2:L2000,MOIS=F26,extract!Y2:Y2000)</f>
        <v>0</v>
      </c>
      <c r="G28" s="80">
        <f>SUMIF(extract!M2:M2000,MOIS=G26,extract!Z2:Z2000)</f>
        <v>0</v>
      </c>
      <c r="H28" s="79">
        <f>SUMIF(extract!N2:N2000,MOIS=H26,extract!AA2:AA2000)</f>
        <v>0</v>
      </c>
      <c r="I28" s="80">
        <f>SUMIF(extract!O2:O2000,MOIS=I26,extract!AB2:AB2000)</f>
        <v>0</v>
      </c>
      <c r="J28" s="79">
        <f>SUMIF(extract!P2:P2000,MOIS=J26,extract!AC2:AC2000)</f>
        <v>0</v>
      </c>
      <c r="K28" s="80">
        <f>SUMIF(extract!Q2:Q2000,MOIS=K26,extract!AD2:AD2000)</f>
        <v>0</v>
      </c>
      <c r="L28" s="79">
        <f>SUMIF(extract!R2:R2000,MOIS=L26,extract!AE2:AE2000)</f>
        <v>0</v>
      </c>
      <c r="M28" s="80">
        <f>SUMIF(extract!S2:S2000,MOIS=M26,extract!AF2:AF2000)</f>
        <v>0</v>
      </c>
      <c r="N28" s="79">
        <f>SUMIF(extract!T2:T2000,MOIS=N26,extract!AG2:AG2000)</f>
        <v>0</v>
      </c>
      <c r="O28" s="81">
        <f>SUMIF(extract!U2:U2000,MOIS=O26,extract!AH2:AH2000)</f>
        <v>0</v>
      </c>
      <c r="Q28" s="70" t="s">
        <v>414</v>
      </c>
      <c r="R28" s="36"/>
      <c r="S28" s="20" t="s">
        <v>380</v>
      </c>
      <c r="T28" s="76">
        <v>0</v>
      </c>
      <c r="U28" s="41">
        <v>74</v>
      </c>
      <c r="W28" s="41"/>
      <c r="Y28" s="41"/>
      <c r="AA28" s="41"/>
      <c r="AC28" s="41"/>
      <c r="AE28" s="43"/>
      <c r="AF28" s="36"/>
      <c r="AG28" s="20" t="s">
        <v>380</v>
      </c>
      <c r="AH28">
        <f t="shared" ref="AH28:AH30" si="7">D28-T28</f>
        <v>0</v>
      </c>
      <c r="AI28" s="41">
        <f t="shared" si="6"/>
        <v>-74</v>
      </c>
      <c r="AJ28">
        <f t="shared" si="6"/>
        <v>0</v>
      </c>
      <c r="AK28" s="41">
        <f t="shared" si="6"/>
        <v>0</v>
      </c>
      <c r="AL28">
        <f t="shared" si="6"/>
        <v>0</v>
      </c>
      <c r="AM28" s="41">
        <f t="shared" si="6"/>
        <v>0</v>
      </c>
      <c r="AN28">
        <f t="shared" si="6"/>
        <v>0</v>
      </c>
      <c r="AO28" s="41">
        <f t="shared" si="6"/>
        <v>0</v>
      </c>
      <c r="AP28">
        <f t="shared" si="6"/>
        <v>0</v>
      </c>
      <c r="AQ28" s="41">
        <f t="shared" si="6"/>
        <v>0</v>
      </c>
      <c r="AR28">
        <f t="shared" si="6"/>
        <v>0</v>
      </c>
      <c r="AS28" s="43">
        <f t="shared" si="6"/>
        <v>0</v>
      </c>
    </row>
    <row r="29" spans="1:45" ht="15" x14ac:dyDescent="0.25">
      <c r="A29" s="54" t="s">
        <v>400</v>
      </c>
      <c r="B29" s="36"/>
      <c r="C29" s="82" t="s">
        <v>381</v>
      </c>
      <c r="D29" s="83">
        <f>SUMPRODUCT((extract!$K$2:$K$2000=MONTH(D$26))*1)</f>
        <v>0</v>
      </c>
      <c r="E29" s="84">
        <f>SUMPRODUCT((extract!$K$2:$K$2000=MONTH(E$26))*1)</f>
        <v>0</v>
      </c>
      <c r="F29" s="83">
        <f>SUMPRODUCT((extract!$K$2:$K$2000=MONTH(F$26))*1)</f>
        <v>0</v>
      </c>
      <c r="G29" s="84">
        <f>SUMPRODUCT((extract!$K$2:$K$2000=MONTH(G$26))*1)</f>
        <v>0</v>
      </c>
      <c r="H29" s="83">
        <f>SUMPRODUCT((extract!$K$2:$K$2000=MONTH(H$26))*1)</f>
        <v>0</v>
      </c>
      <c r="I29" s="84">
        <f>SUMPRODUCT((extract!$K$2:$K$2000=MONTH(I$26))*1)</f>
        <v>0</v>
      </c>
      <c r="J29" s="83">
        <f>SUMPRODUCT((extract!$K$2:$K$2000=MONTH(J$26))*1)</f>
        <v>0</v>
      </c>
      <c r="K29" s="84">
        <f>SUMPRODUCT((extract!$K$2:$K$2000=MONTH(K$26))*1)</f>
        <v>0</v>
      </c>
      <c r="L29" s="83">
        <f>SUMPRODUCT((extract!$K$2:$K$2000=MONTH(L$26))*1)</f>
        <v>0</v>
      </c>
      <c r="M29" s="84">
        <f>SUMPRODUCT((extract!$K$2:$K$2000=MONTH(M$26))*1)</f>
        <v>0</v>
      </c>
      <c r="N29" s="83">
        <f>SUMPRODUCT((extract!$K$2:$K$2000=MONTH(N$26))*1)</f>
        <v>0</v>
      </c>
      <c r="O29" s="85">
        <f>SUMPRODUCT((extract!$K$2:$K$2000=MONTH(O$26))*1)</f>
        <v>0</v>
      </c>
      <c r="Q29" s="70" t="s">
        <v>416</v>
      </c>
      <c r="R29" s="36"/>
      <c r="S29" s="56" t="s">
        <v>381</v>
      </c>
      <c r="T29" s="38">
        <v>2</v>
      </c>
      <c r="U29" s="40">
        <v>2</v>
      </c>
      <c r="V29" s="38"/>
      <c r="W29" s="40"/>
      <c r="X29" s="38"/>
      <c r="Y29" s="40"/>
      <c r="Z29" s="38"/>
      <c r="AA29" s="40"/>
      <c r="AB29" s="38"/>
      <c r="AC29" s="40"/>
      <c r="AD29" s="38"/>
      <c r="AE29" s="45"/>
      <c r="AF29" s="36"/>
      <c r="AG29" s="56" t="s">
        <v>381</v>
      </c>
      <c r="AH29" s="38">
        <f t="shared" si="7"/>
        <v>-2</v>
      </c>
      <c r="AI29" s="40">
        <f t="shared" si="6"/>
        <v>-2</v>
      </c>
      <c r="AJ29" s="38">
        <f t="shared" si="6"/>
        <v>0</v>
      </c>
      <c r="AK29" s="40">
        <f t="shared" si="6"/>
        <v>0</v>
      </c>
      <c r="AL29" s="38">
        <f t="shared" si="6"/>
        <v>0</v>
      </c>
      <c r="AM29" s="40">
        <f t="shared" si="6"/>
        <v>0</v>
      </c>
      <c r="AN29" s="38">
        <f t="shared" si="6"/>
        <v>0</v>
      </c>
      <c r="AO29" s="40">
        <f t="shared" si="6"/>
        <v>0</v>
      </c>
      <c r="AP29" s="38">
        <f t="shared" si="6"/>
        <v>0</v>
      </c>
      <c r="AQ29" s="40">
        <f t="shared" si="6"/>
        <v>0</v>
      </c>
      <c r="AR29" s="38">
        <f t="shared" si="6"/>
        <v>0</v>
      </c>
      <c r="AS29" s="45">
        <f t="shared" si="6"/>
        <v>0</v>
      </c>
    </row>
    <row r="30" spans="1:45" ht="15.75" customHeight="1" thickBot="1" x14ac:dyDescent="0.3">
      <c r="A30" s="54" t="s">
        <v>401</v>
      </c>
      <c r="B30" s="36"/>
      <c r="C30" s="57" t="s">
        <v>382</v>
      </c>
      <c r="D30" s="37"/>
      <c r="E30" s="42"/>
      <c r="F30" s="37"/>
      <c r="G30" s="42"/>
      <c r="H30" s="37"/>
      <c r="I30" s="42"/>
      <c r="J30" s="37"/>
      <c r="K30" s="42"/>
      <c r="L30" s="37"/>
      <c r="M30" s="42"/>
      <c r="N30" s="37"/>
      <c r="O30" s="44"/>
      <c r="Q30" s="70" t="s">
        <v>413</v>
      </c>
      <c r="S30" s="57" t="s">
        <v>382</v>
      </c>
      <c r="T30" s="37"/>
      <c r="U30" s="42"/>
      <c r="V30" s="37"/>
      <c r="W30" s="42"/>
      <c r="X30" s="37"/>
      <c r="Y30" s="42"/>
      <c r="Z30" s="37"/>
      <c r="AA30" s="42"/>
      <c r="AB30" s="37"/>
      <c r="AC30" s="42"/>
      <c r="AD30" s="37"/>
      <c r="AE30" s="44"/>
      <c r="AG30" s="57" t="s">
        <v>382</v>
      </c>
      <c r="AH30" s="37">
        <f t="shared" si="7"/>
        <v>0</v>
      </c>
      <c r="AI30" s="42">
        <f t="shared" si="6"/>
        <v>0</v>
      </c>
      <c r="AJ30" s="37">
        <f t="shared" si="6"/>
        <v>0</v>
      </c>
      <c r="AK30" s="42">
        <f t="shared" si="6"/>
        <v>0</v>
      </c>
      <c r="AL30" s="37">
        <f t="shared" si="6"/>
        <v>0</v>
      </c>
      <c r="AM30" s="42">
        <f t="shared" si="6"/>
        <v>0</v>
      </c>
      <c r="AN30" s="37">
        <f t="shared" si="6"/>
        <v>0</v>
      </c>
      <c r="AO30" s="42">
        <f t="shared" si="6"/>
        <v>0</v>
      </c>
      <c r="AP30" s="37">
        <f t="shared" si="6"/>
        <v>0</v>
      </c>
      <c r="AQ30" s="42">
        <f t="shared" si="6"/>
        <v>0</v>
      </c>
      <c r="AR30" s="37">
        <f t="shared" si="6"/>
        <v>0</v>
      </c>
      <c r="AS30" s="44">
        <f t="shared" si="6"/>
        <v>0</v>
      </c>
    </row>
    <row r="31" spans="1:45" x14ac:dyDescent="0.25">
      <c r="A31" s="53"/>
    </row>
    <row r="32" spans="1:45" x14ac:dyDescent="0.25">
      <c r="A32" s="34" t="s">
        <v>383</v>
      </c>
    </row>
    <row r="33" spans="1:46" thickBot="1" x14ac:dyDescent="0.3">
      <c r="A33" s="35" t="s">
        <v>384</v>
      </c>
      <c r="D33" s="37"/>
      <c r="E33" s="37"/>
      <c r="F33" s="37"/>
      <c r="G33" s="37"/>
      <c r="H33" s="37"/>
      <c r="I33" s="37"/>
      <c r="J33" s="37"/>
      <c r="K33" s="37"/>
      <c r="L33" s="37"/>
      <c r="M33" s="37"/>
      <c r="N33" s="37"/>
      <c r="O33" s="37"/>
      <c r="T33" s="37"/>
      <c r="U33" s="37"/>
      <c r="V33" s="37"/>
      <c r="W33" s="37"/>
      <c r="X33" s="37"/>
      <c r="Y33" s="37"/>
      <c r="Z33" s="37"/>
      <c r="AA33" s="37"/>
      <c r="AB33" s="37"/>
      <c r="AC33" s="37"/>
      <c r="AD33" s="37"/>
      <c r="AE33" s="37"/>
      <c r="AH33" s="37"/>
      <c r="AI33" s="37"/>
      <c r="AJ33" s="37"/>
      <c r="AK33" s="37"/>
      <c r="AL33" s="37"/>
      <c r="AM33" s="37"/>
      <c r="AN33" s="37"/>
      <c r="AO33" s="37"/>
      <c r="AP33" s="37"/>
      <c r="AQ33" s="37"/>
      <c r="AR33" s="37"/>
      <c r="AS33" s="37"/>
    </row>
    <row r="34" spans="1:46" thickBot="1" x14ac:dyDescent="0.3">
      <c r="A34" s="88" t="s">
        <v>403</v>
      </c>
      <c r="C34" s="55"/>
      <c r="D34" s="48">
        <v>43466</v>
      </c>
      <c r="E34" s="48">
        <v>43497</v>
      </c>
      <c r="F34" s="48">
        <v>43525</v>
      </c>
      <c r="G34" s="48">
        <v>43556</v>
      </c>
      <c r="H34" s="48">
        <v>43586</v>
      </c>
      <c r="I34" s="48">
        <v>43617</v>
      </c>
      <c r="J34" s="48">
        <v>43647</v>
      </c>
      <c r="K34" s="48">
        <v>43678</v>
      </c>
      <c r="L34" s="48">
        <v>43709</v>
      </c>
      <c r="M34" s="48">
        <v>43739</v>
      </c>
      <c r="N34" s="48">
        <v>43770</v>
      </c>
      <c r="O34" s="48">
        <v>43800</v>
      </c>
      <c r="P34" s="68"/>
      <c r="Q34" s="86" t="s">
        <v>417</v>
      </c>
      <c r="S34" s="55"/>
      <c r="T34" s="48">
        <v>43466</v>
      </c>
      <c r="U34" s="48">
        <v>43497</v>
      </c>
      <c r="V34" s="48">
        <v>43525</v>
      </c>
      <c r="W34" s="48">
        <v>43556</v>
      </c>
      <c r="X34" s="48">
        <v>43586</v>
      </c>
      <c r="Y34" s="48">
        <v>43617</v>
      </c>
      <c r="Z34" s="48">
        <v>43647</v>
      </c>
      <c r="AA34" s="48">
        <v>43678</v>
      </c>
      <c r="AB34" s="48">
        <v>43709</v>
      </c>
      <c r="AC34" s="48">
        <v>43739</v>
      </c>
      <c r="AD34" s="48">
        <v>43770</v>
      </c>
      <c r="AE34" s="67">
        <v>43800</v>
      </c>
      <c r="AG34" s="55"/>
      <c r="AH34" s="48">
        <v>43466</v>
      </c>
      <c r="AI34" s="48">
        <v>43497</v>
      </c>
      <c r="AJ34" s="48">
        <v>43525</v>
      </c>
      <c r="AK34" s="48">
        <v>43556</v>
      </c>
      <c r="AL34" s="48">
        <v>43586</v>
      </c>
      <c r="AM34" s="48">
        <v>43617</v>
      </c>
      <c r="AN34" s="48">
        <v>43647</v>
      </c>
      <c r="AO34" s="48">
        <v>43678</v>
      </c>
      <c r="AP34" s="48">
        <v>43709</v>
      </c>
      <c r="AQ34" s="48">
        <v>43739</v>
      </c>
      <c r="AR34" s="48">
        <v>43770</v>
      </c>
      <c r="AS34" s="67">
        <v>43800</v>
      </c>
      <c r="AT34" s="75"/>
    </row>
    <row r="35" spans="1:46" ht="15" x14ac:dyDescent="0.25">
      <c r="A35" s="88"/>
      <c r="B35" s="36"/>
      <c r="C35" s="56" t="s">
        <v>349</v>
      </c>
      <c r="D35" s="38">
        <f ca="1">SUMPRODUCT((extract!$J$2:$J$2000&lt;=EOMONTH(D$34,0))*(extract!$T$2:$T$2000="1")*1)</f>
        <v>0</v>
      </c>
      <c r="E35" s="40">
        <f ca="1">SUMPRODUCT((extract!$J$2:$J$2000&lt;=EOMONTH(E$34,0))*(extract!$T$2:$T$2000="1")*1)</f>
        <v>1</v>
      </c>
      <c r="F35" s="38">
        <f ca="1">SUMPRODUCT((extract!$J$2:$J$2000&lt;=EOMONTH(F$34,0))*(extract!$T$2:$T$2000="1")*1)</f>
        <v>1</v>
      </c>
      <c r="G35" s="40">
        <f ca="1">SUMPRODUCT((extract!$J$2:$J$2000&lt;=EOMONTH(G$34,0))*(extract!$T$2:$T$2000="1")*1)</f>
        <v>1</v>
      </c>
      <c r="H35" s="38">
        <f ca="1">SUMPRODUCT((extract!$J$2:$J$2000&lt;=EOMONTH(H$34,0))*(extract!$T$2:$T$2000="1")*1)</f>
        <v>1</v>
      </c>
      <c r="I35" s="40">
        <f ca="1">SUMPRODUCT((extract!$J$2:$J$2000&lt;=EOMONTH(I$34,0))*(extract!$T$2:$T$2000="1")*1)</f>
        <v>1</v>
      </c>
      <c r="J35" s="38">
        <f ca="1">SUMPRODUCT((extract!$J$2:$J$2000&lt;=EOMONTH(J$34,0))*(extract!$T$2:$T$2000="1")*1)</f>
        <v>1</v>
      </c>
      <c r="K35" s="40">
        <f ca="1">SUMPRODUCT((extract!$J$2:$J$2000&lt;=EOMONTH(K$34,0))*(extract!$T$2:$T$2000="1")*1)</f>
        <v>1</v>
      </c>
      <c r="L35" s="38">
        <f ca="1">SUMPRODUCT((extract!$J$2:$J$2000&lt;=EOMONTH(L$34,0))*(extract!$T$2:$T$2000="1")*1)</f>
        <v>1</v>
      </c>
      <c r="M35" s="40">
        <f ca="1">SUMPRODUCT((extract!$J$2:$J$2000&lt;=EOMONTH(M$34,0))*(extract!$T$2:$T$2000="1")*1)</f>
        <v>1</v>
      </c>
      <c r="N35" s="38">
        <f ca="1">SUMPRODUCT((extract!$J$2:$J$2000&lt;=EOMONTH(N$34,0))*(extract!$T$2:$T$2000="1")*1)</f>
        <v>1</v>
      </c>
      <c r="O35" s="45">
        <f ca="1">SUMPRODUCT((extract!$J$2:$J$2000&lt;=EOMONTH(O$34,0))*(extract!$T$2:$T$2000="1")*1)</f>
        <v>1</v>
      </c>
      <c r="Q35" s="86"/>
      <c r="R35" s="36"/>
      <c r="S35" s="56" t="s">
        <v>349</v>
      </c>
      <c r="T35" s="38">
        <v>0</v>
      </c>
      <c r="U35" s="40">
        <v>1</v>
      </c>
      <c r="V35" s="38">
        <v>1</v>
      </c>
      <c r="W35" s="40"/>
      <c r="X35" s="38"/>
      <c r="Y35" s="40"/>
      <c r="Z35" s="38"/>
      <c r="AA35" s="40"/>
      <c r="AB35" s="38"/>
      <c r="AC35" s="40"/>
      <c r="AD35" s="38"/>
      <c r="AE35" s="45"/>
      <c r="AF35" s="36"/>
      <c r="AG35" s="56" t="s">
        <v>349</v>
      </c>
      <c r="AH35" s="38">
        <f ca="1">D35-T35</f>
        <v>0</v>
      </c>
      <c r="AI35" s="40">
        <f t="shared" ref="AI35:AS39" ca="1" si="8">E35-U35</f>
        <v>0</v>
      </c>
      <c r="AJ35" s="38">
        <f t="shared" ca="1" si="8"/>
        <v>0</v>
      </c>
      <c r="AK35" s="40">
        <f t="shared" ca="1" si="8"/>
        <v>1</v>
      </c>
      <c r="AL35" s="38">
        <f t="shared" ca="1" si="8"/>
        <v>1</v>
      </c>
      <c r="AM35" s="40">
        <f t="shared" ca="1" si="8"/>
        <v>1</v>
      </c>
      <c r="AN35" s="38">
        <f t="shared" ca="1" si="8"/>
        <v>1</v>
      </c>
      <c r="AO35" s="40">
        <f t="shared" ca="1" si="8"/>
        <v>1</v>
      </c>
      <c r="AP35" s="38">
        <f t="shared" ca="1" si="8"/>
        <v>1</v>
      </c>
      <c r="AQ35" s="40">
        <f t="shared" ca="1" si="8"/>
        <v>1</v>
      </c>
      <c r="AR35" s="38">
        <f t="shared" ca="1" si="8"/>
        <v>1</v>
      </c>
      <c r="AS35" s="45">
        <f t="shared" ca="1" si="8"/>
        <v>1</v>
      </c>
    </row>
    <row r="36" spans="1:46" ht="15" x14ac:dyDescent="0.25">
      <c r="A36" s="88"/>
      <c r="B36" s="36"/>
      <c r="C36" s="20" t="s">
        <v>389</v>
      </c>
      <c r="D36">
        <f ca="1">SUMPRODUCT((extract!$J$2:$J$2000&lt;=EOMONTH(D$34,0))*(extract!$T$2:$T$2000="2")*1)</f>
        <v>0</v>
      </c>
      <c r="E36" s="41">
        <f ca="1">SUMPRODUCT((extract!$J$2:$J$2000&lt;=EOMONTH(E$34,0))*(extract!$T$2:$T$2000="2")*1)</f>
        <v>0</v>
      </c>
      <c r="F36">
        <f ca="1">SUMPRODUCT((extract!$J$2:$J$2000&lt;=EOMONTH(F$34,0))*(extract!$T$2:$T$2000="2")*1)</f>
        <v>0</v>
      </c>
      <c r="G36" s="41">
        <f ca="1">SUMPRODUCT((extract!$J$2:$J$2000&lt;=EOMONTH(G$34,0))*(extract!$T$2:$T$2000="2")*1)</f>
        <v>0</v>
      </c>
      <c r="H36">
        <f ca="1">SUMPRODUCT((extract!$J$2:$J$2000&lt;=EOMONTH(H$34,0))*(extract!$T$2:$T$2000="2")*1)</f>
        <v>0</v>
      </c>
      <c r="I36" s="41">
        <f ca="1">SUMPRODUCT((extract!$J$2:$J$2000&lt;=EOMONTH(I$34,0))*(extract!$T$2:$T$2000="2")*1)</f>
        <v>0</v>
      </c>
      <c r="J36">
        <f ca="1">SUMPRODUCT((extract!$J$2:$J$2000&lt;=EOMONTH(J$34,0))*(extract!$T$2:$T$2000="2")*1)</f>
        <v>0</v>
      </c>
      <c r="K36" s="41">
        <f ca="1">SUMPRODUCT((extract!$J$2:$J$2000&lt;=EOMONTH(K$34,0))*(extract!$T$2:$T$2000="2")*1)</f>
        <v>0</v>
      </c>
      <c r="L36">
        <f ca="1">SUMPRODUCT((extract!$J$2:$J$2000&lt;=EOMONTH(L$34,0))*(extract!$T$2:$T$2000="2")*1)</f>
        <v>0</v>
      </c>
      <c r="M36" s="41">
        <f ca="1">SUMPRODUCT((extract!$J$2:$J$2000&lt;=EOMONTH(M$34,0))*(extract!$T$2:$T$2000="2")*1)</f>
        <v>0</v>
      </c>
      <c r="N36">
        <f ca="1">SUMPRODUCT((extract!$J$2:$J$2000&lt;=EOMONTH(N$34,0))*(extract!$T$2:$T$2000="2")*1)</f>
        <v>0</v>
      </c>
      <c r="O36" s="43">
        <f ca="1">SUMPRODUCT((extract!$J$2:$J$2000&lt;=EOMONTH(O$34,0))*(extract!$T$2:$T$2000="2")*1)</f>
        <v>0</v>
      </c>
      <c r="Q36" s="86"/>
      <c r="R36" s="36"/>
      <c r="S36" s="20" t="s">
        <v>389</v>
      </c>
      <c r="T36">
        <v>0</v>
      </c>
      <c r="U36" s="41">
        <v>0</v>
      </c>
      <c r="V36">
        <v>0</v>
      </c>
      <c r="W36" s="41"/>
      <c r="Y36" s="41"/>
      <c r="AA36" s="41"/>
      <c r="AC36" s="41"/>
      <c r="AE36" s="43"/>
      <c r="AF36" s="36"/>
      <c r="AG36" s="20" t="s">
        <v>389</v>
      </c>
      <c r="AH36">
        <f t="shared" ref="AH36:AH39" ca="1" si="9">D36-T36</f>
        <v>0</v>
      </c>
      <c r="AI36" s="41">
        <f t="shared" ca="1" si="8"/>
        <v>0</v>
      </c>
      <c r="AJ36">
        <f t="shared" ca="1" si="8"/>
        <v>0</v>
      </c>
      <c r="AK36" s="41">
        <f t="shared" ca="1" si="8"/>
        <v>0</v>
      </c>
      <c r="AL36">
        <f t="shared" ca="1" si="8"/>
        <v>0</v>
      </c>
      <c r="AM36" s="41">
        <f t="shared" ca="1" si="8"/>
        <v>0</v>
      </c>
      <c r="AN36">
        <f t="shared" ca="1" si="8"/>
        <v>0</v>
      </c>
      <c r="AO36" s="41">
        <f t="shared" ca="1" si="8"/>
        <v>0</v>
      </c>
      <c r="AP36">
        <f t="shared" ca="1" si="8"/>
        <v>0</v>
      </c>
      <c r="AQ36" s="41">
        <f t="shared" ca="1" si="8"/>
        <v>0</v>
      </c>
      <c r="AR36">
        <f t="shared" ca="1" si="8"/>
        <v>0</v>
      </c>
      <c r="AS36" s="43">
        <f t="shared" ca="1" si="8"/>
        <v>0</v>
      </c>
    </row>
    <row r="37" spans="1:46" ht="15" x14ac:dyDescent="0.25">
      <c r="A37" s="88"/>
      <c r="B37" s="36"/>
      <c r="C37" s="56" t="s">
        <v>390</v>
      </c>
      <c r="D37" s="38">
        <f ca="1">SUMPRODUCT((extract!$J$2:$J$2000&lt;=EOMONTH(D$34,0))*(extract!$T$2:$T$2000="15")*1)</f>
        <v>0</v>
      </c>
      <c r="E37" s="40">
        <f ca="1">SUMPRODUCT((extract!$J$2:$J$2000&lt;=EOMONTH(E$34,0))*(extract!$T$2:$T$2000="15")*1)</f>
        <v>1</v>
      </c>
      <c r="F37" s="38">
        <f ca="1">SUMPRODUCT((extract!$J$2:$J$2000&lt;=EOMONTH(F$34,0))*(extract!$T$2:$T$2000="15")*1)</f>
        <v>6</v>
      </c>
      <c r="G37" s="40">
        <f ca="1">SUMPRODUCT((extract!$J$2:$J$2000&lt;=EOMONTH(G$34,0))*(extract!$T$2:$T$2000="15")*1)</f>
        <v>6</v>
      </c>
      <c r="H37" s="38">
        <f ca="1">SUMPRODUCT((extract!$J$2:$J$2000&lt;=EOMONTH(H$34,0))*(extract!$T$2:$T$2000="15")*1)</f>
        <v>6</v>
      </c>
      <c r="I37" s="40">
        <f ca="1">SUMPRODUCT((extract!$J$2:$J$2000&lt;=EOMONTH(I$34,0))*(extract!$T$2:$T$2000="15")*1)</f>
        <v>6</v>
      </c>
      <c r="J37" s="38">
        <f ca="1">SUMPRODUCT((extract!$J$2:$J$2000&lt;=EOMONTH(J$34,0))*(extract!$T$2:$T$2000="15")*1)</f>
        <v>6</v>
      </c>
      <c r="K37" s="40">
        <f ca="1">SUMPRODUCT((extract!$J$2:$J$2000&lt;=EOMONTH(K$34,0))*(extract!$T$2:$T$2000="15")*1)</f>
        <v>6</v>
      </c>
      <c r="L37" s="38">
        <f ca="1">SUMPRODUCT((extract!$J$2:$J$2000&lt;=EOMONTH(L$34,0))*(extract!$T$2:$T$2000="15")*1)</f>
        <v>6</v>
      </c>
      <c r="M37" s="40">
        <f ca="1">SUMPRODUCT((extract!$J$2:$J$2000&lt;=EOMONTH(M$34,0))*(extract!$T$2:$T$2000="15")*1)</f>
        <v>6</v>
      </c>
      <c r="N37" s="38">
        <f ca="1">SUMPRODUCT((extract!$J$2:$J$2000&lt;=EOMONTH(N$34,0))*(extract!$T$2:$T$2000="15")*1)</f>
        <v>6</v>
      </c>
      <c r="O37" s="45">
        <f ca="1">SUMPRODUCT((extract!$J$2:$J$2000&lt;=EOMONTH(O$34,0))*(extract!$T$2:$T$2000="15")*1)</f>
        <v>6</v>
      </c>
      <c r="Q37" s="86"/>
      <c r="R37" s="36"/>
      <c r="S37" s="56" t="s">
        <v>390</v>
      </c>
      <c r="T37" s="38">
        <v>0</v>
      </c>
      <c r="U37" s="40">
        <v>1</v>
      </c>
      <c r="V37" s="38">
        <v>6</v>
      </c>
      <c r="W37" s="40"/>
      <c r="X37" s="38"/>
      <c r="Y37" s="40"/>
      <c r="Z37" s="38"/>
      <c r="AA37" s="40"/>
      <c r="AB37" s="38"/>
      <c r="AC37" s="40"/>
      <c r="AD37" s="38"/>
      <c r="AE37" s="45"/>
      <c r="AF37" s="36"/>
      <c r="AG37" s="56" t="s">
        <v>390</v>
      </c>
      <c r="AH37" s="38">
        <f t="shared" ca="1" si="9"/>
        <v>0</v>
      </c>
      <c r="AI37" s="40">
        <f t="shared" ca="1" si="8"/>
        <v>0</v>
      </c>
      <c r="AJ37" s="38">
        <f t="shared" ca="1" si="8"/>
        <v>0</v>
      </c>
      <c r="AK37" s="40">
        <f t="shared" ca="1" si="8"/>
        <v>6</v>
      </c>
      <c r="AL37" s="38">
        <f t="shared" ca="1" si="8"/>
        <v>6</v>
      </c>
      <c r="AM37" s="40">
        <f t="shared" ca="1" si="8"/>
        <v>6</v>
      </c>
      <c r="AN37" s="38">
        <f t="shared" ca="1" si="8"/>
        <v>6</v>
      </c>
      <c r="AO37" s="40">
        <f t="shared" ca="1" si="8"/>
        <v>6</v>
      </c>
      <c r="AP37" s="38">
        <f t="shared" ca="1" si="8"/>
        <v>6</v>
      </c>
      <c r="AQ37" s="40">
        <f t="shared" ca="1" si="8"/>
        <v>6</v>
      </c>
      <c r="AR37" s="38">
        <f t="shared" ca="1" si="8"/>
        <v>6</v>
      </c>
      <c r="AS37" s="45">
        <f t="shared" ca="1" si="8"/>
        <v>6</v>
      </c>
    </row>
    <row r="38" spans="1:46" ht="15" x14ac:dyDescent="0.25">
      <c r="A38" s="88"/>
      <c r="B38" s="36"/>
      <c r="C38" s="20" t="s">
        <v>391</v>
      </c>
      <c r="D38">
        <f ca="1">SUMPRODUCT((extract!$J$2:$J$2000&lt;=EOMONTH(D$34,0))*(extract!$T$2:$T$2000="30")*1)</f>
        <v>0</v>
      </c>
      <c r="E38" s="41">
        <f ca="1">SUMPRODUCT((extract!$J$2:$J$2000&lt;=EOMONTH(E$34,0))*(extract!$T$2:$T$2000="30")*1)</f>
        <v>0</v>
      </c>
      <c r="F38">
        <f ca="1">SUMPRODUCT((extract!$J$2:$J$2000&lt;=EOMONTH(F$34,0))*(extract!$T$2:$T$2000="30")*1)</f>
        <v>1</v>
      </c>
      <c r="G38" s="41">
        <f ca="1">SUMPRODUCT((extract!$J$2:$J$2000&lt;=EOMONTH(G$34,0))*(extract!$T$2:$T$2000="30")*1)</f>
        <v>1</v>
      </c>
      <c r="H38">
        <f ca="1">SUMPRODUCT((extract!$J$2:$J$2000&lt;=EOMONTH(H$34,0))*(extract!$T$2:$T$2000="30")*1)</f>
        <v>1</v>
      </c>
      <c r="I38" s="41">
        <f ca="1">SUMPRODUCT((extract!$J$2:$J$2000&lt;=EOMONTH(I$34,0))*(extract!$T$2:$T$2000="30")*1)</f>
        <v>1</v>
      </c>
      <c r="J38">
        <f ca="1">SUMPRODUCT((extract!$J$2:$J$2000&lt;=EOMONTH(J$34,0))*(extract!$T$2:$T$2000="30")*1)</f>
        <v>1</v>
      </c>
      <c r="K38" s="41">
        <f ca="1">SUMPRODUCT((extract!$J$2:$J$2000&lt;=EOMONTH(K$34,0))*(extract!$T$2:$T$2000="30")*1)</f>
        <v>1</v>
      </c>
      <c r="L38">
        <f ca="1">SUMPRODUCT((extract!$J$2:$J$2000&lt;=EOMONTH(L$34,0))*(extract!$T$2:$T$2000="30")*1)</f>
        <v>1</v>
      </c>
      <c r="M38" s="41">
        <f ca="1">SUMPRODUCT((extract!$J$2:$J$2000&lt;=EOMONTH(M$34,0))*(extract!$T$2:$T$2000="30")*1)</f>
        <v>1</v>
      </c>
      <c r="N38">
        <f ca="1">SUMPRODUCT((extract!$J$2:$J$2000&lt;=EOMONTH(N$34,0))*(extract!$T$2:$T$2000="30")*1)</f>
        <v>1</v>
      </c>
      <c r="O38" s="43">
        <f ca="1">SUMPRODUCT((extract!$J$2:$J$2000&lt;=EOMONTH(O$34,0))*(extract!$T$2:$T$2000="30")*1)</f>
        <v>1</v>
      </c>
      <c r="Q38" s="86"/>
      <c r="R38" s="36"/>
      <c r="S38" s="20" t="s">
        <v>391</v>
      </c>
      <c r="T38">
        <v>0</v>
      </c>
      <c r="U38" s="41">
        <v>0</v>
      </c>
      <c r="V38">
        <v>1</v>
      </c>
      <c r="W38" s="41"/>
      <c r="Y38" s="41"/>
      <c r="AA38" s="41"/>
      <c r="AC38" s="41"/>
      <c r="AE38" s="43"/>
      <c r="AF38" s="36"/>
      <c r="AG38" s="20" t="s">
        <v>391</v>
      </c>
      <c r="AH38">
        <f t="shared" ca="1" si="9"/>
        <v>0</v>
      </c>
      <c r="AI38" s="41">
        <f t="shared" ca="1" si="8"/>
        <v>0</v>
      </c>
      <c r="AJ38">
        <f t="shared" ca="1" si="8"/>
        <v>0</v>
      </c>
      <c r="AK38" s="41">
        <f t="shared" ca="1" si="8"/>
        <v>1</v>
      </c>
      <c r="AL38">
        <f t="shared" ca="1" si="8"/>
        <v>1</v>
      </c>
      <c r="AM38" s="41">
        <f t="shared" ca="1" si="8"/>
        <v>1</v>
      </c>
      <c r="AN38">
        <f t="shared" ca="1" si="8"/>
        <v>1</v>
      </c>
      <c r="AO38" s="41">
        <f t="shared" ca="1" si="8"/>
        <v>1</v>
      </c>
      <c r="AP38">
        <f t="shared" ca="1" si="8"/>
        <v>1</v>
      </c>
      <c r="AQ38" s="41">
        <f t="shared" ca="1" si="8"/>
        <v>1</v>
      </c>
      <c r="AR38">
        <f t="shared" ca="1" si="8"/>
        <v>1</v>
      </c>
      <c r="AS38" s="43">
        <f t="shared" ca="1" si="8"/>
        <v>1</v>
      </c>
    </row>
    <row r="39" spans="1:46" thickBot="1" x14ac:dyDescent="0.3">
      <c r="A39" s="88"/>
      <c r="B39" s="36"/>
      <c r="C39" s="59" t="s">
        <v>392</v>
      </c>
      <c r="D39" s="39">
        <f ca="1">SUMPRODUCT((extract!$J$2:$J$2000&lt;=EOMONTH(D$34,0))*(extract!$T$2:$T$2000="30 et +")*1)</f>
        <v>0</v>
      </c>
      <c r="E39" s="46">
        <f ca="1">SUMPRODUCT((extract!$J$2:$J$2000&lt;=EOMONTH(E$34,0))*(extract!$T$2:$T$2000="30 et +")*1)</f>
        <v>68</v>
      </c>
      <c r="F39" s="39">
        <f ca="1">SUMPRODUCT((extract!$J$2:$J$2000&lt;=EOMONTH(F$34,0))*(extract!$T$2:$T$2000="30 et +")*1)</f>
        <v>101</v>
      </c>
      <c r="G39" s="46">
        <f ca="1">SUMPRODUCT((extract!$J$2:$J$2000&lt;=EOMONTH(G$34,0))*(extract!$T$2:$T$2000="30 et +")*1)</f>
        <v>124</v>
      </c>
      <c r="H39" s="39">
        <f ca="1">SUMPRODUCT((extract!$J$2:$J$2000&lt;=EOMONTH(H$34,0))*(extract!$T$2:$T$2000="30 et +")*1)</f>
        <v>132</v>
      </c>
      <c r="I39" s="46">
        <f ca="1">SUMPRODUCT((extract!$J$2:$J$2000&lt;=EOMONTH(I$34,0))*(extract!$T$2:$T$2000="30 et +")*1)</f>
        <v>132</v>
      </c>
      <c r="J39" s="39">
        <f ca="1">SUMPRODUCT((extract!$J$2:$J$2000&lt;=EOMONTH(J$34,0))*(extract!$T$2:$T$2000="30 et +")*1)</f>
        <v>132</v>
      </c>
      <c r="K39" s="46">
        <f ca="1">SUMPRODUCT((extract!$J$2:$J$2000&lt;=EOMONTH(K$34,0))*(extract!$T$2:$T$2000="30 et +")*1)</f>
        <v>132</v>
      </c>
      <c r="L39" s="39">
        <f ca="1">SUMPRODUCT((extract!$J$2:$J$2000&lt;=EOMONTH(L$34,0))*(extract!$T$2:$T$2000="30 et +")*1)</f>
        <v>132</v>
      </c>
      <c r="M39" s="46">
        <f ca="1">SUMPRODUCT((extract!$J$2:$J$2000&lt;=EOMONTH(M$34,0))*(extract!$T$2:$T$2000="30 et +")*1)</f>
        <v>132</v>
      </c>
      <c r="N39" s="39">
        <f ca="1">SUMPRODUCT((extract!$J$2:$J$2000&lt;=EOMONTH(N$34,0))*(extract!$T$2:$T$2000="30 et +")*1)</f>
        <v>132</v>
      </c>
      <c r="O39" s="47">
        <f ca="1">SUMPRODUCT((extract!$J$2:$J$2000&lt;=EOMONTH(O$34,0))*(extract!$T$2:$T$2000="30 et +")*1)</f>
        <v>132</v>
      </c>
      <c r="Q39" s="86"/>
      <c r="R39" s="36"/>
      <c r="S39" s="74" t="s">
        <v>392</v>
      </c>
      <c r="T39" s="39">
        <v>0</v>
      </c>
      <c r="U39" s="46">
        <v>70</v>
      </c>
      <c r="V39" s="39">
        <v>101</v>
      </c>
      <c r="W39" s="46"/>
      <c r="X39" s="39"/>
      <c r="Y39" s="46"/>
      <c r="Z39" s="39"/>
      <c r="AA39" s="46"/>
      <c r="AB39" s="39"/>
      <c r="AC39" s="46"/>
      <c r="AD39" s="39"/>
      <c r="AE39" s="47"/>
      <c r="AF39" s="36"/>
      <c r="AG39" s="74" t="s">
        <v>392</v>
      </c>
      <c r="AH39" s="39">
        <f t="shared" ca="1" si="9"/>
        <v>0</v>
      </c>
      <c r="AI39" s="46">
        <f t="shared" ca="1" si="8"/>
        <v>-2</v>
      </c>
      <c r="AJ39" s="39">
        <f t="shared" ca="1" si="8"/>
        <v>0</v>
      </c>
      <c r="AK39" s="46">
        <f t="shared" ca="1" si="8"/>
        <v>124</v>
      </c>
      <c r="AL39" s="39">
        <f t="shared" ca="1" si="8"/>
        <v>132</v>
      </c>
      <c r="AM39" s="46">
        <f t="shared" ca="1" si="8"/>
        <v>132</v>
      </c>
      <c r="AN39" s="39">
        <f t="shared" ca="1" si="8"/>
        <v>132</v>
      </c>
      <c r="AO39" s="46">
        <f t="shared" ca="1" si="8"/>
        <v>132</v>
      </c>
      <c r="AP39" s="39">
        <f t="shared" ca="1" si="8"/>
        <v>132</v>
      </c>
      <c r="AQ39" s="46">
        <f t="shared" ca="1" si="8"/>
        <v>132</v>
      </c>
      <c r="AR39" s="39">
        <f t="shared" ca="1" si="8"/>
        <v>132</v>
      </c>
      <c r="AS39" s="47">
        <f t="shared" ca="1" si="8"/>
        <v>132</v>
      </c>
    </row>
    <row r="40" spans="1:46" ht="15" x14ac:dyDescent="0.25">
      <c r="A40" s="35"/>
      <c r="E40" s="77"/>
    </row>
    <row r="41" spans="1:46" thickBot="1" x14ac:dyDescent="0.3">
      <c r="A41" s="35" t="s">
        <v>385</v>
      </c>
      <c r="D41" s="37"/>
      <c r="E41" s="37"/>
      <c r="F41" s="37"/>
      <c r="G41" s="37"/>
      <c r="H41" s="37"/>
      <c r="I41" s="37"/>
      <c r="J41" s="37"/>
      <c r="K41" s="37"/>
      <c r="L41" s="37"/>
      <c r="M41" s="37"/>
      <c r="N41" s="37"/>
      <c r="T41" s="37"/>
      <c r="U41" s="37"/>
      <c r="V41" s="37"/>
      <c r="W41" s="37"/>
      <c r="X41" s="37"/>
      <c r="Y41" s="37"/>
      <c r="Z41" s="37"/>
      <c r="AA41" s="37"/>
      <c r="AB41" s="37"/>
      <c r="AC41" s="37"/>
      <c r="AD41" s="37"/>
      <c r="AH41" s="37"/>
      <c r="AI41" s="37"/>
      <c r="AJ41" s="37"/>
      <c r="AK41" s="37"/>
      <c r="AL41" s="37"/>
      <c r="AM41" s="37"/>
      <c r="AN41" s="37"/>
      <c r="AO41" s="37"/>
      <c r="AP41" s="37"/>
      <c r="AQ41" s="37"/>
      <c r="AR41" s="37"/>
    </row>
    <row r="42" spans="1:46" thickBot="1" x14ac:dyDescent="0.3">
      <c r="A42" s="88" t="s">
        <v>402</v>
      </c>
      <c r="C42" s="58">
        <v>43435</v>
      </c>
      <c r="D42" s="48">
        <v>43466</v>
      </c>
      <c r="E42" s="48">
        <v>43497</v>
      </c>
      <c r="F42" s="48">
        <v>43525</v>
      </c>
      <c r="G42" s="48">
        <v>43556</v>
      </c>
      <c r="H42" s="48">
        <v>43586</v>
      </c>
      <c r="I42" s="48">
        <v>43617</v>
      </c>
      <c r="J42" s="48">
        <v>43647</v>
      </c>
      <c r="K42" s="48">
        <v>43678</v>
      </c>
      <c r="L42" s="48">
        <v>43709</v>
      </c>
      <c r="M42" s="48">
        <v>43739</v>
      </c>
      <c r="N42" s="48">
        <v>43770</v>
      </c>
      <c r="O42" s="69">
        <v>43800</v>
      </c>
      <c r="P42" s="68"/>
      <c r="Q42" s="86" t="s">
        <v>418</v>
      </c>
      <c r="S42" s="58">
        <v>43435</v>
      </c>
      <c r="T42" s="48">
        <v>43466</v>
      </c>
      <c r="U42" s="48">
        <v>43497</v>
      </c>
      <c r="V42" s="48">
        <v>43525</v>
      </c>
      <c r="W42" s="48">
        <v>43556</v>
      </c>
      <c r="X42" s="48">
        <v>43586</v>
      </c>
      <c r="Y42" s="48">
        <v>43617</v>
      </c>
      <c r="Z42" s="48">
        <v>43647</v>
      </c>
      <c r="AA42" s="48">
        <v>43678</v>
      </c>
      <c r="AB42" s="48">
        <v>43709</v>
      </c>
      <c r="AC42" s="48">
        <v>43739</v>
      </c>
      <c r="AD42" s="48">
        <v>43770</v>
      </c>
      <c r="AE42" s="69">
        <v>43800</v>
      </c>
      <c r="AF42" s="75"/>
      <c r="AG42" s="58">
        <v>43435</v>
      </c>
      <c r="AH42" s="48">
        <v>43466</v>
      </c>
      <c r="AI42" s="48">
        <v>43497</v>
      </c>
      <c r="AJ42" s="48">
        <v>43525</v>
      </c>
      <c r="AK42" s="48">
        <v>43556</v>
      </c>
      <c r="AL42" s="48">
        <v>43586</v>
      </c>
      <c r="AM42" s="48">
        <v>43617</v>
      </c>
      <c r="AN42" s="48">
        <v>43647</v>
      </c>
      <c r="AO42" s="48">
        <v>43678</v>
      </c>
      <c r="AP42" s="48">
        <v>43709</v>
      </c>
      <c r="AQ42" s="48">
        <v>43739</v>
      </c>
      <c r="AR42" s="48">
        <v>43770</v>
      </c>
      <c r="AS42" s="67">
        <v>43800</v>
      </c>
    </row>
    <row r="43" spans="1:46" ht="15" x14ac:dyDescent="0.25">
      <c r="A43" s="88"/>
      <c r="B43" s="36"/>
      <c r="C43" s="56" t="s">
        <v>349</v>
      </c>
      <c r="D43" s="38">
        <f ca="1">SUMPRODUCT((extract!$J$2:$J$2000&lt;=EOMONTH(D$42,0))*(extract!$K$2:$K$2000&gt;=EOMONTH(D$42,-1))*(extract!$T$2:$T$2000="1")*1)</f>
        <v>0</v>
      </c>
      <c r="E43" s="40">
        <f ca="1">SUMPRODUCT((extract!$J$2:$J$2000&lt;=EOMONTH(E$42,0))*(extract!$K$2:$K$2000&gt;=EOMONTH(E$42,-1))*(extract!$T$2:$T$2000="1")*1)</f>
        <v>0</v>
      </c>
      <c r="F43" s="38">
        <f ca="1">SUMPRODUCT((extract!$J$2:$J$2000&lt;=EOMONTH(F$42,0))*(extract!$K$2:$K$2000&gt;=EOMONTH(F$42,-1))*(extract!$T$2:$T$2000="1")*1)</f>
        <v>0</v>
      </c>
      <c r="G43" s="40">
        <f ca="1">SUMPRODUCT((extract!$J$2:$J$2000&lt;=EOMONTH(G$42,0))*(extract!$K$2:$K$2000&gt;=EOMONTH(G$42,-1))*(extract!$T$2:$T$2000="1")*1)</f>
        <v>0</v>
      </c>
      <c r="H43" s="38">
        <f ca="1">SUMPRODUCT((extract!$J$2:$J$2000&lt;=EOMONTH(H$42,0))*(extract!$K$2:$K$2000&gt;=EOMONTH(H$42,-1))*(extract!$T$2:$T$2000="1")*1)</f>
        <v>0</v>
      </c>
      <c r="I43" s="40">
        <f ca="1">SUMPRODUCT((extract!$J$2:$J$2000&lt;=EOMONTH(I$42,0))*(extract!$K$2:$K$2000&gt;=EOMONTH(I$42,-1))*(extract!$T$2:$T$2000="1")*1)</f>
        <v>0</v>
      </c>
      <c r="J43" s="38">
        <f ca="1">SUMPRODUCT((extract!$J$2:$J$2000&lt;=EOMONTH(J$42,0))*(extract!$K$2:$K$2000&gt;=EOMONTH(J$42,-1))*(extract!$T$2:$T$2000="1")*1)</f>
        <v>0</v>
      </c>
      <c r="K43" s="40">
        <f ca="1">SUMPRODUCT((extract!$J$2:$J$2000&lt;=EOMONTH(K$42,0))*(extract!$K$2:$K$2000&gt;=EOMONTH(K$42,-1))*(extract!$T$2:$T$2000="1")*1)</f>
        <v>0</v>
      </c>
      <c r="L43" s="38">
        <f ca="1">SUMPRODUCT((extract!$J$2:$J$2000&lt;=EOMONTH(L$42,0))*(extract!$K$2:$K$2000&gt;=EOMONTH(L$42,-1))*(extract!$T$2:$T$2000="1")*1)</f>
        <v>0</v>
      </c>
      <c r="M43" s="40">
        <f ca="1">SUMPRODUCT((extract!$J$2:$J$2000&lt;=EOMONTH(M$42,0))*(extract!$K$2:$K$2000&gt;=EOMONTH(M$42,-1))*(extract!$T$2:$T$2000="1")*1)</f>
        <v>0</v>
      </c>
      <c r="N43" s="38">
        <f ca="1">SUMPRODUCT((extract!$J$2:$J$2000&lt;=EOMONTH(N$42,0))*(extract!$K$2:$K$2000&gt;=EOMONTH(N$42,-1))*(extract!$T$2:$T$2000="1")*1)</f>
        <v>0</v>
      </c>
      <c r="O43" s="45">
        <f ca="1">SUMPRODUCT((extract!$J$2:$J$2000&lt;=EOMONTH(O$42,0))*(extract!$K$2:$K$2000&gt;=EOMONTH(O$42,-1))*(extract!$T$2:$T$2000="1")*1)</f>
        <v>0</v>
      </c>
      <c r="Q43" s="86"/>
      <c r="R43" s="36"/>
      <c r="S43" s="56" t="s">
        <v>349</v>
      </c>
      <c r="T43" s="38">
        <v>0</v>
      </c>
      <c r="U43" s="40">
        <v>0</v>
      </c>
      <c r="V43" s="38"/>
      <c r="W43" s="40"/>
      <c r="X43" s="38"/>
      <c r="Y43" s="40"/>
      <c r="Z43" s="38"/>
      <c r="AA43" s="40"/>
      <c r="AB43" s="38"/>
      <c r="AC43" s="40"/>
      <c r="AD43" s="38"/>
      <c r="AE43" s="45"/>
      <c r="AF43" s="36"/>
      <c r="AG43" s="56" t="s">
        <v>349</v>
      </c>
      <c r="AH43" s="38">
        <f ca="1">D43-T43</f>
        <v>0</v>
      </c>
      <c r="AI43" s="40">
        <f t="shared" ref="AI43:AS47" ca="1" si="10">E43-U43</f>
        <v>0</v>
      </c>
      <c r="AJ43" s="38">
        <f t="shared" ca="1" si="10"/>
        <v>0</v>
      </c>
      <c r="AK43" s="40">
        <f t="shared" ca="1" si="10"/>
        <v>0</v>
      </c>
      <c r="AL43" s="38">
        <f t="shared" ca="1" si="10"/>
        <v>0</v>
      </c>
      <c r="AM43" s="40">
        <f t="shared" ca="1" si="10"/>
        <v>0</v>
      </c>
      <c r="AN43" s="38">
        <f t="shared" ca="1" si="10"/>
        <v>0</v>
      </c>
      <c r="AO43" s="40">
        <f t="shared" ca="1" si="10"/>
        <v>0</v>
      </c>
      <c r="AP43" s="38">
        <f t="shared" ca="1" si="10"/>
        <v>0</v>
      </c>
      <c r="AQ43" s="40">
        <f t="shared" ca="1" si="10"/>
        <v>0</v>
      </c>
      <c r="AR43" s="38">
        <f t="shared" ca="1" si="10"/>
        <v>0</v>
      </c>
      <c r="AS43" s="45">
        <f t="shared" ca="1" si="10"/>
        <v>0</v>
      </c>
    </row>
    <row r="44" spans="1:46" ht="15" x14ac:dyDescent="0.25">
      <c r="A44" s="88"/>
      <c r="B44" s="36"/>
      <c r="C44" s="20" t="s">
        <v>389</v>
      </c>
      <c r="D44">
        <f ca="1">SUMPRODUCT((extract!$J$2:$J$2000&lt;=EOMONTH(D$42,0))*(extract!$K$2:$K$2000&gt;=EOMONTH(D$42,-1))*(extract!$T$2:$T$2000="2")*1)</f>
        <v>0</v>
      </c>
      <c r="E44" s="41">
        <f ca="1">SUMPRODUCT((extract!$J$2:$J$2000&lt;=EOMONTH(E$42,0))*(extract!$K$2:$K$2000&gt;=EOMONTH(E$42,-1))*(extract!$T$2:$T$2000="2")*1)</f>
        <v>0</v>
      </c>
      <c r="F44">
        <f ca="1">SUMPRODUCT((extract!$J$2:$J$2000&lt;=EOMONTH(F$42,0))*(extract!$K$2:$K$2000&gt;=EOMONTH(F$42,-1))*(extract!$T$2:$T$2000="2")*1)</f>
        <v>0</v>
      </c>
      <c r="G44" s="41">
        <f ca="1">SUMPRODUCT((extract!$J$2:$J$2000&lt;=EOMONTH(G$42,0))*(extract!$K$2:$K$2000&gt;=EOMONTH(G$42,-1))*(extract!$T$2:$T$2000="2")*1)</f>
        <v>0</v>
      </c>
      <c r="H44">
        <f ca="1">SUMPRODUCT((extract!$J$2:$J$2000&lt;=EOMONTH(H$42,0))*(extract!$K$2:$K$2000&gt;=EOMONTH(H$42,-1))*(extract!$T$2:$T$2000="2")*1)</f>
        <v>0</v>
      </c>
      <c r="I44" s="41">
        <f ca="1">SUMPRODUCT((extract!$J$2:$J$2000&lt;=EOMONTH(I$42,0))*(extract!$K$2:$K$2000&gt;=EOMONTH(I$42,-1))*(extract!$T$2:$T$2000="2")*1)</f>
        <v>0</v>
      </c>
      <c r="J44">
        <f ca="1">SUMPRODUCT((extract!$J$2:$J$2000&lt;=EOMONTH(J$42,0))*(extract!$K$2:$K$2000&gt;=EOMONTH(J$42,-1))*(extract!$T$2:$T$2000="2")*1)</f>
        <v>0</v>
      </c>
      <c r="K44" s="41">
        <f ca="1">SUMPRODUCT((extract!$J$2:$J$2000&lt;=EOMONTH(K$42,0))*(extract!$K$2:$K$2000&gt;=EOMONTH(K$42,-1))*(extract!$T$2:$T$2000="2")*1)</f>
        <v>0</v>
      </c>
      <c r="L44">
        <f ca="1">SUMPRODUCT((extract!$J$2:$J$2000&lt;=EOMONTH(L$42,0))*(extract!$K$2:$K$2000&gt;=EOMONTH(L$42,-1))*(extract!$T$2:$T$2000="2")*1)</f>
        <v>0</v>
      </c>
      <c r="M44" s="41">
        <f ca="1">SUMPRODUCT((extract!$J$2:$J$2000&lt;=EOMONTH(M$42,0))*(extract!$K$2:$K$2000&gt;=EOMONTH(M$42,-1))*(extract!$T$2:$T$2000="2")*1)</f>
        <v>0</v>
      </c>
      <c r="N44">
        <f ca="1">SUMPRODUCT((extract!$J$2:$J$2000&lt;=EOMONTH(N$42,0))*(extract!$K$2:$K$2000&gt;=EOMONTH(N$42,-1))*(extract!$T$2:$T$2000="2")*1)</f>
        <v>0</v>
      </c>
      <c r="O44" s="43">
        <f ca="1">SUMPRODUCT((extract!$J$2:$J$2000&lt;=EOMONTH(O$42,0))*(extract!$K$2:$K$2000&gt;=EOMONTH(O$42,-1))*(extract!$T$2:$T$2000="2")*1)</f>
        <v>0</v>
      </c>
      <c r="Q44" s="86"/>
      <c r="R44" s="36"/>
      <c r="S44" s="20" t="s">
        <v>389</v>
      </c>
      <c r="T44">
        <v>0</v>
      </c>
      <c r="U44" s="41">
        <v>0</v>
      </c>
      <c r="W44" s="41"/>
      <c r="Y44" s="41"/>
      <c r="AA44" s="41"/>
      <c r="AC44" s="41"/>
      <c r="AE44" s="43"/>
      <c r="AF44" s="36"/>
      <c r="AG44" s="20" t="s">
        <v>389</v>
      </c>
      <c r="AH44">
        <f t="shared" ref="AH44:AH47" ca="1" si="11">D44-T44</f>
        <v>0</v>
      </c>
      <c r="AI44" s="41">
        <f t="shared" ca="1" si="10"/>
        <v>0</v>
      </c>
      <c r="AJ44">
        <f t="shared" ca="1" si="10"/>
        <v>0</v>
      </c>
      <c r="AK44" s="41">
        <f t="shared" ca="1" si="10"/>
        <v>0</v>
      </c>
      <c r="AL44">
        <f t="shared" ca="1" si="10"/>
        <v>0</v>
      </c>
      <c r="AM44" s="41">
        <f t="shared" ca="1" si="10"/>
        <v>0</v>
      </c>
      <c r="AN44">
        <f t="shared" ca="1" si="10"/>
        <v>0</v>
      </c>
      <c r="AO44" s="41">
        <f t="shared" ca="1" si="10"/>
        <v>0</v>
      </c>
      <c r="AP44">
        <f t="shared" ca="1" si="10"/>
        <v>0</v>
      </c>
      <c r="AQ44" s="41">
        <f t="shared" ca="1" si="10"/>
        <v>0</v>
      </c>
      <c r="AR44">
        <f t="shared" ca="1" si="10"/>
        <v>0</v>
      </c>
      <c r="AS44" s="43">
        <f t="shared" ca="1" si="10"/>
        <v>0</v>
      </c>
    </row>
    <row r="45" spans="1:46" ht="15" x14ac:dyDescent="0.25">
      <c r="A45" s="88"/>
      <c r="B45" s="36"/>
      <c r="C45" s="56" t="s">
        <v>390</v>
      </c>
      <c r="D45" s="38">
        <f ca="1">SUMPRODUCT((extract!$J$2:$J$2000&lt;=EOMONTH(D$42,0))*(extract!$K$2:$K$2000&gt;=EOMONTH(D$42,-1))*(extract!$T$2:$T$2000="15")*1)</f>
        <v>0</v>
      </c>
      <c r="E45" s="40">
        <f ca="1">SUMPRODUCT((extract!$J$2:$J$2000&lt;=EOMONTH(E$42,0))*(extract!$K$2:$K$2000&gt;=EOMONTH(E$42,-1))*(extract!$T$2:$T$2000="15")*1)</f>
        <v>1</v>
      </c>
      <c r="F45" s="38">
        <f ca="1">SUMPRODUCT((extract!$J$2:$J$2000&lt;=EOMONTH(F$42,0))*(extract!$K$2:$K$2000&gt;=EOMONTH(F$42,-1))*(extract!$T$2:$T$2000="15")*1)</f>
        <v>6</v>
      </c>
      <c r="G45" s="40">
        <f ca="1">SUMPRODUCT((extract!$J$2:$J$2000&lt;=EOMONTH(G$42,0))*(extract!$K$2:$K$2000&gt;=EOMONTH(G$42,-1))*(extract!$T$2:$T$2000="15")*1)</f>
        <v>5</v>
      </c>
      <c r="H45" s="38">
        <f ca="1">SUMPRODUCT((extract!$J$2:$J$2000&lt;=EOMONTH(H$42,0))*(extract!$K$2:$K$2000&gt;=EOMONTH(H$42,-1))*(extract!$T$2:$T$2000="15")*1)</f>
        <v>0</v>
      </c>
      <c r="I45" s="40">
        <f ca="1">SUMPRODUCT((extract!$J$2:$J$2000&lt;=EOMONTH(I$42,0))*(extract!$K$2:$K$2000&gt;=EOMONTH(I$42,-1))*(extract!$T$2:$T$2000="15")*1)</f>
        <v>0</v>
      </c>
      <c r="J45" s="38">
        <f ca="1">SUMPRODUCT((extract!$J$2:$J$2000&lt;=EOMONTH(J$42,0))*(extract!$K$2:$K$2000&gt;=EOMONTH(J$42,-1))*(extract!$T$2:$T$2000="15")*1)</f>
        <v>0</v>
      </c>
      <c r="K45" s="40">
        <f ca="1">SUMPRODUCT((extract!$J$2:$J$2000&lt;=EOMONTH(K$42,0))*(extract!$K$2:$K$2000&gt;=EOMONTH(K$42,-1))*(extract!$T$2:$T$2000="15")*1)</f>
        <v>0</v>
      </c>
      <c r="L45" s="38">
        <f ca="1">SUMPRODUCT((extract!$J$2:$J$2000&lt;=EOMONTH(L$42,0))*(extract!$K$2:$K$2000&gt;=EOMONTH(L$42,-1))*(extract!$T$2:$T$2000="15")*1)</f>
        <v>0</v>
      </c>
      <c r="M45" s="40">
        <f ca="1">SUMPRODUCT((extract!$J$2:$J$2000&lt;=EOMONTH(M$42,0))*(extract!$K$2:$K$2000&gt;=EOMONTH(M$42,-1))*(extract!$T$2:$T$2000="15")*1)</f>
        <v>0</v>
      </c>
      <c r="N45" s="38">
        <f ca="1">SUMPRODUCT((extract!$J$2:$J$2000&lt;=EOMONTH(N$42,0))*(extract!$K$2:$K$2000&gt;=EOMONTH(N$42,-1))*(extract!$T$2:$T$2000="15")*1)</f>
        <v>0</v>
      </c>
      <c r="O45" s="45">
        <f ca="1">SUMPRODUCT((extract!$J$2:$J$2000&lt;=EOMONTH(O$42,0))*(extract!$K$2:$K$2000&gt;=EOMONTH(O$42,-1))*(extract!$T$2:$T$2000="15")*1)</f>
        <v>0</v>
      </c>
      <c r="Q45" s="86"/>
      <c r="R45" s="36"/>
      <c r="S45" s="56" t="s">
        <v>390</v>
      </c>
      <c r="T45" s="38">
        <v>0</v>
      </c>
      <c r="U45" s="40">
        <v>1</v>
      </c>
      <c r="V45" s="38"/>
      <c r="W45" s="40"/>
      <c r="X45" s="38"/>
      <c r="Y45" s="40"/>
      <c r="Z45" s="38"/>
      <c r="AA45" s="40"/>
      <c r="AB45" s="38"/>
      <c r="AC45" s="40"/>
      <c r="AD45" s="38"/>
      <c r="AE45" s="45"/>
      <c r="AF45" s="36"/>
      <c r="AG45" s="56" t="s">
        <v>390</v>
      </c>
      <c r="AH45" s="38">
        <f t="shared" ca="1" si="11"/>
        <v>0</v>
      </c>
      <c r="AI45" s="40">
        <f t="shared" ca="1" si="10"/>
        <v>0</v>
      </c>
      <c r="AJ45" s="38">
        <f t="shared" ca="1" si="10"/>
        <v>6</v>
      </c>
      <c r="AK45" s="40">
        <f t="shared" ca="1" si="10"/>
        <v>5</v>
      </c>
      <c r="AL45" s="38">
        <f t="shared" ca="1" si="10"/>
        <v>0</v>
      </c>
      <c r="AM45" s="40">
        <f t="shared" ca="1" si="10"/>
        <v>0</v>
      </c>
      <c r="AN45" s="38">
        <f t="shared" ca="1" si="10"/>
        <v>0</v>
      </c>
      <c r="AO45" s="40">
        <f t="shared" ca="1" si="10"/>
        <v>0</v>
      </c>
      <c r="AP45" s="38">
        <f t="shared" ca="1" si="10"/>
        <v>0</v>
      </c>
      <c r="AQ45" s="40">
        <f t="shared" ca="1" si="10"/>
        <v>0</v>
      </c>
      <c r="AR45" s="38">
        <f t="shared" ca="1" si="10"/>
        <v>0</v>
      </c>
      <c r="AS45" s="45">
        <f t="shared" ca="1" si="10"/>
        <v>0</v>
      </c>
    </row>
    <row r="46" spans="1:46" ht="15" x14ac:dyDescent="0.25">
      <c r="A46" s="88"/>
      <c r="B46" s="36"/>
      <c r="C46" s="20" t="s">
        <v>391</v>
      </c>
      <c r="D46">
        <f ca="1">SUMPRODUCT((extract!$J$2:$J$2000&lt;=EOMONTH(D$42,0))*(extract!$K$2:$K$2000&gt;=EOMONTH(D$42,-1))*(extract!$T$2:$T$2000="30")*1)</f>
        <v>0</v>
      </c>
      <c r="E46" s="41">
        <f ca="1">SUMPRODUCT((extract!$J$2:$J$2000&lt;=EOMONTH(E$42,0))*(extract!$K$2:$K$2000&gt;=EOMONTH(E$42,-1))*(extract!$T$2:$T$2000="30")*1)</f>
        <v>0</v>
      </c>
      <c r="F46">
        <f ca="1">SUMPRODUCT((extract!$J$2:$J$2000&lt;=EOMONTH(F$42,0))*(extract!$K$2:$K$2000&gt;=EOMONTH(F$42,-1))*(extract!$T$2:$T$2000="30")*1)</f>
        <v>1</v>
      </c>
      <c r="G46" s="41">
        <f ca="1">SUMPRODUCT((extract!$J$2:$J$2000&lt;=EOMONTH(G$42,0))*(extract!$K$2:$K$2000&gt;=EOMONTH(G$42,-1))*(extract!$T$2:$T$2000="30")*1)</f>
        <v>1</v>
      </c>
      <c r="H46">
        <f ca="1">SUMPRODUCT((extract!$J$2:$J$2000&lt;=EOMONTH(H$42,0))*(extract!$K$2:$K$2000&gt;=EOMONTH(H$42,-1))*(extract!$T$2:$T$2000="30")*1)</f>
        <v>0</v>
      </c>
      <c r="I46" s="41">
        <f ca="1">SUMPRODUCT((extract!$J$2:$J$2000&lt;=EOMONTH(I$42,0))*(extract!$K$2:$K$2000&gt;=EOMONTH(I$42,-1))*(extract!$T$2:$T$2000="30")*1)</f>
        <v>0</v>
      </c>
      <c r="J46">
        <f ca="1">SUMPRODUCT((extract!$J$2:$J$2000&lt;=EOMONTH(J$42,0))*(extract!$K$2:$K$2000&gt;=EOMONTH(J$42,-1))*(extract!$T$2:$T$2000="30")*1)</f>
        <v>0</v>
      </c>
      <c r="K46" s="41">
        <f ca="1">SUMPRODUCT((extract!$J$2:$J$2000&lt;=EOMONTH(K$42,0))*(extract!$K$2:$K$2000&gt;=EOMONTH(K$42,-1))*(extract!$T$2:$T$2000="30")*1)</f>
        <v>0</v>
      </c>
      <c r="L46">
        <f ca="1">SUMPRODUCT((extract!$J$2:$J$2000&lt;=EOMONTH(L$42,0))*(extract!$K$2:$K$2000&gt;=EOMONTH(L$42,-1))*(extract!$T$2:$T$2000="30")*1)</f>
        <v>0</v>
      </c>
      <c r="M46" s="41">
        <f ca="1">SUMPRODUCT((extract!$J$2:$J$2000&lt;=EOMONTH(M$42,0))*(extract!$K$2:$K$2000&gt;=EOMONTH(M$42,-1))*(extract!$T$2:$T$2000="30")*1)</f>
        <v>0</v>
      </c>
      <c r="N46">
        <f ca="1">SUMPRODUCT((extract!$J$2:$J$2000&lt;=EOMONTH(N$42,0))*(extract!$K$2:$K$2000&gt;=EOMONTH(N$42,-1))*(extract!$T$2:$T$2000="30")*1)</f>
        <v>0</v>
      </c>
      <c r="O46" s="43">
        <f ca="1">SUMPRODUCT((extract!$J$2:$J$2000&lt;=EOMONTH(O$42,0))*(extract!$K$2:$K$2000&gt;=EOMONTH(O$42,-1))*(extract!$T$2:$T$2000="30")*1)</f>
        <v>0</v>
      </c>
      <c r="Q46" s="86"/>
      <c r="R46" s="36"/>
      <c r="S46" s="20" t="s">
        <v>391</v>
      </c>
      <c r="T46">
        <v>0</v>
      </c>
      <c r="U46" s="41">
        <v>0</v>
      </c>
      <c r="W46" s="41"/>
      <c r="Y46" s="41"/>
      <c r="AA46" s="41"/>
      <c r="AC46" s="41"/>
      <c r="AE46" s="43"/>
      <c r="AF46" s="36"/>
      <c r="AG46" s="20" t="s">
        <v>391</v>
      </c>
      <c r="AH46">
        <f t="shared" ca="1" si="11"/>
        <v>0</v>
      </c>
      <c r="AI46" s="41">
        <f t="shared" ca="1" si="10"/>
        <v>0</v>
      </c>
      <c r="AJ46">
        <f t="shared" ca="1" si="10"/>
        <v>1</v>
      </c>
      <c r="AK46" s="41">
        <f t="shared" ca="1" si="10"/>
        <v>1</v>
      </c>
      <c r="AL46">
        <f t="shared" ca="1" si="10"/>
        <v>0</v>
      </c>
      <c r="AM46" s="41">
        <f t="shared" ca="1" si="10"/>
        <v>0</v>
      </c>
      <c r="AN46">
        <f t="shared" ca="1" si="10"/>
        <v>0</v>
      </c>
      <c r="AO46" s="41">
        <f t="shared" ca="1" si="10"/>
        <v>0</v>
      </c>
      <c r="AP46">
        <f t="shared" ca="1" si="10"/>
        <v>0</v>
      </c>
      <c r="AQ46" s="41">
        <f t="shared" ca="1" si="10"/>
        <v>0</v>
      </c>
      <c r="AR46">
        <f t="shared" ca="1" si="10"/>
        <v>0</v>
      </c>
      <c r="AS46" s="43">
        <f t="shared" ca="1" si="10"/>
        <v>0</v>
      </c>
    </row>
    <row r="47" spans="1:46" thickBot="1" x14ac:dyDescent="0.3">
      <c r="A47" s="88"/>
      <c r="B47" s="36"/>
      <c r="C47" s="59" t="s">
        <v>392</v>
      </c>
      <c r="D47" s="39">
        <f ca="1">SUMPRODUCT((extract!$J$2:$J$2000&lt;=EOMONTH(D$42,0))*(extract!$K$2:$K$2000&gt;=EOMONTH(D$42,-1))*(extract!$T$2:$T$2000="30 et +")*1)</f>
        <v>0</v>
      </c>
      <c r="E47" s="46">
        <f ca="1">SUMPRODUCT((extract!$J$2:$J$2000&lt;=EOMONTH(E$42,0))*(extract!$K$2:$K$2000&gt;=EOMONTH(E$42,-1))*(extract!$T$2:$T$2000="30 et +")*1)</f>
        <v>58</v>
      </c>
      <c r="F47" s="39">
        <f ca="1">SUMPRODUCT((extract!$J$2:$J$2000&lt;=EOMONTH(F$42,0))*(extract!$K$2:$K$2000&gt;=EOMONTH(F$42,-1))*(extract!$T$2:$T$2000="30 et +")*1)</f>
        <v>69</v>
      </c>
      <c r="G47" s="46">
        <f ca="1">SUMPRODUCT((extract!$J$2:$J$2000&lt;=EOMONTH(G$42,0))*(extract!$K$2:$K$2000&gt;=EOMONTH(G$42,-1))*(extract!$T$2:$T$2000="30 et +")*1)</f>
        <v>51</v>
      </c>
      <c r="H47" s="39">
        <f ca="1">SUMPRODUCT((extract!$J$2:$J$2000&lt;=EOMONTH(H$42,0))*(extract!$K$2:$K$2000&gt;=EOMONTH(H$42,-1))*(extract!$T$2:$T$2000="30 et +")*1)</f>
        <v>24</v>
      </c>
      <c r="I47" s="46">
        <f ca="1">SUMPRODUCT((extract!$J$2:$J$2000&lt;=EOMONTH(I$42,0))*(extract!$K$2:$K$2000&gt;=EOMONTH(I$42,-1))*(extract!$T$2:$T$2000="30 et +")*1)</f>
        <v>23</v>
      </c>
      <c r="J47" s="39">
        <f ca="1">SUMPRODUCT((extract!$J$2:$J$2000&lt;=EOMONTH(J$42,0))*(extract!$K$2:$K$2000&gt;=EOMONTH(J$42,-1))*(extract!$T$2:$T$2000="30 et +")*1)</f>
        <v>0</v>
      </c>
      <c r="K47" s="46">
        <f ca="1">SUMPRODUCT((extract!$J$2:$J$2000&lt;=EOMONTH(K$42,0))*(extract!$K$2:$K$2000&gt;=EOMONTH(K$42,-1))*(extract!$T$2:$T$2000="30 et +")*1)</f>
        <v>0</v>
      </c>
      <c r="L47" s="39">
        <f ca="1">SUMPRODUCT((extract!$J$2:$J$2000&lt;=EOMONTH(L$42,0))*(extract!$K$2:$K$2000&gt;=EOMONTH(L$42,-1))*(extract!$T$2:$T$2000="30 et +")*1)</f>
        <v>0</v>
      </c>
      <c r="M47" s="46">
        <f ca="1">SUMPRODUCT((extract!$J$2:$J$2000&lt;=EOMONTH(M$42,0))*(extract!$K$2:$K$2000&gt;=EOMONTH(M$42,-1))*(extract!$T$2:$T$2000="30 et +")*1)</f>
        <v>0</v>
      </c>
      <c r="N47" s="39">
        <f ca="1">SUMPRODUCT((extract!$J$2:$J$2000&lt;=EOMONTH(N$42,0))*(extract!$K$2:$K$2000&gt;=EOMONTH(N$42,-1))*(extract!$T$2:$T$2000="30 et +")*1)</f>
        <v>0</v>
      </c>
      <c r="O47" s="47">
        <f ca="1">SUMPRODUCT((extract!$J$2:$J$2000&lt;=EOMONTH(O$42,0))*(extract!$K$2:$K$2000&gt;=EOMONTH(O$42,-1))*(extract!$T$2:$T$2000="30 et +")*1)</f>
        <v>0</v>
      </c>
      <c r="Q47" s="86"/>
      <c r="R47" s="36"/>
      <c r="S47" s="74" t="s">
        <v>392</v>
      </c>
      <c r="T47" s="39">
        <v>0</v>
      </c>
      <c r="U47" s="46">
        <v>69</v>
      </c>
      <c r="V47" s="39"/>
      <c r="W47" s="46"/>
      <c r="X47" s="39"/>
      <c r="Y47" s="46"/>
      <c r="Z47" s="39"/>
      <c r="AA47" s="46"/>
      <c r="AB47" s="39"/>
      <c r="AC47" s="46"/>
      <c r="AD47" s="39"/>
      <c r="AE47" s="47"/>
      <c r="AF47" s="36"/>
      <c r="AG47" s="74" t="s">
        <v>392</v>
      </c>
      <c r="AH47" s="39">
        <f t="shared" ca="1" si="11"/>
        <v>0</v>
      </c>
      <c r="AI47" s="46">
        <f t="shared" ca="1" si="10"/>
        <v>-11</v>
      </c>
      <c r="AJ47" s="39">
        <f t="shared" ca="1" si="10"/>
        <v>69</v>
      </c>
      <c r="AK47" s="46">
        <f t="shared" ca="1" si="10"/>
        <v>51</v>
      </c>
      <c r="AL47" s="39">
        <f t="shared" ca="1" si="10"/>
        <v>24</v>
      </c>
      <c r="AM47" s="46">
        <f t="shared" ca="1" si="10"/>
        <v>23</v>
      </c>
      <c r="AN47" s="39">
        <f t="shared" ca="1" si="10"/>
        <v>0</v>
      </c>
      <c r="AO47" s="46">
        <f t="shared" ca="1" si="10"/>
        <v>0</v>
      </c>
      <c r="AP47" s="39">
        <f t="shared" ca="1" si="10"/>
        <v>0</v>
      </c>
      <c r="AQ47" s="46">
        <f t="shared" ca="1" si="10"/>
        <v>0</v>
      </c>
      <c r="AR47" s="39">
        <f t="shared" ca="1" si="10"/>
        <v>0</v>
      </c>
      <c r="AS47" s="47">
        <f t="shared" ca="1" si="10"/>
        <v>0</v>
      </c>
    </row>
    <row r="48" spans="1:46" ht="15" x14ac:dyDescent="0.25">
      <c r="A48" s="35"/>
      <c r="R48" s="1"/>
      <c r="AF48" s="1"/>
    </row>
    <row r="49" spans="1:45" thickBot="1" x14ac:dyDescent="0.3">
      <c r="A49" s="35" t="s">
        <v>386</v>
      </c>
      <c r="D49" s="37"/>
      <c r="E49" s="37"/>
      <c r="F49" s="37"/>
      <c r="G49" s="37"/>
      <c r="H49" s="37"/>
      <c r="I49" s="37"/>
      <c r="J49" s="37"/>
      <c r="K49" s="37"/>
      <c r="L49" s="37"/>
      <c r="M49" s="37"/>
      <c r="N49" s="37"/>
      <c r="T49" s="37"/>
      <c r="U49" s="37"/>
      <c r="V49" s="37"/>
      <c r="W49" s="37"/>
      <c r="X49" s="37"/>
      <c r="Y49" s="37"/>
      <c r="Z49" s="37"/>
      <c r="AA49" s="37"/>
      <c r="AB49" s="37"/>
      <c r="AC49" s="37"/>
      <c r="AD49" s="37"/>
      <c r="AH49" s="37"/>
      <c r="AI49" s="37"/>
      <c r="AJ49" s="37"/>
      <c r="AK49" s="37"/>
      <c r="AL49" s="37"/>
      <c r="AM49" s="37"/>
      <c r="AN49" s="37"/>
      <c r="AO49" s="37"/>
      <c r="AP49" s="37"/>
      <c r="AQ49" s="37"/>
      <c r="AR49" s="37"/>
    </row>
    <row r="50" spans="1:45" thickBot="1" x14ac:dyDescent="0.3">
      <c r="A50" s="88" t="s">
        <v>404</v>
      </c>
      <c r="C50" s="55"/>
      <c r="D50" s="48">
        <v>43466</v>
      </c>
      <c r="E50" s="48">
        <v>43497</v>
      </c>
      <c r="F50" s="48">
        <v>43525</v>
      </c>
      <c r="G50" s="48">
        <v>43556</v>
      </c>
      <c r="H50" s="48">
        <v>43586</v>
      </c>
      <c r="I50" s="48">
        <v>43617</v>
      </c>
      <c r="J50" s="48">
        <v>43647</v>
      </c>
      <c r="K50" s="48">
        <v>43678</v>
      </c>
      <c r="L50" s="48">
        <v>43709</v>
      </c>
      <c r="M50" s="48">
        <v>43739</v>
      </c>
      <c r="N50" s="48">
        <v>43770</v>
      </c>
      <c r="O50" s="67">
        <v>43800</v>
      </c>
      <c r="Q50" s="86" t="s">
        <v>419</v>
      </c>
      <c r="S50" s="55"/>
      <c r="T50" s="48">
        <v>43466</v>
      </c>
      <c r="U50" s="48">
        <v>43497</v>
      </c>
      <c r="V50" s="48">
        <v>43525</v>
      </c>
      <c r="W50" s="48">
        <v>43556</v>
      </c>
      <c r="X50" s="48">
        <v>43586</v>
      </c>
      <c r="Y50" s="48">
        <v>43617</v>
      </c>
      <c r="Z50" s="48">
        <v>43647</v>
      </c>
      <c r="AA50" s="48">
        <v>43678</v>
      </c>
      <c r="AB50" s="48">
        <v>43709</v>
      </c>
      <c r="AC50" s="48">
        <v>43739</v>
      </c>
      <c r="AD50" s="48">
        <v>43770</v>
      </c>
      <c r="AE50" s="67">
        <v>43800</v>
      </c>
      <c r="AG50" s="55"/>
      <c r="AH50" s="48">
        <v>43466</v>
      </c>
      <c r="AI50" s="48">
        <v>43497</v>
      </c>
      <c r="AJ50" s="48">
        <v>43525</v>
      </c>
      <c r="AK50" s="48">
        <v>43556</v>
      </c>
      <c r="AL50" s="48">
        <v>43586</v>
      </c>
      <c r="AM50" s="48">
        <v>43617</v>
      </c>
      <c r="AN50" s="48">
        <v>43647</v>
      </c>
      <c r="AO50" s="48">
        <v>43678</v>
      </c>
      <c r="AP50" s="48">
        <v>43709</v>
      </c>
      <c r="AQ50" s="48">
        <v>43739</v>
      </c>
      <c r="AR50" s="48">
        <v>43770</v>
      </c>
      <c r="AS50" s="67">
        <v>43800</v>
      </c>
    </row>
    <row r="51" spans="1:45" ht="15" x14ac:dyDescent="0.25">
      <c r="A51" s="88"/>
      <c r="B51" s="36"/>
      <c r="C51" s="56" t="s">
        <v>349</v>
      </c>
      <c r="D51" s="38">
        <f ca="1">SUMPRODUCT((extract!$J$2:$J$2000&lt;=EOMONTH(D$50,0))*(extract!$M$2:$M$2000="oui")*(extract!$T$2:$T$2000="1")*1)</f>
        <v>0</v>
      </c>
      <c r="E51" s="40">
        <f ca="1">SUMPRODUCT((extract!$J$2:$J$2000&lt;=EOMONTH(E$50,0))*(extract!$M$2:$M$2000="oui")*(extract!$T$2:$T$2000="1")*1)</f>
        <v>0</v>
      </c>
      <c r="F51" s="38">
        <f ca="1">SUMPRODUCT((extract!$J$2:$J$2000&lt;=EOMONTH(F$50,0))*(extract!$M$2:$M$2000="oui")*(extract!$T$2:$T$2000="1")*1)</f>
        <v>0</v>
      </c>
      <c r="G51" s="40">
        <f ca="1">SUMPRODUCT((extract!$J$2:$J$2000&lt;=EOMONTH(G$50,0))*(extract!$M$2:$M$2000="oui")*(extract!$T$2:$T$2000="1")*1)</f>
        <v>0</v>
      </c>
      <c r="H51" s="38">
        <f ca="1">SUMPRODUCT((extract!$J$2:$J$2000&lt;=EOMONTH(H$50,0))*(extract!$M$2:$M$2000="oui")*(extract!$T$2:$T$2000="1")*1)</f>
        <v>0</v>
      </c>
      <c r="I51" s="40">
        <f ca="1">SUMPRODUCT((extract!$J$2:$J$2000&lt;=EOMONTH(I$50,0))*(extract!$M$2:$M$2000="oui")*(extract!$T$2:$T$2000="1")*1)</f>
        <v>0</v>
      </c>
      <c r="J51" s="38">
        <f ca="1">SUMPRODUCT((extract!$J$2:$J$2000&lt;=EOMONTH(J$50,0))*(extract!$M$2:$M$2000="oui")*(extract!$T$2:$T$2000="1")*1)</f>
        <v>0</v>
      </c>
      <c r="K51" s="40">
        <f ca="1">SUMPRODUCT((extract!$J$2:$J$2000&lt;=EOMONTH(K$50,0))*(extract!$M$2:$M$2000="oui")*(extract!$T$2:$T$2000="1")*1)</f>
        <v>0</v>
      </c>
      <c r="L51" s="38">
        <f ca="1">SUMPRODUCT((extract!$J$2:$J$2000&lt;=EOMONTH(L$50,0))*(extract!$M$2:$M$2000="oui")*(extract!$T$2:$T$2000="1")*1)</f>
        <v>0</v>
      </c>
      <c r="M51" s="40">
        <f ca="1">SUMPRODUCT((extract!$J$2:$J$2000&lt;=EOMONTH(M$50,0))*(extract!$M$2:$M$2000="oui")*(extract!$T$2:$T$2000="1")*1)</f>
        <v>0</v>
      </c>
      <c r="N51" s="38">
        <f ca="1">SUMPRODUCT((extract!$J$2:$J$2000&lt;=EOMONTH(N$50,0))*(extract!$M$2:$M$2000="oui")*(extract!$T$2:$T$2000="1")*1)</f>
        <v>0</v>
      </c>
      <c r="O51" s="45">
        <f ca="1">SUMPRODUCT((extract!$J$2:$J$2000&lt;=EOMONTH(O$50,0))*(extract!$M$2:$M$2000="oui")*(extract!$T$2:$T$2000="1")*1)</f>
        <v>0</v>
      </c>
      <c r="Q51" s="86"/>
      <c r="R51" s="36"/>
      <c r="S51" s="56" t="s">
        <v>349</v>
      </c>
      <c r="T51" s="38">
        <v>0</v>
      </c>
      <c r="U51" s="40">
        <v>0</v>
      </c>
      <c r="V51" s="38"/>
      <c r="W51" s="40"/>
      <c r="X51" s="38"/>
      <c r="Y51" s="40"/>
      <c r="Z51" s="38"/>
      <c r="AA51" s="40"/>
      <c r="AB51" s="38"/>
      <c r="AC51" s="40"/>
      <c r="AD51" s="38"/>
      <c r="AE51" s="45"/>
      <c r="AF51" s="36"/>
      <c r="AG51" s="56" t="s">
        <v>349</v>
      </c>
      <c r="AH51" s="38">
        <f ca="1">D51-T51</f>
        <v>0</v>
      </c>
      <c r="AI51" s="40">
        <f t="shared" ref="AI51:AS55" ca="1" si="12">E51-U51</f>
        <v>0</v>
      </c>
      <c r="AJ51" s="38">
        <f t="shared" ca="1" si="12"/>
        <v>0</v>
      </c>
      <c r="AK51" s="40">
        <f t="shared" ca="1" si="12"/>
        <v>0</v>
      </c>
      <c r="AL51" s="38">
        <f t="shared" ca="1" si="12"/>
        <v>0</v>
      </c>
      <c r="AM51" s="40">
        <f t="shared" ca="1" si="12"/>
        <v>0</v>
      </c>
      <c r="AN51" s="38">
        <f t="shared" ca="1" si="12"/>
        <v>0</v>
      </c>
      <c r="AO51" s="40">
        <f t="shared" ca="1" si="12"/>
        <v>0</v>
      </c>
      <c r="AP51" s="38">
        <f t="shared" ca="1" si="12"/>
        <v>0</v>
      </c>
      <c r="AQ51" s="40">
        <f t="shared" ca="1" si="12"/>
        <v>0</v>
      </c>
      <c r="AR51" s="38">
        <f t="shared" ca="1" si="12"/>
        <v>0</v>
      </c>
      <c r="AS51" s="45">
        <f t="shared" ca="1" si="12"/>
        <v>0</v>
      </c>
    </row>
    <row r="52" spans="1:45" ht="15" x14ac:dyDescent="0.25">
      <c r="A52" s="88"/>
      <c r="B52" s="36"/>
      <c r="C52" s="20" t="s">
        <v>389</v>
      </c>
      <c r="D52">
        <f ca="1">SUMPRODUCT((extract!$J$2:$J$2000&lt;=EOMONTH(D$50,0))*(extract!$M$2:$M$2000="oui")*(extract!$T$2:$T$2000="2")*1)</f>
        <v>0</v>
      </c>
      <c r="E52" s="41">
        <f ca="1">SUMPRODUCT((extract!$J$2:$J$2000&lt;=EOMONTH(E$50,0))*(extract!$M$2:$M$2000="oui")*(extract!$T$2:$T$2000="2")*1)</f>
        <v>0</v>
      </c>
      <c r="F52">
        <f ca="1">SUMPRODUCT((extract!$J$2:$J$2000&lt;=EOMONTH(F$50,0))*(extract!$M$2:$M$2000="oui")*(extract!$T$2:$T$2000="2")*1)</f>
        <v>0</v>
      </c>
      <c r="G52" s="41">
        <f ca="1">SUMPRODUCT((extract!$J$2:$J$2000&lt;=EOMONTH(G$50,0))*(extract!$M$2:$M$2000="oui")*(extract!$T$2:$T$2000="2")*1)</f>
        <v>0</v>
      </c>
      <c r="H52">
        <f ca="1">SUMPRODUCT((extract!$J$2:$J$2000&lt;=EOMONTH(H$50,0))*(extract!$M$2:$M$2000="oui")*(extract!$T$2:$T$2000="2")*1)</f>
        <v>0</v>
      </c>
      <c r="I52" s="41">
        <f ca="1">SUMPRODUCT((extract!$J$2:$J$2000&lt;=EOMONTH(I$50,0))*(extract!$M$2:$M$2000="oui")*(extract!$T$2:$T$2000="2")*1)</f>
        <v>0</v>
      </c>
      <c r="J52">
        <f ca="1">SUMPRODUCT((extract!$J$2:$J$2000&lt;=EOMONTH(J$50,0))*(extract!$M$2:$M$2000="oui")*(extract!$T$2:$T$2000="2")*1)</f>
        <v>0</v>
      </c>
      <c r="K52" s="41">
        <f ca="1">SUMPRODUCT((extract!$J$2:$J$2000&lt;=EOMONTH(K$50,0))*(extract!$M$2:$M$2000="oui")*(extract!$T$2:$T$2000="2")*1)</f>
        <v>0</v>
      </c>
      <c r="L52">
        <f ca="1">SUMPRODUCT((extract!$J$2:$J$2000&lt;=EOMONTH(L$50,0))*(extract!$M$2:$M$2000="oui")*(extract!$T$2:$T$2000="2")*1)</f>
        <v>0</v>
      </c>
      <c r="M52" s="41">
        <f ca="1">SUMPRODUCT((extract!$J$2:$J$2000&lt;=EOMONTH(M$50,0))*(extract!$M$2:$M$2000="oui")*(extract!$T$2:$T$2000="2")*1)</f>
        <v>0</v>
      </c>
      <c r="N52">
        <f ca="1">SUMPRODUCT((extract!$J$2:$J$2000&lt;=EOMONTH(N$50,0))*(extract!$M$2:$M$2000="oui")*(extract!$T$2:$T$2000="2")*1)</f>
        <v>0</v>
      </c>
      <c r="O52" s="43">
        <f ca="1">SUMPRODUCT((extract!$J$2:$J$2000&lt;=EOMONTH(O$50,0))*(extract!$M$2:$M$2000="oui")*(extract!$T$2:$T$2000="2")*1)</f>
        <v>0</v>
      </c>
      <c r="Q52" s="86"/>
      <c r="R52" s="36"/>
      <c r="S52" s="20" t="s">
        <v>389</v>
      </c>
      <c r="T52">
        <v>0</v>
      </c>
      <c r="U52" s="41">
        <v>0</v>
      </c>
      <c r="W52" s="41"/>
      <c r="Y52" s="41"/>
      <c r="AA52" s="41"/>
      <c r="AC52" s="41"/>
      <c r="AE52" s="43"/>
      <c r="AF52" s="36"/>
      <c r="AG52" s="20" t="s">
        <v>389</v>
      </c>
      <c r="AH52">
        <f t="shared" ref="AH52:AH55" ca="1" si="13">D52-T52</f>
        <v>0</v>
      </c>
      <c r="AI52" s="41">
        <f t="shared" ca="1" si="12"/>
        <v>0</v>
      </c>
      <c r="AJ52">
        <f t="shared" ca="1" si="12"/>
        <v>0</v>
      </c>
      <c r="AK52" s="41">
        <f t="shared" ca="1" si="12"/>
        <v>0</v>
      </c>
      <c r="AL52">
        <f t="shared" ca="1" si="12"/>
        <v>0</v>
      </c>
      <c r="AM52" s="41">
        <f t="shared" ca="1" si="12"/>
        <v>0</v>
      </c>
      <c r="AN52">
        <f t="shared" ca="1" si="12"/>
        <v>0</v>
      </c>
      <c r="AO52" s="41">
        <f t="shared" ca="1" si="12"/>
        <v>0</v>
      </c>
      <c r="AP52">
        <f t="shared" ca="1" si="12"/>
        <v>0</v>
      </c>
      <c r="AQ52" s="41">
        <f t="shared" ca="1" si="12"/>
        <v>0</v>
      </c>
      <c r="AR52">
        <f t="shared" ca="1" si="12"/>
        <v>0</v>
      </c>
      <c r="AS52" s="43">
        <f t="shared" ca="1" si="12"/>
        <v>0</v>
      </c>
    </row>
    <row r="53" spans="1:45" ht="15" x14ac:dyDescent="0.25">
      <c r="A53" s="88"/>
      <c r="B53" s="36"/>
      <c r="C53" s="56" t="s">
        <v>390</v>
      </c>
      <c r="D53" s="38">
        <f ca="1">SUMPRODUCT((extract!$J$2:$J$2000&lt;=EOMONTH(D$50,0))*(extract!$M$2:$M$2000="oui")*(extract!$T$2:$T$2000="15")*1)</f>
        <v>0</v>
      </c>
      <c r="E53" s="40">
        <f ca="1">SUMPRODUCT((extract!$J$2:$J$2000&lt;=EOMONTH(E$50,0))*(extract!$M$2:$M$2000="oui")*(extract!$T$2:$T$2000="15")*1)</f>
        <v>0</v>
      </c>
      <c r="F53" s="38">
        <f ca="1">SUMPRODUCT((extract!$J$2:$J$2000&lt;=EOMONTH(F$50,0))*(extract!$M$2:$M$2000="oui")*(extract!$T$2:$T$2000="15")*1)</f>
        <v>0</v>
      </c>
      <c r="G53" s="40">
        <f ca="1">SUMPRODUCT((extract!$J$2:$J$2000&lt;=EOMONTH(G$50,0))*(extract!$M$2:$M$2000="oui")*(extract!$T$2:$T$2000="15")*1)</f>
        <v>0</v>
      </c>
      <c r="H53" s="38">
        <f ca="1">SUMPRODUCT((extract!$J$2:$J$2000&lt;=EOMONTH(H$50,0))*(extract!$M$2:$M$2000="oui")*(extract!$T$2:$T$2000="15")*1)</f>
        <v>0</v>
      </c>
      <c r="I53" s="40">
        <f ca="1">SUMPRODUCT((extract!$J$2:$J$2000&lt;=EOMONTH(I$50,0))*(extract!$M$2:$M$2000="oui")*(extract!$T$2:$T$2000="15")*1)</f>
        <v>0</v>
      </c>
      <c r="J53" s="38">
        <f ca="1">SUMPRODUCT((extract!$J$2:$J$2000&lt;=EOMONTH(J$50,0))*(extract!$M$2:$M$2000="oui")*(extract!$T$2:$T$2000="15")*1)</f>
        <v>0</v>
      </c>
      <c r="K53" s="40">
        <f ca="1">SUMPRODUCT((extract!$J$2:$J$2000&lt;=EOMONTH(K$50,0))*(extract!$M$2:$M$2000="oui")*(extract!$T$2:$T$2000="15")*1)</f>
        <v>0</v>
      </c>
      <c r="L53" s="38">
        <f ca="1">SUMPRODUCT((extract!$J$2:$J$2000&lt;=EOMONTH(L$50,0))*(extract!$M$2:$M$2000="oui")*(extract!$T$2:$T$2000="15")*1)</f>
        <v>0</v>
      </c>
      <c r="M53" s="40">
        <f ca="1">SUMPRODUCT((extract!$J$2:$J$2000&lt;=EOMONTH(M$50,0))*(extract!$M$2:$M$2000="oui")*(extract!$T$2:$T$2000="15")*1)</f>
        <v>0</v>
      </c>
      <c r="N53" s="38">
        <f ca="1">SUMPRODUCT((extract!$J$2:$J$2000&lt;=EOMONTH(N$50,0))*(extract!$M$2:$M$2000="oui")*(extract!$T$2:$T$2000="15")*1)</f>
        <v>0</v>
      </c>
      <c r="O53" s="45">
        <f ca="1">SUMPRODUCT((extract!$J$2:$J$2000&lt;=EOMONTH(O$50,0))*(extract!$M$2:$M$2000="oui")*(extract!$T$2:$T$2000="15")*1)</f>
        <v>0</v>
      </c>
      <c r="Q53" s="86"/>
      <c r="R53" s="36"/>
      <c r="S53" s="56" t="s">
        <v>390</v>
      </c>
      <c r="T53" s="38">
        <v>0</v>
      </c>
      <c r="U53" s="40">
        <v>0</v>
      </c>
      <c r="V53" s="38"/>
      <c r="W53" s="40"/>
      <c r="X53" s="38"/>
      <c r="Y53" s="40"/>
      <c r="Z53" s="38"/>
      <c r="AA53" s="40"/>
      <c r="AB53" s="38"/>
      <c r="AC53" s="40"/>
      <c r="AD53" s="38"/>
      <c r="AE53" s="45"/>
      <c r="AF53" s="36"/>
      <c r="AG53" s="56" t="s">
        <v>390</v>
      </c>
      <c r="AH53" s="38">
        <f t="shared" ca="1" si="13"/>
        <v>0</v>
      </c>
      <c r="AI53" s="40">
        <f t="shared" ca="1" si="12"/>
        <v>0</v>
      </c>
      <c r="AJ53" s="38">
        <f t="shared" ca="1" si="12"/>
        <v>0</v>
      </c>
      <c r="AK53" s="40">
        <f t="shared" ca="1" si="12"/>
        <v>0</v>
      </c>
      <c r="AL53" s="38">
        <f t="shared" ca="1" si="12"/>
        <v>0</v>
      </c>
      <c r="AM53" s="40">
        <f t="shared" ca="1" si="12"/>
        <v>0</v>
      </c>
      <c r="AN53" s="38">
        <f t="shared" ca="1" si="12"/>
        <v>0</v>
      </c>
      <c r="AO53" s="40">
        <f t="shared" ca="1" si="12"/>
        <v>0</v>
      </c>
      <c r="AP53" s="38">
        <f t="shared" ca="1" si="12"/>
        <v>0</v>
      </c>
      <c r="AQ53" s="40">
        <f t="shared" ca="1" si="12"/>
        <v>0</v>
      </c>
      <c r="AR53" s="38">
        <f t="shared" ca="1" si="12"/>
        <v>0</v>
      </c>
      <c r="AS53" s="45">
        <f t="shared" ca="1" si="12"/>
        <v>0</v>
      </c>
    </row>
    <row r="54" spans="1:45" ht="15" x14ac:dyDescent="0.25">
      <c r="A54" s="88"/>
      <c r="B54" s="36"/>
      <c r="C54" s="20" t="s">
        <v>391</v>
      </c>
      <c r="D54">
        <f ca="1">SUMPRODUCT((extract!$J$2:$J$2000&lt;=EOMONTH(D$50,0))*(extract!$M$2:$M$2000="oui")*(extract!$T$2:$T$2000="30")*1)</f>
        <v>0</v>
      </c>
      <c r="E54" s="41">
        <f ca="1">SUMPRODUCT((extract!$J$2:$J$2000&lt;=EOMONTH(E$50,0))*(extract!$M$2:$M$2000="oui")*(extract!$T$2:$T$2000="30")*1)</f>
        <v>0</v>
      </c>
      <c r="F54">
        <f ca="1">SUMPRODUCT((extract!$J$2:$J$2000&lt;=EOMONTH(F$50,0))*(extract!$M$2:$M$2000="oui")*(extract!$T$2:$T$2000="30")*1)</f>
        <v>0</v>
      </c>
      <c r="G54" s="41">
        <f ca="1">SUMPRODUCT((extract!$J$2:$J$2000&lt;=EOMONTH(G$50,0))*(extract!$M$2:$M$2000="oui")*(extract!$T$2:$T$2000="30")*1)</f>
        <v>0</v>
      </c>
      <c r="H54">
        <f ca="1">SUMPRODUCT((extract!$J$2:$J$2000&lt;=EOMONTH(H$50,0))*(extract!$M$2:$M$2000="oui")*(extract!$T$2:$T$2000="30")*1)</f>
        <v>0</v>
      </c>
      <c r="I54" s="41">
        <f ca="1">SUMPRODUCT((extract!$J$2:$J$2000&lt;=EOMONTH(I$50,0))*(extract!$M$2:$M$2000="oui")*(extract!$T$2:$T$2000="30")*1)</f>
        <v>0</v>
      </c>
      <c r="J54">
        <f ca="1">SUMPRODUCT((extract!$J$2:$J$2000&lt;=EOMONTH(J$50,0))*(extract!$M$2:$M$2000="oui")*(extract!$T$2:$T$2000="30")*1)</f>
        <v>0</v>
      </c>
      <c r="K54" s="41">
        <f ca="1">SUMPRODUCT((extract!$J$2:$J$2000&lt;=EOMONTH(K$50,0))*(extract!$M$2:$M$2000="oui")*(extract!$T$2:$T$2000="30")*1)</f>
        <v>0</v>
      </c>
      <c r="L54">
        <f ca="1">SUMPRODUCT((extract!$J$2:$J$2000&lt;=EOMONTH(L$50,0))*(extract!$M$2:$M$2000="oui")*(extract!$T$2:$T$2000="30")*1)</f>
        <v>0</v>
      </c>
      <c r="M54" s="41">
        <f ca="1">SUMPRODUCT((extract!$J$2:$J$2000&lt;=EOMONTH(M$50,0))*(extract!$M$2:$M$2000="oui")*(extract!$T$2:$T$2000="30")*1)</f>
        <v>0</v>
      </c>
      <c r="N54">
        <f ca="1">SUMPRODUCT((extract!$J$2:$J$2000&lt;=EOMONTH(N$50,0))*(extract!$M$2:$M$2000="oui")*(extract!$T$2:$T$2000="30")*1)</f>
        <v>0</v>
      </c>
      <c r="O54" s="43">
        <f ca="1">SUMPRODUCT((extract!$J$2:$J$2000&lt;=EOMONTH(O$50,0))*(extract!$M$2:$M$2000="oui")*(extract!$T$2:$T$2000="30")*1)</f>
        <v>0</v>
      </c>
      <c r="Q54" s="86"/>
      <c r="R54" s="36"/>
      <c r="S54" s="20" t="s">
        <v>391</v>
      </c>
      <c r="T54">
        <v>0</v>
      </c>
      <c r="U54" s="41">
        <v>0</v>
      </c>
      <c r="W54" s="41"/>
      <c r="Y54" s="41"/>
      <c r="AA54" s="41"/>
      <c r="AC54" s="41"/>
      <c r="AE54" s="43"/>
      <c r="AF54" s="36"/>
      <c r="AG54" s="20" t="s">
        <v>391</v>
      </c>
      <c r="AH54">
        <f t="shared" ca="1" si="13"/>
        <v>0</v>
      </c>
      <c r="AI54" s="41">
        <f t="shared" ca="1" si="12"/>
        <v>0</v>
      </c>
      <c r="AJ54">
        <f t="shared" ca="1" si="12"/>
        <v>0</v>
      </c>
      <c r="AK54" s="41">
        <f t="shared" ca="1" si="12"/>
        <v>0</v>
      </c>
      <c r="AL54">
        <f t="shared" ca="1" si="12"/>
        <v>0</v>
      </c>
      <c r="AM54" s="41">
        <f t="shared" ca="1" si="12"/>
        <v>0</v>
      </c>
      <c r="AN54">
        <f t="shared" ca="1" si="12"/>
        <v>0</v>
      </c>
      <c r="AO54" s="41">
        <f t="shared" ca="1" si="12"/>
        <v>0</v>
      </c>
      <c r="AP54">
        <f t="shared" ca="1" si="12"/>
        <v>0</v>
      </c>
      <c r="AQ54" s="41">
        <f t="shared" ca="1" si="12"/>
        <v>0</v>
      </c>
      <c r="AR54">
        <f t="shared" ca="1" si="12"/>
        <v>0</v>
      </c>
      <c r="AS54" s="43">
        <f t="shared" ca="1" si="12"/>
        <v>0</v>
      </c>
    </row>
    <row r="55" spans="1:45" thickBot="1" x14ac:dyDescent="0.3">
      <c r="A55" s="88"/>
      <c r="B55" s="36"/>
      <c r="C55" s="59" t="s">
        <v>392</v>
      </c>
      <c r="D55" s="39">
        <f ca="1">SUMPRODUCT((extract!$J$2:$J$2000&lt;=EOMONTH(D$50,0))*(extract!$M$2:$M$2000="oui")*(extract!$T$2:$T$2000="30 et +")*1)</f>
        <v>0</v>
      </c>
      <c r="E55" s="46">
        <f ca="1">SUMPRODUCT((extract!$J$2:$J$2000&lt;=EOMONTH(E$50,0))*(extract!$M$2:$M$2000="oui")*(extract!$T$2:$T$2000="30 et +")*1)</f>
        <v>5</v>
      </c>
      <c r="F55" s="39">
        <f ca="1">SUMPRODUCT((extract!$J$2:$J$2000&lt;=EOMONTH(F$50,0))*(extract!$M$2:$M$2000="oui")*(extract!$T$2:$T$2000="30 et +")*1)</f>
        <v>6</v>
      </c>
      <c r="G55" s="46">
        <f ca="1">SUMPRODUCT((extract!$J$2:$J$2000&lt;=EOMONTH(G$50,0))*(extract!$M$2:$M$2000="oui")*(extract!$T$2:$T$2000="30 et +")*1)</f>
        <v>8</v>
      </c>
      <c r="H55" s="39">
        <f ca="1">SUMPRODUCT((extract!$J$2:$J$2000&lt;=EOMONTH(H$50,0))*(extract!$M$2:$M$2000="oui")*(extract!$T$2:$T$2000="30 et +")*1)</f>
        <v>8</v>
      </c>
      <c r="I55" s="46">
        <f ca="1">SUMPRODUCT((extract!$J$2:$J$2000&lt;=EOMONTH(I$50,0))*(extract!$M$2:$M$2000="oui")*(extract!$T$2:$T$2000="30 et +")*1)</f>
        <v>8</v>
      </c>
      <c r="J55" s="39">
        <f ca="1">SUMPRODUCT((extract!$J$2:$J$2000&lt;=EOMONTH(J$50,0))*(extract!$M$2:$M$2000="oui")*(extract!$T$2:$T$2000="30 et +")*1)</f>
        <v>8</v>
      </c>
      <c r="K55" s="46">
        <f ca="1">SUMPRODUCT((extract!$J$2:$J$2000&lt;=EOMONTH(K$50,0))*(extract!$M$2:$M$2000="oui")*(extract!$T$2:$T$2000="30 et +")*1)</f>
        <v>8</v>
      </c>
      <c r="L55" s="39">
        <f ca="1">SUMPRODUCT((extract!$J$2:$J$2000&lt;=EOMONTH(L$50,0))*(extract!$M$2:$M$2000="oui")*(extract!$T$2:$T$2000="30 et +")*1)</f>
        <v>8</v>
      </c>
      <c r="M55" s="46">
        <f ca="1">SUMPRODUCT((extract!$J$2:$J$2000&lt;=EOMONTH(M$50,0))*(extract!$M$2:$M$2000="oui")*(extract!$T$2:$T$2000="30 et +")*1)</f>
        <v>8</v>
      </c>
      <c r="N55" s="39">
        <f ca="1">SUMPRODUCT((extract!$J$2:$J$2000&lt;=EOMONTH(N$50,0))*(extract!$M$2:$M$2000="oui")*(extract!$T$2:$T$2000="30 et +")*1)</f>
        <v>8</v>
      </c>
      <c r="O55" s="47">
        <f ca="1">SUMPRODUCT((extract!$J$2:$J$2000&lt;=EOMONTH(O$50,0))*(extract!$M$2:$M$2000="oui")*(extract!$T$2:$T$2000="30 et +")*1)</f>
        <v>8</v>
      </c>
      <c r="Q55" s="86"/>
      <c r="S55" s="59" t="s">
        <v>392</v>
      </c>
      <c r="T55" s="39">
        <v>0</v>
      </c>
      <c r="U55" s="46">
        <v>5</v>
      </c>
      <c r="V55" s="39"/>
      <c r="W55" s="46"/>
      <c r="X55" s="39"/>
      <c r="Y55" s="46"/>
      <c r="Z55" s="39"/>
      <c r="AA55" s="46"/>
      <c r="AB55" s="39"/>
      <c r="AC55" s="46"/>
      <c r="AD55" s="39"/>
      <c r="AE55" s="47"/>
      <c r="AG55" s="59" t="s">
        <v>392</v>
      </c>
      <c r="AH55" s="39">
        <f t="shared" ca="1" si="13"/>
        <v>0</v>
      </c>
      <c r="AI55" s="46">
        <f t="shared" ca="1" si="12"/>
        <v>0</v>
      </c>
      <c r="AJ55" s="39">
        <f t="shared" ca="1" si="12"/>
        <v>6</v>
      </c>
      <c r="AK55" s="46">
        <f t="shared" ca="1" si="12"/>
        <v>8</v>
      </c>
      <c r="AL55" s="39">
        <f t="shared" ca="1" si="12"/>
        <v>8</v>
      </c>
      <c r="AM55" s="46">
        <f t="shared" ca="1" si="12"/>
        <v>8</v>
      </c>
      <c r="AN55" s="39">
        <f t="shared" ca="1" si="12"/>
        <v>8</v>
      </c>
      <c r="AO55" s="46">
        <f t="shared" ca="1" si="12"/>
        <v>8</v>
      </c>
      <c r="AP55" s="39">
        <f t="shared" ca="1" si="12"/>
        <v>8</v>
      </c>
      <c r="AQ55" s="46">
        <f t="shared" ca="1" si="12"/>
        <v>8</v>
      </c>
      <c r="AR55" s="39">
        <f t="shared" ca="1" si="12"/>
        <v>8</v>
      </c>
      <c r="AS55" s="47">
        <f t="shared" ca="1" si="12"/>
        <v>8</v>
      </c>
    </row>
    <row r="56" spans="1:45" ht="15" x14ac:dyDescent="0.25">
      <c r="A56" s="35"/>
    </row>
    <row r="57" spans="1:45" thickBot="1" x14ac:dyDescent="0.3">
      <c r="A57" s="35" t="s">
        <v>387</v>
      </c>
      <c r="D57" s="37"/>
      <c r="E57" s="37"/>
      <c r="F57" s="37"/>
      <c r="G57" s="37"/>
      <c r="H57" s="37"/>
      <c r="I57" s="37"/>
      <c r="J57" s="37"/>
      <c r="K57" s="37"/>
      <c r="L57" s="37"/>
      <c r="M57" s="37"/>
      <c r="N57" s="37"/>
      <c r="O57" s="37"/>
      <c r="T57" s="37"/>
      <c r="U57" s="37"/>
      <c r="V57" s="37"/>
      <c r="W57" s="37"/>
      <c r="X57" s="37"/>
      <c r="Y57" s="37"/>
      <c r="Z57" s="37"/>
      <c r="AA57" s="37"/>
      <c r="AB57" s="37"/>
      <c r="AC57" s="37"/>
      <c r="AD57" s="37"/>
      <c r="AE57" s="37"/>
      <c r="AH57" s="37"/>
      <c r="AI57" s="37"/>
      <c r="AJ57" s="37"/>
      <c r="AK57" s="37"/>
      <c r="AL57" s="37"/>
      <c r="AM57" s="37"/>
      <c r="AN57" s="37"/>
      <c r="AO57" s="37"/>
      <c r="AP57" s="37"/>
      <c r="AQ57" s="37"/>
      <c r="AR57" s="37"/>
      <c r="AS57" s="37"/>
    </row>
    <row r="58" spans="1:45" thickBot="1" x14ac:dyDescent="0.3">
      <c r="A58" s="88" t="s">
        <v>405</v>
      </c>
      <c r="C58" s="58">
        <v>43435</v>
      </c>
      <c r="D58" s="48">
        <v>43466</v>
      </c>
      <c r="E58" s="48">
        <v>43497</v>
      </c>
      <c r="F58" s="48">
        <v>43525</v>
      </c>
      <c r="G58" s="48">
        <v>43556</v>
      </c>
      <c r="H58" s="48">
        <v>43586</v>
      </c>
      <c r="I58" s="48">
        <v>43617</v>
      </c>
      <c r="J58" s="48">
        <v>43647</v>
      </c>
      <c r="K58" s="48">
        <v>43678</v>
      </c>
      <c r="L58" s="48">
        <v>43709</v>
      </c>
      <c r="M58" s="48">
        <v>43739</v>
      </c>
      <c r="N58" s="48">
        <v>43770</v>
      </c>
      <c r="O58" s="67">
        <v>43800</v>
      </c>
      <c r="Q58" s="86" t="s">
        <v>420</v>
      </c>
      <c r="S58" s="58">
        <v>43435</v>
      </c>
      <c r="T58" s="48">
        <v>43466</v>
      </c>
      <c r="U58" s="48">
        <v>43497</v>
      </c>
      <c r="V58" s="48">
        <v>43525</v>
      </c>
      <c r="W58" s="48">
        <v>43556</v>
      </c>
      <c r="X58" s="48">
        <v>43586</v>
      </c>
      <c r="Y58" s="48">
        <v>43617</v>
      </c>
      <c r="Z58" s="48">
        <v>43647</v>
      </c>
      <c r="AA58" s="48">
        <v>43678</v>
      </c>
      <c r="AB58" s="48">
        <v>43709</v>
      </c>
      <c r="AC58" s="48">
        <v>43739</v>
      </c>
      <c r="AD58" s="48">
        <v>43770</v>
      </c>
      <c r="AE58" s="67">
        <v>43800</v>
      </c>
      <c r="AG58" s="58">
        <v>43435</v>
      </c>
      <c r="AH58" s="48">
        <v>43466</v>
      </c>
      <c r="AI58" s="48">
        <v>43497</v>
      </c>
      <c r="AJ58" s="48">
        <v>43525</v>
      </c>
      <c r="AK58" s="48">
        <v>43556</v>
      </c>
      <c r="AL58" s="48">
        <v>43586</v>
      </c>
      <c r="AM58" s="48">
        <v>43617</v>
      </c>
      <c r="AN58" s="48">
        <v>43647</v>
      </c>
      <c r="AO58" s="48">
        <v>43678</v>
      </c>
      <c r="AP58" s="48">
        <v>43709</v>
      </c>
      <c r="AQ58" s="48">
        <v>43739</v>
      </c>
      <c r="AR58" s="48">
        <v>43770</v>
      </c>
      <c r="AS58" s="67">
        <v>43800</v>
      </c>
    </row>
    <row r="59" spans="1:45" ht="15" x14ac:dyDescent="0.25">
      <c r="A59" s="88"/>
      <c r="B59" s="36"/>
      <c r="C59" s="56" t="s">
        <v>349</v>
      </c>
      <c r="D59" s="38">
        <f ca="1">SUMPRODUCT((extract!$J$2:$J$2000&lt;=EOMONTH(D$58,0))*(extract!$K$2:$K$2000&gt;=EOMONTH(C$58,0))*(extract!$M$2:$M$2000="oui")*(extract!$T$2:$T$2000="1")*1)</f>
        <v>0</v>
      </c>
      <c r="E59" s="40">
        <f ca="1">SUMPRODUCT((extract!$J$2:$J$2000&lt;=EOMONTH(E$58,0))*(extract!$K$2:$K$2000&gt;=EOMONTH(D$58,0))*(extract!$M$2:$M$2000="oui")*(extract!$T$2:$T$2000="1")*1)</f>
        <v>0</v>
      </c>
      <c r="F59" s="38">
        <f ca="1">SUMPRODUCT((extract!$J$2:$J$2000&lt;=EOMONTH(F$58,0))*(extract!$K$2:$K$2000&gt;=EOMONTH(E$58,0))*(extract!$M$2:$M$2000="oui")*(extract!$T$2:$T$2000="1")*1)</f>
        <v>0</v>
      </c>
      <c r="G59" s="40">
        <f ca="1">SUMPRODUCT((extract!$J$2:$J$2000&lt;=EOMONTH(G$58,0))*(extract!$K$2:$K$2000&gt;=EOMONTH(F$58,0))*(extract!$M$2:$M$2000="oui")*(extract!$T$2:$T$2000="1")*1)</f>
        <v>0</v>
      </c>
      <c r="H59" s="38">
        <f ca="1">SUMPRODUCT((extract!$J$2:$J$2000&lt;=EOMONTH(H$58,0))*(extract!$K$2:$K$2000&gt;=EOMONTH(G$58,0))*(extract!$M$2:$M$2000="oui")*(extract!$T$2:$T$2000="1")*1)</f>
        <v>0</v>
      </c>
      <c r="I59" s="40">
        <f ca="1">SUMPRODUCT((extract!$J$2:$J$2000&lt;=EOMONTH(I$58,0))*(extract!$K$2:$K$2000&gt;=EOMONTH(H$58,0))*(extract!$M$2:$M$2000="oui")*(extract!$T$2:$T$2000="1")*1)</f>
        <v>0</v>
      </c>
      <c r="J59" s="38">
        <f ca="1">SUMPRODUCT((extract!$J$2:$J$2000&lt;=EOMONTH(J$58,0))*(extract!$K$2:$K$2000&gt;=EOMONTH(I$58,0))*(extract!$M$2:$M$2000="oui")*(extract!$T$2:$T$2000="1")*1)</f>
        <v>0</v>
      </c>
      <c r="K59" s="40">
        <f ca="1">SUMPRODUCT((extract!$J$2:$J$2000&lt;=EOMONTH(K$58,0))*(extract!$K$2:$K$2000&gt;=EOMONTH(J$58,0))*(extract!$M$2:$M$2000="oui")*(extract!$T$2:$T$2000="1")*1)</f>
        <v>0</v>
      </c>
      <c r="L59" s="38">
        <f ca="1">SUMPRODUCT((extract!$J$2:$J$2000&lt;=EOMONTH(L$58,0))*(extract!$K$2:$K$2000&gt;=EOMONTH(K$58,0))*(extract!$M$2:$M$2000="oui")*(extract!$T$2:$T$2000="1")*1)</f>
        <v>0</v>
      </c>
      <c r="M59" s="40">
        <f ca="1">SUMPRODUCT((extract!$J$2:$J$2000&lt;=EOMONTH(M$58,0))*(extract!$K$2:$K$2000&gt;=EOMONTH(L$58,0))*(extract!$M$2:$M$2000="oui")*(extract!$T$2:$T$2000="1")*1)</f>
        <v>0</v>
      </c>
      <c r="N59" s="38">
        <f ca="1">SUMPRODUCT((extract!$J$2:$J$2000&lt;=EOMONTH(N$58,0))*(extract!$K$2:$K$2000&gt;=EOMONTH(M$58,0))*(extract!$M$2:$M$2000="oui")*(extract!$T$2:$T$2000="1")*1)</f>
        <v>0</v>
      </c>
      <c r="O59" s="45">
        <f ca="1">SUMPRODUCT((extract!$J$2:$J$2000&lt;=EOMONTH(O$58,0))*(extract!$K$2:$K$2000&gt;=EOMONTH(N$58,0))*(extract!$M$2:$M$2000="oui")*(extract!$T$2:$T$2000="1")*1)</f>
        <v>0</v>
      </c>
      <c r="Q59" s="86"/>
      <c r="R59" s="36"/>
      <c r="S59" s="56" t="s">
        <v>349</v>
      </c>
      <c r="T59" s="38">
        <v>0</v>
      </c>
      <c r="U59" s="40">
        <v>0</v>
      </c>
      <c r="V59" s="38"/>
      <c r="W59" s="40"/>
      <c r="X59" s="38"/>
      <c r="Y59" s="40"/>
      <c r="Z59" s="38"/>
      <c r="AA59" s="40"/>
      <c r="AB59" s="38"/>
      <c r="AC59" s="40"/>
      <c r="AD59" s="38"/>
      <c r="AE59" s="45"/>
      <c r="AF59" s="36"/>
      <c r="AG59" s="56" t="s">
        <v>349</v>
      </c>
      <c r="AH59" s="38">
        <f ca="1">D59-T59</f>
        <v>0</v>
      </c>
      <c r="AI59" s="40">
        <f t="shared" ref="AI59:AS63" ca="1" si="14">E59-U59</f>
        <v>0</v>
      </c>
      <c r="AJ59" s="38">
        <f t="shared" ca="1" si="14"/>
        <v>0</v>
      </c>
      <c r="AK59" s="40">
        <f t="shared" ca="1" si="14"/>
        <v>0</v>
      </c>
      <c r="AL59" s="38">
        <f t="shared" ca="1" si="14"/>
        <v>0</v>
      </c>
      <c r="AM59" s="40">
        <f t="shared" ca="1" si="14"/>
        <v>0</v>
      </c>
      <c r="AN59" s="38">
        <f t="shared" ca="1" si="14"/>
        <v>0</v>
      </c>
      <c r="AO59" s="40">
        <f t="shared" ca="1" si="14"/>
        <v>0</v>
      </c>
      <c r="AP59" s="38">
        <f t="shared" ca="1" si="14"/>
        <v>0</v>
      </c>
      <c r="AQ59" s="40">
        <f t="shared" ca="1" si="14"/>
        <v>0</v>
      </c>
      <c r="AR59" s="38">
        <f t="shared" ca="1" si="14"/>
        <v>0</v>
      </c>
      <c r="AS59" s="45">
        <f t="shared" ca="1" si="14"/>
        <v>0</v>
      </c>
    </row>
    <row r="60" spans="1:45" ht="15" x14ac:dyDescent="0.25">
      <c r="A60" s="88"/>
      <c r="B60" s="36"/>
      <c r="C60" s="20" t="s">
        <v>389</v>
      </c>
      <c r="D60">
        <f ca="1">SUMPRODUCT((extract!$J$2:$J$2000&lt;=EOMONTH(D$58,0))*(extract!$K$2:$K$2000&gt;=EOMONTH(C$58,0))*(extract!$M$2:$M$2000="oui")*(extract!$T$2:$T$2000="2")*1)</f>
        <v>0</v>
      </c>
      <c r="E60" s="41">
        <f ca="1">SUMPRODUCT((extract!$J$2:$J$2000&lt;=EOMONTH(E$58,0))*(extract!$K$2:$K$2000&gt;=EOMONTH(D$58,0))*(extract!$M$2:$M$2000="oui")*(extract!$T$2:$T$2000="2")*1)</f>
        <v>0</v>
      </c>
      <c r="F60">
        <f ca="1">SUMPRODUCT((extract!$J$2:$J$2000&lt;=EOMONTH(F$58,0))*(extract!$K$2:$K$2000&gt;=EOMONTH(E$58,0))*(extract!$M$2:$M$2000="oui")*(extract!$T$2:$T$2000="2")*1)</f>
        <v>0</v>
      </c>
      <c r="G60" s="41">
        <f ca="1">SUMPRODUCT((extract!$J$2:$J$2000&lt;=EOMONTH(G$58,0))*(extract!$K$2:$K$2000&gt;=EOMONTH(F$58,0))*(extract!$M$2:$M$2000="oui")*(extract!$T$2:$T$2000="2")*1)</f>
        <v>0</v>
      </c>
      <c r="H60">
        <f ca="1">SUMPRODUCT((extract!$J$2:$J$2000&lt;=EOMONTH(H$58,0))*(extract!$K$2:$K$2000&gt;=EOMONTH(G$58,0))*(extract!$M$2:$M$2000="oui")*(extract!$T$2:$T$2000="2")*1)</f>
        <v>0</v>
      </c>
      <c r="I60" s="41">
        <f ca="1">SUMPRODUCT((extract!$J$2:$J$2000&lt;=EOMONTH(I$58,0))*(extract!$K$2:$K$2000&gt;=EOMONTH(H$58,0))*(extract!$M$2:$M$2000="oui")*(extract!$T$2:$T$2000="2")*1)</f>
        <v>0</v>
      </c>
      <c r="J60">
        <f ca="1">SUMPRODUCT((extract!$J$2:$J$2000&lt;=EOMONTH(J$58,0))*(extract!$K$2:$K$2000&gt;=EOMONTH(I$58,0))*(extract!$M$2:$M$2000="oui")*(extract!$T$2:$T$2000="2")*1)</f>
        <v>0</v>
      </c>
      <c r="K60" s="41">
        <f ca="1">SUMPRODUCT((extract!$J$2:$J$2000&lt;=EOMONTH(K$58,0))*(extract!$K$2:$K$2000&gt;=EOMONTH(J$58,0))*(extract!$M$2:$M$2000="oui")*(extract!$T$2:$T$2000="2")*1)</f>
        <v>0</v>
      </c>
      <c r="L60">
        <f ca="1">SUMPRODUCT((extract!$J$2:$J$2000&lt;=EOMONTH(L$58,0))*(extract!$K$2:$K$2000&gt;=EOMONTH(K$58,0))*(extract!$M$2:$M$2000="oui")*(extract!$T$2:$T$2000="2")*1)</f>
        <v>0</v>
      </c>
      <c r="M60" s="41">
        <f ca="1">SUMPRODUCT((extract!$J$2:$J$2000&lt;=EOMONTH(M$58,0))*(extract!$K$2:$K$2000&gt;=EOMONTH(L$58,0))*(extract!$M$2:$M$2000="oui")*(extract!$T$2:$T$2000="2")*1)</f>
        <v>0</v>
      </c>
      <c r="N60">
        <f ca="1">SUMPRODUCT((extract!$J$2:$J$2000&lt;=EOMONTH(N$58,0))*(extract!$K$2:$K$2000&gt;=EOMONTH(M$58,0))*(extract!$M$2:$M$2000="oui")*(extract!$T$2:$T$2000="2")*1)</f>
        <v>0</v>
      </c>
      <c r="O60" s="43">
        <f ca="1">SUMPRODUCT((extract!$J$2:$J$2000&lt;=EOMONTH(O$58,0))*(extract!$K$2:$K$2000&gt;=EOMONTH(N$58,0))*(extract!$M$2:$M$2000="oui")*(extract!$T$2:$T$2000="2")*1)</f>
        <v>0</v>
      </c>
      <c r="Q60" s="86"/>
      <c r="R60" s="36"/>
      <c r="S60" s="20" t="s">
        <v>389</v>
      </c>
      <c r="T60">
        <v>0</v>
      </c>
      <c r="U60" s="41">
        <v>0</v>
      </c>
      <c r="W60" s="41"/>
      <c r="Y60" s="41"/>
      <c r="AA60" s="41"/>
      <c r="AC60" s="41"/>
      <c r="AE60" s="43"/>
      <c r="AF60" s="36"/>
      <c r="AG60" s="20" t="s">
        <v>389</v>
      </c>
      <c r="AH60">
        <f t="shared" ref="AH60:AH63" ca="1" si="15">D60-T60</f>
        <v>0</v>
      </c>
      <c r="AI60" s="41">
        <f t="shared" ca="1" si="14"/>
        <v>0</v>
      </c>
      <c r="AJ60">
        <f t="shared" ca="1" si="14"/>
        <v>0</v>
      </c>
      <c r="AK60" s="41">
        <f t="shared" ca="1" si="14"/>
        <v>0</v>
      </c>
      <c r="AL60">
        <f t="shared" ca="1" si="14"/>
        <v>0</v>
      </c>
      <c r="AM60" s="41">
        <f t="shared" ca="1" si="14"/>
        <v>0</v>
      </c>
      <c r="AN60">
        <f t="shared" ca="1" si="14"/>
        <v>0</v>
      </c>
      <c r="AO60" s="41">
        <f t="shared" ca="1" si="14"/>
        <v>0</v>
      </c>
      <c r="AP60">
        <f t="shared" ca="1" si="14"/>
        <v>0</v>
      </c>
      <c r="AQ60" s="41">
        <f t="shared" ca="1" si="14"/>
        <v>0</v>
      </c>
      <c r="AR60">
        <f t="shared" ca="1" si="14"/>
        <v>0</v>
      </c>
      <c r="AS60" s="43">
        <f t="shared" ca="1" si="14"/>
        <v>0</v>
      </c>
    </row>
    <row r="61" spans="1:45" ht="15" x14ac:dyDescent="0.25">
      <c r="A61" s="88"/>
      <c r="B61" s="36"/>
      <c r="C61" s="56" t="s">
        <v>390</v>
      </c>
      <c r="D61" s="38">
        <f ca="1">SUMPRODUCT((extract!$J$2:$J$2000&lt;=EOMONTH(D$58,0))*(extract!$K$2:$K$2000&gt;=EOMONTH(C$58,0))*(extract!$M$2:$M$2000="oui")*(extract!$T$2:$T$2000="15")*1)</f>
        <v>0</v>
      </c>
      <c r="E61" s="40">
        <f ca="1">SUMPRODUCT((extract!$J$2:$J$2000&lt;=EOMONTH(E$58,0))*(extract!$K$2:$K$2000&gt;=EOMONTH(D$58,0))*(extract!$M$2:$M$2000="oui")*(extract!$T$2:$T$2000="15")*1)</f>
        <v>0</v>
      </c>
      <c r="F61" s="38">
        <f ca="1">SUMPRODUCT((extract!$J$2:$J$2000&lt;=EOMONTH(F$58,0))*(extract!$K$2:$K$2000&gt;=EOMONTH(E$58,0))*(extract!$M$2:$M$2000="oui")*(extract!$T$2:$T$2000="15")*1)</f>
        <v>0</v>
      </c>
      <c r="G61" s="40">
        <f ca="1">SUMPRODUCT((extract!$J$2:$J$2000&lt;=EOMONTH(G$58,0))*(extract!$K$2:$K$2000&gt;=EOMONTH(F$58,0))*(extract!$M$2:$M$2000="oui")*(extract!$T$2:$T$2000="15")*1)</f>
        <v>0</v>
      </c>
      <c r="H61" s="38">
        <f ca="1">SUMPRODUCT((extract!$J$2:$J$2000&lt;=EOMONTH(H$58,0))*(extract!$K$2:$K$2000&gt;=EOMONTH(G$58,0))*(extract!$M$2:$M$2000="oui")*(extract!$T$2:$T$2000="15")*1)</f>
        <v>0</v>
      </c>
      <c r="I61" s="40">
        <f ca="1">SUMPRODUCT((extract!$J$2:$J$2000&lt;=EOMONTH(I$58,0))*(extract!$K$2:$K$2000&gt;=EOMONTH(H$58,0))*(extract!$M$2:$M$2000="oui")*(extract!$T$2:$T$2000="15")*1)</f>
        <v>0</v>
      </c>
      <c r="J61" s="38">
        <f ca="1">SUMPRODUCT((extract!$J$2:$J$2000&lt;=EOMONTH(J$58,0))*(extract!$K$2:$K$2000&gt;=EOMONTH(I$58,0))*(extract!$M$2:$M$2000="oui")*(extract!$T$2:$T$2000="15")*1)</f>
        <v>0</v>
      </c>
      <c r="K61" s="40">
        <f ca="1">SUMPRODUCT((extract!$J$2:$J$2000&lt;=EOMONTH(K$58,0))*(extract!$K$2:$K$2000&gt;=EOMONTH(J$58,0))*(extract!$M$2:$M$2000="oui")*(extract!$T$2:$T$2000="15")*1)</f>
        <v>0</v>
      </c>
      <c r="L61" s="38">
        <f ca="1">SUMPRODUCT((extract!$J$2:$J$2000&lt;=EOMONTH(L$58,0))*(extract!$K$2:$K$2000&gt;=EOMONTH(K$58,0))*(extract!$M$2:$M$2000="oui")*(extract!$T$2:$T$2000="15")*1)</f>
        <v>0</v>
      </c>
      <c r="M61" s="40">
        <f ca="1">SUMPRODUCT((extract!$J$2:$J$2000&lt;=EOMONTH(M$58,0))*(extract!$K$2:$K$2000&gt;=EOMONTH(L$58,0))*(extract!$M$2:$M$2000="oui")*(extract!$T$2:$T$2000="15")*1)</f>
        <v>0</v>
      </c>
      <c r="N61" s="38">
        <f ca="1">SUMPRODUCT((extract!$J$2:$J$2000&lt;=EOMONTH(N$58,0))*(extract!$K$2:$K$2000&gt;=EOMONTH(M$58,0))*(extract!$M$2:$M$2000="oui")*(extract!$T$2:$T$2000="15")*1)</f>
        <v>0</v>
      </c>
      <c r="O61" s="45">
        <f ca="1">SUMPRODUCT((extract!$J$2:$J$2000&lt;=EOMONTH(O$58,0))*(extract!$K$2:$K$2000&gt;=EOMONTH(N$58,0))*(extract!$M$2:$M$2000="oui")*(extract!$T$2:$T$2000="15")*1)</f>
        <v>0</v>
      </c>
      <c r="Q61" s="86"/>
      <c r="R61" s="36"/>
      <c r="S61" s="56" t="s">
        <v>390</v>
      </c>
      <c r="T61" s="38">
        <v>0</v>
      </c>
      <c r="U61" s="40">
        <v>0</v>
      </c>
      <c r="V61" s="38"/>
      <c r="W61" s="40"/>
      <c r="X61" s="38"/>
      <c r="Y61" s="40"/>
      <c r="Z61" s="38"/>
      <c r="AA61" s="40"/>
      <c r="AB61" s="38"/>
      <c r="AC61" s="40"/>
      <c r="AD61" s="38"/>
      <c r="AE61" s="45"/>
      <c r="AF61" s="36"/>
      <c r="AG61" s="56" t="s">
        <v>390</v>
      </c>
      <c r="AH61" s="38">
        <f t="shared" ca="1" si="15"/>
        <v>0</v>
      </c>
      <c r="AI61" s="40">
        <f t="shared" ca="1" si="14"/>
        <v>0</v>
      </c>
      <c r="AJ61" s="38">
        <f t="shared" ca="1" si="14"/>
        <v>0</v>
      </c>
      <c r="AK61" s="40">
        <f t="shared" ca="1" si="14"/>
        <v>0</v>
      </c>
      <c r="AL61" s="38">
        <f t="shared" ca="1" si="14"/>
        <v>0</v>
      </c>
      <c r="AM61" s="40">
        <f t="shared" ca="1" si="14"/>
        <v>0</v>
      </c>
      <c r="AN61" s="38">
        <f t="shared" ca="1" si="14"/>
        <v>0</v>
      </c>
      <c r="AO61" s="40">
        <f t="shared" ca="1" si="14"/>
        <v>0</v>
      </c>
      <c r="AP61" s="38">
        <f t="shared" ca="1" si="14"/>
        <v>0</v>
      </c>
      <c r="AQ61" s="40">
        <f t="shared" ca="1" si="14"/>
        <v>0</v>
      </c>
      <c r="AR61" s="38">
        <f t="shared" ca="1" si="14"/>
        <v>0</v>
      </c>
      <c r="AS61" s="45">
        <f t="shared" ca="1" si="14"/>
        <v>0</v>
      </c>
    </row>
    <row r="62" spans="1:45" ht="15" x14ac:dyDescent="0.25">
      <c r="A62" s="88"/>
      <c r="B62" s="36"/>
      <c r="C62" s="20" t="s">
        <v>391</v>
      </c>
      <c r="D62">
        <f ca="1">SUMPRODUCT((extract!$J$2:$J$2000&lt;=EOMONTH(D$58,0))*(extract!$K$2:$K$2000&gt;=EOMONTH(C$58,0))*(extract!$M$2:$M$2000="oui")*(extract!$T$2:$T$2000="30")*1)</f>
        <v>0</v>
      </c>
      <c r="E62" s="41">
        <f ca="1">SUMPRODUCT((extract!$J$2:$J$2000&lt;=EOMONTH(E$58,0))*(extract!$K$2:$K$2000&gt;=EOMONTH(D$58,0))*(extract!$M$2:$M$2000="oui")*(extract!$T$2:$T$2000="30")*1)</f>
        <v>0</v>
      </c>
      <c r="F62">
        <f ca="1">SUMPRODUCT((extract!$J$2:$J$2000&lt;=EOMONTH(F$58,0))*(extract!$K$2:$K$2000&gt;=EOMONTH(E$58,0))*(extract!$M$2:$M$2000="oui")*(extract!$T$2:$T$2000="30")*1)</f>
        <v>0</v>
      </c>
      <c r="G62" s="41">
        <f ca="1">SUMPRODUCT((extract!$J$2:$J$2000&lt;=EOMONTH(G$58,0))*(extract!$K$2:$K$2000&gt;=EOMONTH(F$58,0))*(extract!$M$2:$M$2000="oui")*(extract!$T$2:$T$2000="30")*1)</f>
        <v>0</v>
      </c>
      <c r="H62">
        <f ca="1">SUMPRODUCT((extract!$J$2:$J$2000&lt;=EOMONTH(H$58,0))*(extract!$K$2:$K$2000&gt;=EOMONTH(G$58,0))*(extract!$M$2:$M$2000="oui")*(extract!$T$2:$T$2000="30")*1)</f>
        <v>0</v>
      </c>
      <c r="I62" s="41">
        <f ca="1">SUMPRODUCT((extract!$J$2:$J$2000&lt;=EOMONTH(I$58,0))*(extract!$K$2:$K$2000&gt;=EOMONTH(H$58,0))*(extract!$M$2:$M$2000="oui")*(extract!$T$2:$T$2000="30")*1)</f>
        <v>0</v>
      </c>
      <c r="J62">
        <f ca="1">SUMPRODUCT((extract!$J$2:$J$2000&lt;=EOMONTH(J$58,0))*(extract!$K$2:$K$2000&gt;=EOMONTH(I$58,0))*(extract!$M$2:$M$2000="oui")*(extract!$T$2:$T$2000="30")*1)</f>
        <v>0</v>
      </c>
      <c r="K62" s="41">
        <f ca="1">SUMPRODUCT((extract!$J$2:$J$2000&lt;=EOMONTH(K$58,0))*(extract!$K$2:$K$2000&gt;=EOMONTH(J$58,0))*(extract!$M$2:$M$2000="oui")*(extract!$T$2:$T$2000="30")*1)</f>
        <v>0</v>
      </c>
      <c r="L62">
        <f ca="1">SUMPRODUCT((extract!$J$2:$J$2000&lt;=EOMONTH(L$58,0))*(extract!$K$2:$K$2000&gt;=EOMONTH(K$58,0))*(extract!$M$2:$M$2000="oui")*(extract!$T$2:$T$2000="30")*1)</f>
        <v>0</v>
      </c>
      <c r="M62" s="41">
        <f ca="1">SUMPRODUCT((extract!$J$2:$J$2000&lt;=EOMONTH(M$58,0))*(extract!$K$2:$K$2000&gt;=EOMONTH(L$58,0))*(extract!$M$2:$M$2000="oui")*(extract!$T$2:$T$2000="30")*1)</f>
        <v>0</v>
      </c>
      <c r="N62">
        <f ca="1">SUMPRODUCT((extract!$J$2:$J$2000&lt;=EOMONTH(N$58,0))*(extract!$K$2:$K$2000&gt;=EOMONTH(M$58,0))*(extract!$M$2:$M$2000="oui")*(extract!$T$2:$T$2000="30")*1)</f>
        <v>0</v>
      </c>
      <c r="O62" s="43">
        <f ca="1">SUMPRODUCT((extract!$J$2:$J$2000&lt;=EOMONTH(O$58,0))*(extract!$K$2:$K$2000&gt;=EOMONTH(N$58,0))*(extract!$M$2:$M$2000="oui")*(extract!$T$2:$T$2000="30")*1)</f>
        <v>0</v>
      </c>
      <c r="Q62" s="86"/>
      <c r="R62" s="36"/>
      <c r="S62" s="20" t="s">
        <v>391</v>
      </c>
      <c r="T62">
        <v>0</v>
      </c>
      <c r="U62" s="41">
        <v>0</v>
      </c>
      <c r="W62" s="41"/>
      <c r="Y62" s="41"/>
      <c r="AA62" s="41"/>
      <c r="AC62" s="41"/>
      <c r="AE62" s="43"/>
      <c r="AF62" s="36"/>
      <c r="AG62" s="20" t="s">
        <v>391</v>
      </c>
      <c r="AH62">
        <f t="shared" ca="1" si="15"/>
        <v>0</v>
      </c>
      <c r="AI62" s="41">
        <f t="shared" ca="1" si="14"/>
        <v>0</v>
      </c>
      <c r="AJ62">
        <f t="shared" ca="1" si="14"/>
        <v>0</v>
      </c>
      <c r="AK62" s="41">
        <f t="shared" ca="1" si="14"/>
        <v>0</v>
      </c>
      <c r="AL62">
        <f t="shared" ca="1" si="14"/>
        <v>0</v>
      </c>
      <c r="AM62" s="41">
        <f t="shared" ca="1" si="14"/>
        <v>0</v>
      </c>
      <c r="AN62">
        <f t="shared" ca="1" si="14"/>
        <v>0</v>
      </c>
      <c r="AO62" s="41">
        <f t="shared" ca="1" si="14"/>
        <v>0</v>
      </c>
      <c r="AP62">
        <f t="shared" ca="1" si="14"/>
        <v>0</v>
      </c>
      <c r="AQ62" s="41">
        <f t="shared" ca="1" si="14"/>
        <v>0</v>
      </c>
      <c r="AR62">
        <f t="shared" ca="1" si="14"/>
        <v>0</v>
      </c>
      <c r="AS62" s="43">
        <f t="shared" ca="1" si="14"/>
        <v>0</v>
      </c>
    </row>
    <row r="63" spans="1:45" thickBot="1" x14ac:dyDescent="0.3">
      <c r="A63" s="88"/>
      <c r="B63" s="36"/>
      <c r="C63" s="59" t="s">
        <v>392</v>
      </c>
      <c r="D63" s="39">
        <f ca="1">SUMPRODUCT((extract!$J$2:$J$2000&lt;=EOMONTH(D$58,0))*(extract!$K$2:$K$2000&gt;=EOMONTH(C$58,0))*(extract!$M$2:$M$2000="oui")*(extract!$T$2:$T$2000="30 et +")*1)</f>
        <v>0</v>
      </c>
      <c r="E63" s="46">
        <f ca="1">SUMPRODUCT((extract!$J$2:$J$2000&lt;=EOMONTH(E$58,0))*(extract!$K$2:$K$2000&gt;=EOMONTH(D$58,0))*(extract!$M$2:$M$2000="oui")*(extract!$T$2:$T$2000="30 et +")*1)</f>
        <v>4</v>
      </c>
      <c r="F63" s="39">
        <f ca="1">SUMPRODUCT((extract!$J$2:$J$2000&lt;=EOMONTH(F$58,0))*(extract!$K$2:$K$2000&gt;=EOMONTH(E$58,0))*(extract!$M$2:$M$2000="oui")*(extract!$T$2:$T$2000="30 et +")*1)</f>
        <v>4</v>
      </c>
      <c r="G63" s="46">
        <f ca="1">SUMPRODUCT((extract!$J$2:$J$2000&lt;=EOMONTH(G$58,0))*(extract!$K$2:$K$2000&gt;=EOMONTH(F$58,0))*(extract!$M$2:$M$2000="oui")*(extract!$T$2:$T$2000="30 et +")*1)</f>
        <v>2</v>
      </c>
      <c r="H63" s="39">
        <f ca="1">SUMPRODUCT((extract!$J$2:$J$2000&lt;=EOMONTH(H$58,0))*(extract!$K$2:$K$2000&gt;=EOMONTH(G$58,0))*(extract!$M$2:$M$2000="oui")*(extract!$T$2:$T$2000="30 et +")*1)</f>
        <v>1</v>
      </c>
      <c r="I63" s="46">
        <f ca="1">SUMPRODUCT((extract!$J$2:$J$2000&lt;=EOMONTH(I$58,0))*(extract!$K$2:$K$2000&gt;=EOMONTH(H$58,0))*(extract!$M$2:$M$2000="oui")*(extract!$T$2:$T$2000="30 et +")*1)</f>
        <v>1</v>
      </c>
      <c r="J63" s="39">
        <f ca="1">SUMPRODUCT((extract!$J$2:$J$2000&lt;=EOMONTH(J$58,0))*(extract!$K$2:$K$2000&gt;=EOMONTH(I$58,0))*(extract!$M$2:$M$2000="oui")*(extract!$T$2:$T$2000="30 et +")*1)</f>
        <v>0</v>
      </c>
      <c r="K63" s="46">
        <f ca="1">SUMPRODUCT((extract!$J$2:$J$2000&lt;=EOMONTH(K$58,0))*(extract!$K$2:$K$2000&gt;=EOMONTH(J$58,0))*(extract!$M$2:$M$2000="oui")*(extract!$T$2:$T$2000="30 et +")*1)</f>
        <v>0</v>
      </c>
      <c r="L63" s="39">
        <f ca="1">SUMPRODUCT((extract!$J$2:$J$2000&lt;=EOMONTH(L$58,0))*(extract!$K$2:$K$2000&gt;=EOMONTH(K$58,0))*(extract!$M$2:$M$2000="oui")*(extract!$T$2:$T$2000="30 et +")*1)</f>
        <v>0</v>
      </c>
      <c r="M63" s="46">
        <f ca="1">SUMPRODUCT((extract!$J$2:$J$2000&lt;=EOMONTH(M$58,0))*(extract!$K$2:$K$2000&gt;=EOMONTH(L$58,0))*(extract!$M$2:$M$2000="oui")*(extract!$T$2:$T$2000="30 et +")*1)</f>
        <v>0</v>
      </c>
      <c r="N63" s="39">
        <f ca="1">SUMPRODUCT((extract!$J$2:$J$2000&lt;=EOMONTH(N$58,0))*(extract!$K$2:$K$2000&gt;=EOMONTH(M$58,0))*(extract!$M$2:$M$2000="oui")*(extract!$T$2:$T$2000="30 et +")*1)</f>
        <v>0</v>
      </c>
      <c r="O63" s="47">
        <f ca="1">SUMPRODUCT((extract!$J$2:$J$2000&lt;=EOMONTH(O$58,0))*(extract!$K$2:$K$2000&gt;=EOMONTH(N$58,0))*(extract!$M$2:$M$2000="oui")*(extract!$T$2:$T$2000="30 et +")*1)</f>
        <v>0</v>
      </c>
      <c r="Q63" s="86"/>
      <c r="S63" s="59" t="s">
        <v>392</v>
      </c>
      <c r="T63" s="39">
        <v>0</v>
      </c>
      <c r="U63" s="46">
        <v>4</v>
      </c>
      <c r="V63" s="39"/>
      <c r="W63" s="46"/>
      <c r="X63" s="39"/>
      <c r="Y63" s="46"/>
      <c r="Z63" s="39"/>
      <c r="AA63" s="46"/>
      <c r="AB63" s="39"/>
      <c r="AC63" s="46"/>
      <c r="AD63" s="39"/>
      <c r="AE63" s="47"/>
      <c r="AG63" s="59" t="s">
        <v>392</v>
      </c>
      <c r="AH63" s="39">
        <f t="shared" ca="1" si="15"/>
        <v>0</v>
      </c>
      <c r="AI63" s="46">
        <f t="shared" ca="1" si="14"/>
        <v>0</v>
      </c>
      <c r="AJ63" s="39">
        <f t="shared" ca="1" si="14"/>
        <v>4</v>
      </c>
      <c r="AK63" s="46">
        <f t="shared" ca="1" si="14"/>
        <v>2</v>
      </c>
      <c r="AL63" s="39">
        <f t="shared" ca="1" si="14"/>
        <v>1</v>
      </c>
      <c r="AM63" s="46">
        <f t="shared" ca="1" si="14"/>
        <v>1</v>
      </c>
      <c r="AN63" s="39">
        <f t="shared" ca="1" si="14"/>
        <v>0</v>
      </c>
      <c r="AO63" s="46">
        <f t="shared" ca="1" si="14"/>
        <v>0</v>
      </c>
      <c r="AP63" s="39">
        <f t="shared" ca="1" si="14"/>
        <v>0</v>
      </c>
      <c r="AQ63" s="46">
        <f t="shared" ca="1" si="14"/>
        <v>0</v>
      </c>
      <c r="AR63" s="39">
        <f t="shared" ca="1" si="14"/>
        <v>0</v>
      </c>
      <c r="AS63" s="47">
        <f t="shared" ca="1" si="14"/>
        <v>0</v>
      </c>
    </row>
    <row r="64" spans="1:45" ht="15" x14ac:dyDescent="0.25">
      <c r="A64" s="35"/>
    </row>
    <row r="65" spans="4:4" x14ac:dyDescent="0.25">
      <c r="D65" s="50">
        <f>EOMONTH(D58,0)</f>
        <v>43496</v>
      </c>
    </row>
  </sheetData>
  <mergeCells count="14">
    <mergeCell ref="A42:A47"/>
    <mergeCell ref="A50:A55"/>
    <mergeCell ref="A58:A63"/>
    <mergeCell ref="A5:A9"/>
    <mergeCell ref="A12:A16"/>
    <mergeCell ref="A19:A23"/>
    <mergeCell ref="A34:A39"/>
    <mergeCell ref="Q50:Q55"/>
    <mergeCell ref="Q58:Q63"/>
    <mergeCell ref="Q6:Q9"/>
    <mergeCell ref="Q12:Q16"/>
    <mergeCell ref="Q19:Q23"/>
    <mergeCell ref="Q42:Q47"/>
    <mergeCell ref="Q34:Q39"/>
  </mergeCells>
  <conditionalFormatting sqref="AH6:AS11 AH13:AS18 AH20:AS25 AH27:AS33 AH35:AS41 AH43:AS49 AH51:AS57 AH59:AS63">
    <cfRule type="cellIs" dxfId="1" priority="2" operator="greaterThan">
      <formula>0</formula>
    </cfRule>
  </conditionalFormatting>
  <conditionalFormatting sqref="AH1:AS1048576">
    <cfRule type="cellIs" dxfId="0" priority="1" operator="lessThan">
      <formula>0</formula>
    </cfRule>
  </conditionalFormatting>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import</vt:lpstr>
      <vt:lpstr>extract</vt:lpstr>
      <vt:lpstr>Tableaux de suivi</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CHARZAT-PRESTATAIRE Lucile (SOPRA STERIA GROUP)</cp:lastModifiedBy>
  <dcterms:created xsi:type="dcterms:W3CDTF">2019-04-04T11:42:17Z</dcterms:created>
  <dcterms:modified xsi:type="dcterms:W3CDTF">2019-07-19T16:14:27Z</dcterms:modified>
</cp:coreProperties>
</file>