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ine.gu\Desktop\"/>
    </mc:Choice>
  </mc:AlternateContent>
  <xr:revisionPtr revIDLastSave="0" documentId="8_{B1102C6F-910D-4B65-AD6C-6D9A87CC3D09}" xr6:coauthVersionLast="40" xr6:coauthVersionMax="40" xr10:uidLastSave="{00000000-0000-0000-0000-000000000000}"/>
  <bookViews>
    <workbookView xWindow="-15" yWindow="4020" windowWidth="19230" windowHeight="4050" xr2:uid="{00000000-000D-0000-FFFF-FFFF00000000}"/>
  </bookViews>
  <sheets>
    <sheet name="PR 2018" sheetId="10" r:id="rId1"/>
    <sheet name="Query" sheetId="20" r:id="rId2"/>
    <sheet name="Feuil6" sheetId="24" r:id="rId3"/>
  </sheets>
  <definedNames>
    <definedName name="_xlnm._FilterDatabase" localSheetId="0" hidden="1">'PR 2018'!$A$1:$L$1384</definedName>
    <definedName name="_xlnm.Print_Titles" localSheetId="0">'PR 2018'!$1:$3</definedName>
    <definedName name="_xlnm.Print_Area" localSheetId="0">'PR 2018'!$A$1:$L$902</definedName>
  </definedNames>
  <calcPr calcId="181029"/>
  <fileRecoveryPr autoRecover="0"/>
</workbook>
</file>

<file path=xl/calcChain.xml><?xml version="1.0" encoding="utf-8"?>
<calcChain xmlns="http://schemas.openxmlformats.org/spreadsheetml/2006/main">
  <c r="D910" i="10" l="1"/>
  <c r="I905" i="10"/>
  <c r="I909" i="10"/>
  <c r="I907" i="10"/>
  <c r="I903" i="10"/>
  <c r="I908" i="10"/>
  <c r="I904" i="10"/>
  <c r="I906" i="10"/>
  <c r="I917" i="10"/>
  <c r="I914" i="10"/>
  <c r="I911" i="10"/>
  <c r="I913" i="10"/>
  <c r="I916" i="10"/>
  <c r="I915" i="10"/>
  <c r="I912" i="10"/>
  <c r="I910" i="10"/>
  <c r="I918" i="10"/>
  <c r="I919" i="10"/>
  <c r="I920" i="10"/>
  <c r="I921" i="10"/>
  <c r="I922" i="10"/>
  <c r="I923" i="10"/>
  <c r="I926" i="10"/>
  <c r="I925" i="10"/>
  <c r="I924" i="10"/>
  <c r="I927" i="10"/>
  <c r="I928" i="10"/>
  <c r="I930" i="10"/>
  <c r="I932" i="10"/>
  <c r="I929" i="10"/>
  <c r="I931" i="10"/>
  <c r="I933" i="10"/>
  <c r="I937" i="10"/>
  <c r="I938" i="10"/>
  <c r="I934" i="10"/>
  <c r="I936" i="10"/>
  <c r="I935" i="10"/>
  <c r="I939" i="10"/>
  <c r="I941" i="10"/>
  <c r="I940" i="10"/>
  <c r="I943" i="10"/>
  <c r="I944" i="10"/>
  <c r="I942" i="10"/>
  <c r="I945" i="10"/>
  <c r="I947" i="10"/>
  <c r="I955" i="10"/>
  <c r="I956" i="10"/>
  <c r="I949" i="10"/>
  <c r="I959" i="10"/>
  <c r="I946" i="10"/>
  <c r="I954" i="10"/>
  <c r="I950" i="10"/>
  <c r="I953" i="10"/>
  <c r="I948" i="10"/>
  <c r="I958" i="10"/>
  <c r="I952" i="10"/>
  <c r="I957" i="10"/>
  <c r="I951" i="10"/>
  <c r="I965" i="10"/>
  <c r="I964" i="10"/>
  <c r="I962" i="10"/>
  <c r="I961" i="10"/>
  <c r="I963" i="10"/>
  <c r="I960" i="10"/>
  <c r="I971" i="10"/>
  <c r="I968" i="10"/>
  <c r="I966" i="10"/>
  <c r="I970" i="10"/>
  <c r="I969" i="10"/>
  <c r="I967" i="10"/>
  <c r="I976" i="10"/>
  <c r="I978" i="10"/>
  <c r="I977" i="10"/>
  <c r="I972" i="10"/>
  <c r="I973" i="10"/>
  <c r="I974" i="10"/>
  <c r="I979" i="10"/>
  <c r="I980" i="10"/>
  <c r="I981" i="10"/>
  <c r="I975" i="10"/>
  <c r="I985" i="10"/>
  <c r="I994" i="10"/>
  <c r="I984" i="10"/>
  <c r="I990" i="10"/>
  <c r="I992" i="10"/>
  <c r="I991" i="10"/>
  <c r="I988" i="10"/>
  <c r="I989" i="10"/>
  <c r="I983" i="10"/>
  <c r="I986" i="10"/>
  <c r="I987" i="10"/>
  <c r="I982" i="10"/>
  <c r="I993" i="10"/>
  <c r="I1000" i="10"/>
  <c r="I999" i="10"/>
  <c r="I996" i="10"/>
  <c r="I1003" i="10"/>
  <c r="I998" i="10"/>
  <c r="I997" i="10"/>
  <c r="I1007" i="10"/>
  <c r="I1001" i="10"/>
  <c r="I1002" i="10"/>
  <c r="I1006" i="10"/>
  <c r="I1005" i="10"/>
  <c r="I1004" i="10"/>
  <c r="I1008" i="10"/>
  <c r="I1010" i="10"/>
  <c r="I1012" i="10"/>
  <c r="I1009" i="10"/>
  <c r="I1013" i="10"/>
  <c r="I1011" i="10"/>
  <c r="I1020" i="10"/>
  <c r="I1023" i="10"/>
  <c r="I1024" i="10"/>
  <c r="I1016" i="10"/>
  <c r="I1014" i="10"/>
  <c r="I1022" i="10"/>
  <c r="I1015" i="10"/>
  <c r="I1019" i="10"/>
  <c r="I1018" i="10"/>
  <c r="I1017" i="10"/>
  <c r="I1021" i="10"/>
  <c r="I1030" i="10"/>
  <c r="I1029" i="10"/>
  <c r="I1028" i="10"/>
  <c r="I1027" i="10"/>
  <c r="I1031" i="10"/>
  <c r="I1026" i="10"/>
  <c r="I1041" i="10"/>
  <c r="I1044" i="10"/>
  <c r="I1045" i="10"/>
  <c r="I1032" i="10"/>
  <c r="I1034" i="10"/>
  <c r="I1033" i="10"/>
  <c r="I1035" i="10"/>
  <c r="I1036" i="10"/>
  <c r="I1037" i="10"/>
  <c r="I1038" i="10"/>
  <c r="I1042" i="10"/>
  <c r="I1040" i="10"/>
  <c r="I1043" i="10"/>
  <c r="I1039" i="10"/>
  <c r="I1054" i="10"/>
  <c r="I1056" i="10"/>
  <c r="I1047" i="10"/>
  <c r="I1055" i="10"/>
  <c r="I1057" i="10"/>
  <c r="I1048" i="10"/>
  <c r="I1050" i="10"/>
  <c r="I1051" i="10"/>
  <c r="I1046" i="10"/>
  <c r="I1053" i="10"/>
  <c r="I1052" i="10"/>
  <c r="I1049" i="10"/>
  <c r="I1059" i="10"/>
  <c r="I1058" i="10"/>
  <c r="I1060" i="10"/>
  <c r="I1062" i="10"/>
  <c r="I1061" i="10"/>
  <c r="I1063" i="10"/>
  <c r="I1065" i="10"/>
  <c r="I1064" i="10"/>
  <c r="I1071" i="10"/>
  <c r="I1072" i="10"/>
  <c r="I1069" i="10"/>
  <c r="I1068" i="10"/>
  <c r="I1067" i="10"/>
  <c r="I1066" i="10"/>
  <c r="I1070" i="10"/>
  <c r="I1080" i="10"/>
  <c r="I1077" i="10"/>
  <c r="I1075" i="10"/>
  <c r="I1073" i="10"/>
  <c r="I1078" i="10"/>
  <c r="I1074" i="10"/>
  <c r="I1079" i="10"/>
  <c r="I1076" i="10"/>
  <c r="I1082" i="10"/>
  <c r="I1081" i="10"/>
  <c r="I1091" i="10"/>
  <c r="I1089" i="10"/>
  <c r="I1084" i="10"/>
  <c r="I1086" i="10"/>
  <c r="I1085" i="10"/>
  <c r="I1088" i="10"/>
  <c r="I1092" i="10"/>
  <c r="I1087" i="10"/>
  <c r="I1090" i="10"/>
  <c r="I1094" i="10"/>
  <c r="I1093" i="10"/>
  <c r="I1101" i="10"/>
  <c r="I1100" i="10"/>
  <c r="I1102" i="10"/>
  <c r="I1097" i="10"/>
  <c r="I1096" i="10"/>
  <c r="I1104" i="10"/>
  <c r="I1099" i="10"/>
  <c r="I1098" i="10"/>
  <c r="I1095" i="10"/>
  <c r="I1103" i="10"/>
  <c r="I1105" i="10"/>
  <c r="I1107" i="10"/>
  <c r="I1110" i="10"/>
  <c r="I1109" i="10"/>
  <c r="I1106" i="10"/>
  <c r="I1112" i="10"/>
  <c r="I1108" i="10"/>
  <c r="I1113" i="10"/>
  <c r="I1111" i="10"/>
  <c r="I1117" i="10"/>
  <c r="I1120" i="10"/>
  <c r="I1121" i="10"/>
  <c r="I1119" i="10"/>
  <c r="I1114" i="10"/>
  <c r="I1118" i="10"/>
  <c r="I1122" i="10"/>
  <c r="I1115" i="10"/>
  <c r="I1116" i="10"/>
  <c r="I1123" i="10"/>
  <c r="I1133" i="10"/>
  <c r="I1130" i="10"/>
  <c r="I1129" i="10"/>
  <c r="I1128" i="10"/>
  <c r="I1134" i="10"/>
  <c r="I1132" i="10"/>
  <c r="I1124" i="10"/>
  <c r="I1126" i="10"/>
  <c r="I1131" i="10"/>
  <c r="I1127" i="10"/>
  <c r="I1125" i="10"/>
  <c r="I1135" i="10"/>
  <c r="I1136" i="10"/>
  <c r="I1139" i="10"/>
  <c r="I1142" i="10"/>
  <c r="I1141" i="10"/>
  <c r="I1137" i="10"/>
  <c r="I1138" i="10"/>
  <c r="I1143" i="10"/>
  <c r="I1140" i="10"/>
  <c r="I1145" i="10"/>
  <c r="I1144" i="10"/>
  <c r="I1156" i="10"/>
  <c r="I1161" i="10"/>
  <c r="I1146" i="10"/>
  <c r="I1150" i="10"/>
  <c r="I1151" i="10"/>
  <c r="I1152" i="10"/>
  <c r="I1147" i="10"/>
  <c r="I1158" i="10"/>
  <c r="I1149" i="10"/>
  <c r="I1153" i="10"/>
  <c r="I1157" i="10"/>
  <c r="I1162" i="10"/>
  <c r="I1154" i="10"/>
  <c r="I1160" i="10"/>
  <c r="I1148" i="10"/>
  <c r="I1155" i="10"/>
  <c r="I1159" i="10"/>
  <c r="I1172" i="10"/>
  <c r="I1173" i="10"/>
  <c r="I1167" i="10"/>
  <c r="I1170" i="10"/>
  <c r="I1164" i="10"/>
  <c r="I1169" i="10"/>
  <c r="I1171" i="10"/>
  <c r="I1168" i="10"/>
  <c r="I1165" i="10"/>
  <c r="I1166" i="10"/>
  <c r="I1163" i="10"/>
  <c r="I1181" i="10"/>
  <c r="I1180" i="10"/>
  <c r="I1176" i="10"/>
  <c r="I1175" i="10"/>
  <c r="I1179" i="10"/>
  <c r="I1178" i="10"/>
  <c r="I1177" i="10"/>
  <c r="I1174" i="10"/>
  <c r="I1187" i="10"/>
  <c r="I1184" i="10"/>
  <c r="I1186" i="10"/>
  <c r="I1182" i="10"/>
  <c r="I1189" i="10"/>
  <c r="I1191" i="10"/>
  <c r="I1185" i="10"/>
  <c r="I1190" i="10"/>
  <c r="I1188" i="10"/>
  <c r="I1183" i="10"/>
  <c r="I1197" i="10"/>
  <c r="I1192" i="10"/>
  <c r="I1193" i="10"/>
  <c r="I1202" i="10"/>
  <c r="I1194" i="10"/>
  <c r="I1199" i="10"/>
  <c r="I1201" i="10"/>
  <c r="I1200" i="10"/>
  <c r="I1198" i="10"/>
  <c r="I1196" i="10"/>
  <c r="I1195" i="10"/>
  <c r="I1212" i="10"/>
  <c r="I1215" i="10"/>
  <c r="I1213" i="10"/>
  <c r="I1206" i="10"/>
  <c r="I1216" i="10"/>
  <c r="I1214" i="10"/>
  <c r="I1208" i="10"/>
  <c r="I1203" i="10"/>
  <c r="I1204" i="10"/>
  <c r="I1207" i="10"/>
  <c r="I1209" i="10"/>
  <c r="I1210" i="10"/>
  <c r="I1211" i="10"/>
  <c r="I1205" i="10"/>
  <c r="I1222" i="10"/>
  <c r="I1220" i="10"/>
  <c r="I1219" i="10"/>
  <c r="I1221" i="10"/>
  <c r="I1218" i="10"/>
  <c r="I1217" i="10"/>
  <c r="I1224" i="10"/>
  <c r="I1228" i="10"/>
  <c r="I1223" i="10"/>
  <c r="I1225" i="10"/>
  <c r="I1226" i="10"/>
  <c r="I1227" i="10"/>
  <c r="I1229" i="10"/>
  <c r="I1232" i="10"/>
  <c r="I1230" i="10"/>
  <c r="I1238" i="10"/>
  <c r="I1231" i="10"/>
  <c r="I1239" i="10"/>
  <c r="I1236" i="10"/>
  <c r="I1237" i="10"/>
  <c r="I1235" i="10"/>
  <c r="I1234" i="10"/>
  <c r="I1233" i="10"/>
  <c r="I1240" i="10"/>
  <c r="I1249" i="10"/>
  <c r="I1245" i="10"/>
  <c r="I1248" i="10"/>
  <c r="I1241" i="10"/>
  <c r="I1247" i="10"/>
  <c r="I1243" i="10"/>
  <c r="I1246" i="10"/>
  <c r="I1250" i="10"/>
  <c r="I1244" i="10"/>
  <c r="I1242" i="10"/>
  <c r="I1254" i="10"/>
  <c r="I1258" i="10"/>
  <c r="I1256" i="10"/>
  <c r="I1259" i="10"/>
  <c r="I1260" i="10"/>
  <c r="I1252" i="10"/>
  <c r="I1257" i="10"/>
  <c r="I1251" i="10"/>
  <c r="I1261" i="10"/>
  <c r="I1262" i="10"/>
  <c r="I1253" i="10"/>
  <c r="I1255" i="10"/>
  <c r="I1267" i="10"/>
  <c r="I1263" i="10"/>
  <c r="I1265" i="10"/>
  <c r="I1264" i="10"/>
  <c r="I1270" i="10"/>
  <c r="I1269" i="10"/>
  <c r="I1266" i="10"/>
  <c r="I1268" i="10"/>
  <c r="I1277" i="10"/>
  <c r="I1271" i="10"/>
  <c r="I1273" i="10"/>
  <c r="I1272" i="10"/>
  <c r="I1276" i="10"/>
  <c r="I1274" i="10"/>
  <c r="I1278" i="10"/>
  <c r="I1275" i="10"/>
  <c r="I1281" i="10"/>
  <c r="I1282" i="10"/>
  <c r="I1284" i="10"/>
  <c r="I1283" i="10"/>
  <c r="I1280" i="10"/>
  <c r="I1279" i="10"/>
  <c r="I1287" i="10"/>
  <c r="I1289" i="10"/>
  <c r="I1285" i="10"/>
  <c r="I1286" i="10"/>
  <c r="I1288" i="10"/>
  <c r="I1294" i="10"/>
  <c r="I1291" i="10"/>
  <c r="I1292" i="10"/>
  <c r="I1295" i="10"/>
  <c r="I1290" i="10"/>
  <c r="I1293" i="10"/>
  <c r="I1300" i="10"/>
  <c r="I1305" i="10"/>
  <c r="I1298" i="10"/>
  <c r="I1304" i="10"/>
  <c r="I1303" i="10"/>
  <c r="I1296" i="10"/>
  <c r="I1299" i="10"/>
  <c r="I1297" i="10"/>
  <c r="I1301" i="10"/>
  <c r="I1302" i="10"/>
  <c r="I1306" i="10"/>
  <c r="I1307" i="10"/>
  <c r="I1308" i="10"/>
  <c r="I1310" i="10"/>
  <c r="I1314" i="10"/>
  <c r="I1309" i="10"/>
  <c r="I1311" i="10"/>
  <c r="I1312" i="10"/>
  <c r="I1313" i="10"/>
  <c r="I1316" i="10"/>
  <c r="I1315" i="10"/>
  <c r="I1318" i="10"/>
  <c r="I1317" i="10"/>
  <c r="I1322" i="10"/>
  <c r="I1319" i="10"/>
  <c r="I1320" i="10"/>
  <c r="I1329" i="10"/>
  <c r="I1330" i="10"/>
  <c r="I1328" i="10"/>
  <c r="I1321" i="10"/>
  <c r="I1326" i="10"/>
  <c r="I1324" i="10"/>
  <c r="I1334" i="10"/>
  <c r="I1323" i="10"/>
  <c r="I1327" i="10"/>
  <c r="I1332" i="10"/>
  <c r="I1325" i="10"/>
  <c r="I1333" i="10"/>
  <c r="I1331" i="10"/>
  <c r="I1339" i="10"/>
  <c r="I1341" i="10"/>
  <c r="I1335" i="10"/>
  <c r="I1337" i="10"/>
  <c r="I1340" i="10"/>
  <c r="I1338" i="10"/>
  <c r="I1336" i="10"/>
  <c r="I1345" i="10"/>
  <c r="I1346" i="10"/>
  <c r="I1344" i="10"/>
  <c r="I1352" i="10"/>
  <c r="I1349" i="10"/>
  <c r="I1348" i="10"/>
  <c r="I1342" i="10"/>
  <c r="I1350" i="10"/>
  <c r="I1343" i="10"/>
  <c r="I1347" i="10"/>
  <c r="I1351" i="10"/>
  <c r="I1353" i="10"/>
  <c r="I1359" i="10"/>
  <c r="I1354" i="10"/>
  <c r="I1355" i="10"/>
  <c r="I1357" i="10"/>
  <c r="I1363" i="10"/>
  <c r="I1358" i="10"/>
  <c r="I1356" i="10"/>
  <c r="I1362" i="10"/>
  <c r="I1365" i="10"/>
  <c r="I1361" i="10"/>
  <c r="I1360" i="10"/>
  <c r="I1366" i="10"/>
  <c r="I1364" i="10"/>
  <c r="I1367" i="10"/>
  <c r="I1368" i="10"/>
  <c r="I1371" i="10"/>
  <c r="I1369" i="10"/>
  <c r="I1370" i="10"/>
  <c r="I1375" i="10"/>
  <c r="I1374" i="10"/>
  <c r="I1372" i="10"/>
  <c r="I1376" i="10"/>
  <c r="I1373" i="10"/>
  <c r="D905" i="10"/>
  <c r="D909" i="10"/>
  <c r="D903" i="10"/>
  <c r="D904" i="10"/>
  <c r="D906" i="10"/>
  <c r="D914" i="10"/>
  <c r="D911" i="10"/>
  <c r="D913" i="10"/>
  <c r="D915" i="10"/>
  <c r="D912" i="10"/>
  <c r="D918" i="10"/>
  <c r="D919" i="10"/>
  <c r="D920" i="10"/>
  <c r="D921" i="10"/>
  <c r="D922" i="10"/>
  <c r="D923" i="10"/>
  <c r="D924" i="10"/>
  <c r="D927" i="10"/>
  <c r="D928" i="10"/>
  <c r="D929" i="10"/>
  <c r="D933" i="10"/>
  <c r="D938" i="10"/>
  <c r="D934" i="10"/>
  <c r="D935" i="10"/>
  <c r="D939" i="10"/>
  <c r="D941" i="10"/>
  <c r="D940" i="10"/>
  <c r="D944" i="10"/>
  <c r="D945" i="10"/>
  <c r="D947" i="10"/>
  <c r="D955" i="10"/>
  <c r="D956" i="10"/>
  <c r="D949" i="10"/>
  <c r="D959" i="10"/>
  <c r="D946" i="10"/>
  <c r="D950" i="10"/>
  <c r="D953" i="10"/>
  <c r="D948" i="10"/>
  <c r="D958" i="10"/>
  <c r="D952" i="10"/>
  <c r="D951" i="10"/>
  <c r="D965" i="10"/>
  <c r="D964" i="10"/>
  <c r="D962" i="10"/>
  <c r="D961" i="10"/>
  <c r="D963" i="10"/>
  <c r="D960" i="10"/>
  <c r="D971" i="10"/>
  <c r="D968" i="10"/>
  <c r="D966" i="10"/>
  <c r="D969" i="10"/>
  <c r="D967" i="10"/>
  <c r="D976" i="10"/>
  <c r="D978" i="10"/>
  <c r="D972" i="10"/>
  <c r="D973" i="10"/>
  <c r="D974" i="10"/>
  <c r="D979" i="10"/>
  <c r="D981" i="10"/>
  <c r="D975" i="10"/>
  <c r="D985" i="10"/>
  <c r="D995" i="10"/>
  <c r="D994" i="10"/>
  <c r="D984" i="10"/>
  <c r="D992" i="10"/>
  <c r="D991" i="10"/>
  <c r="D988" i="10"/>
  <c r="D989" i="10"/>
  <c r="D983" i="10"/>
  <c r="D986" i="10"/>
  <c r="D982" i="10"/>
  <c r="D993" i="10"/>
  <c r="D1000" i="10"/>
  <c r="D999" i="10"/>
  <c r="D996" i="10"/>
  <c r="D1003" i="10"/>
  <c r="D998" i="10"/>
  <c r="D997" i="10"/>
  <c r="D1007" i="10"/>
  <c r="D1001" i="10"/>
  <c r="D1002" i="10"/>
  <c r="D1005" i="10"/>
  <c r="D1004" i="10"/>
  <c r="D1010" i="10"/>
  <c r="D1009" i="10"/>
  <c r="D1013" i="10"/>
  <c r="D1011" i="10"/>
  <c r="D1023" i="10"/>
  <c r="D1024" i="10"/>
  <c r="D1016" i="10"/>
  <c r="D1014" i="10"/>
  <c r="D1015" i="10"/>
  <c r="D1018" i="10"/>
  <c r="D1017" i="10"/>
  <c r="D1021" i="10"/>
  <c r="D1025" i="10"/>
  <c r="D1028" i="10"/>
  <c r="D1027" i="10"/>
  <c r="D1031" i="10"/>
  <c r="D1026" i="10"/>
  <c r="D1041" i="10"/>
  <c r="D1044" i="10"/>
  <c r="D1045" i="10"/>
  <c r="D1032" i="10"/>
  <c r="D1034" i="10"/>
  <c r="D1033" i="10"/>
  <c r="D1035" i="10"/>
  <c r="D1036" i="10"/>
  <c r="D1037" i="10"/>
  <c r="D1038" i="10"/>
  <c r="D1042" i="10"/>
  <c r="D1040" i="10"/>
  <c r="D1043" i="10"/>
  <c r="D1039" i="10"/>
  <c r="D1056" i="10"/>
  <c r="D1047" i="10"/>
  <c r="D1055" i="10"/>
  <c r="D1057" i="10"/>
  <c r="D1048" i="10"/>
  <c r="D1050" i="10"/>
  <c r="D1046" i="10"/>
  <c r="D1053" i="10"/>
  <c r="D1052" i="10"/>
  <c r="D1049" i="10"/>
  <c r="D1059" i="10"/>
  <c r="D1058" i="10"/>
  <c r="D1060" i="10"/>
  <c r="D1062" i="10"/>
  <c r="D1061" i="10"/>
  <c r="D1063" i="10"/>
  <c r="D1065" i="10"/>
  <c r="D1064" i="10"/>
  <c r="D1071" i="10"/>
  <c r="D1072" i="10"/>
  <c r="D1069" i="10"/>
  <c r="D1067" i="10"/>
  <c r="D1066" i="10"/>
  <c r="D1070" i="10"/>
  <c r="D1080" i="10"/>
  <c r="D1077" i="10"/>
  <c r="D1075" i="10"/>
  <c r="D1073" i="10"/>
  <c r="D1078" i="10"/>
  <c r="D1074" i="10"/>
  <c r="D1079" i="10"/>
  <c r="D1076" i="10"/>
  <c r="D1082" i="10"/>
  <c r="D1081" i="10"/>
  <c r="D1083" i="10"/>
  <c r="D1091" i="10"/>
  <c r="D1089" i="10"/>
  <c r="D1084" i="10"/>
  <c r="D1086" i="10"/>
  <c r="D1085" i="10"/>
  <c r="D1088" i="10"/>
  <c r="D1092" i="10"/>
  <c r="D1087" i="10"/>
  <c r="D1090" i="10"/>
  <c r="D1094" i="10"/>
  <c r="D1093" i="10"/>
  <c r="D1101" i="10"/>
  <c r="D1100" i="10"/>
  <c r="D1102" i="10"/>
  <c r="D1097" i="10"/>
  <c r="D1096" i="10"/>
  <c r="D1104" i="10"/>
  <c r="D1099" i="10"/>
  <c r="D1098" i="10"/>
  <c r="D1095" i="10"/>
  <c r="D1103" i="10"/>
  <c r="D1105" i="10"/>
  <c r="D1107" i="10"/>
  <c r="D1110" i="10"/>
  <c r="D1109" i="10"/>
  <c r="D1106" i="10"/>
  <c r="D1112" i="10"/>
  <c r="D1108" i="10"/>
  <c r="D1113" i="10"/>
  <c r="D1111" i="10"/>
  <c r="D1120" i="10"/>
  <c r="D1121" i="10"/>
  <c r="D1119" i="10"/>
  <c r="D1114" i="10"/>
  <c r="D1118" i="10"/>
  <c r="D1122" i="10"/>
  <c r="D1115" i="10"/>
  <c r="D1116" i="10"/>
  <c r="D1123" i="10"/>
  <c r="D1133" i="10"/>
  <c r="D1128" i="10"/>
  <c r="D1134" i="10"/>
  <c r="D1132" i="10"/>
  <c r="D1124" i="10"/>
  <c r="D1126" i="10"/>
  <c r="D1131" i="10"/>
  <c r="D1127" i="10"/>
  <c r="D1125" i="10"/>
  <c r="D1135" i="10"/>
  <c r="D1136" i="10"/>
  <c r="D1139" i="10"/>
  <c r="D1142" i="10"/>
  <c r="D1141" i="10"/>
  <c r="D1137" i="10"/>
  <c r="D1138" i="10"/>
  <c r="D1140" i="10"/>
  <c r="D1145" i="10"/>
  <c r="D1144" i="10"/>
  <c r="D1156" i="10"/>
  <c r="D1161" i="10"/>
  <c r="D1146" i="10"/>
  <c r="D1150" i="10"/>
  <c r="D1151" i="10"/>
  <c r="D1152" i="10"/>
  <c r="D1147" i="10"/>
  <c r="D1149" i="10"/>
  <c r="D1153" i="10"/>
  <c r="D1157" i="10"/>
  <c r="D1162" i="10"/>
  <c r="D1154" i="10"/>
  <c r="D1148" i="10"/>
  <c r="D1155" i="10"/>
  <c r="D1172" i="10"/>
  <c r="D1173" i="10"/>
  <c r="D1170" i="10"/>
  <c r="D1164" i="10"/>
  <c r="D1171" i="10"/>
  <c r="D1168" i="10"/>
  <c r="D1165" i="10"/>
  <c r="D1166" i="10"/>
  <c r="D1163" i="10"/>
  <c r="D1181" i="10"/>
  <c r="D1176" i="10"/>
  <c r="D1178" i="10"/>
  <c r="D1177" i="10"/>
  <c r="D1174" i="10"/>
  <c r="D1187" i="10"/>
  <c r="D1184" i="10"/>
  <c r="D1182" i="10"/>
  <c r="D1189" i="10"/>
  <c r="D1191" i="10"/>
  <c r="D1185" i="10"/>
  <c r="D1190" i="10"/>
  <c r="D1188" i="10"/>
  <c r="D1183" i="10"/>
  <c r="D1197" i="10"/>
  <c r="D1192" i="10"/>
  <c r="D1193" i="10"/>
  <c r="D1202" i="10"/>
  <c r="D1194" i="10"/>
  <c r="D1199" i="10"/>
  <c r="D1201" i="10"/>
  <c r="D1200" i="10"/>
  <c r="D1198" i="10"/>
  <c r="D1195" i="10"/>
  <c r="D1212" i="10"/>
  <c r="D1215" i="10"/>
  <c r="D1213" i="10"/>
  <c r="D1206" i="10"/>
  <c r="D1216" i="10"/>
  <c r="D1214" i="10"/>
  <c r="D1203" i="10"/>
  <c r="D1204" i="10"/>
  <c r="D1207" i="10"/>
  <c r="D1210" i="10"/>
  <c r="D1211" i="10"/>
  <c r="D1205" i="10"/>
  <c r="D1222" i="10"/>
  <c r="D1221" i="10"/>
  <c r="D1217" i="10"/>
  <c r="D1224" i="10"/>
  <c r="D1228" i="10"/>
  <c r="D1223" i="10"/>
  <c r="D1225" i="10"/>
  <c r="D1226" i="10"/>
  <c r="D1229" i="10"/>
  <c r="D1232" i="10"/>
  <c r="D1238" i="10"/>
  <c r="D1231" i="10"/>
  <c r="D1239" i="10"/>
  <c r="D1235" i="10"/>
  <c r="D1234" i="10"/>
  <c r="D1240" i="10"/>
  <c r="D1245" i="10"/>
  <c r="D1243" i="10"/>
  <c r="D1246" i="10"/>
  <c r="D1250" i="10"/>
  <c r="D1244" i="10"/>
  <c r="D1254" i="10"/>
  <c r="D1258" i="10"/>
  <c r="D1256" i="10"/>
  <c r="D1259" i="10"/>
  <c r="D1260" i="10"/>
  <c r="D1252" i="10"/>
  <c r="D1251" i="10"/>
  <c r="D1261" i="10"/>
  <c r="D1262" i="10"/>
  <c r="D1253" i="10"/>
  <c r="D1255" i="10"/>
  <c r="D1267" i="10"/>
  <c r="D1263" i="10"/>
  <c r="D1265" i="10"/>
  <c r="D1264" i="10"/>
  <c r="D1270" i="10"/>
  <c r="D1266" i="10"/>
  <c r="D1271" i="10"/>
  <c r="D1273" i="10"/>
  <c r="D1272" i="10"/>
  <c r="D1276" i="10"/>
  <c r="D1274" i="10"/>
  <c r="D1278" i="10"/>
  <c r="D1275" i="10"/>
  <c r="D1281" i="10"/>
  <c r="D1282" i="10"/>
  <c r="D1284" i="10"/>
  <c r="D1280" i="10"/>
  <c r="D1279" i="10"/>
  <c r="D1287" i="10"/>
  <c r="D1289" i="10"/>
  <c r="D1285" i="10"/>
  <c r="D1286" i="10"/>
  <c r="D1288" i="10"/>
  <c r="D1294" i="10"/>
  <c r="D1291" i="10"/>
  <c r="D1292" i="10"/>
  <c r="D1295" i="10"/>
  <c r="D1290" i="10"/>
  <c r="D1293" i="10"/>
  <c r="D1300" i="10"/>
  <c r="D1305" i="10"/>
  <c r="D1298" i="10"/>
  <c r="D1304" i="10"/>
  <c r="D1303" i="10"/>
  <c r="D1296" i="10"/>
  <c r="D1299" i="10"/>
  <c r="D1297" i="10"/>
  <c r="D1301" i="10"/>
  <c r="D1302" i="10"/>
  <c r="D1306" i="10"/>
  <c r="D1307" i="10"/>
  <c r="D1308" i="10"/>
  <c r="D1310" i="10"/>
  <c r="D1314" i="10"/>
  <c r="D1309" i="10"/>
  <c r="D1311" i="10"/>
  <c r="D1312" i="10"/>
  <c r="D1313" i="10"/>
  <c r="D1316" i="10"/>
  <c r="D1315" i="10"/>
  <c r="D1318" i="10"/>
  <c r="D1317" i="10"/>
  <c r="D1322" i="10"/>
  <c r="D1319" i="10"/>
  <c r="D1320" i="10"/>
  <c r="D1329" i="10"/>
  <c r="D1328" i="10"/>
  <c r="D1321" i="10"/>
  <c r="D1326" i="10"/>
  <c r="D1324" i="10"/>
  <c r="D1334" i="10"/>
  <c r="D1323" i="10"/>
  <c r="D1327" i="10"/>
  <c r="D1332" i="10"/>
  <c r="D1325" i="10"/>
  <c r="D1333" i="10"/>
  <c r="D1331" i="10"/>
  <c r="D1339" i="10"/>
  <c r="D1341" i="10"/>
  <c r="D1335" i="10"/>
  <c r="D1337" i="10"/>
  <c r="D1340" i="10"/>
  <c r="D1338" i="10"/>
  <c r="D1336" i="10"/>
  <c r="D1345" i="10"/>
  <c r="D1346" i="10"/>
  <c r="D1344" i="10"/>
  <c r="D1352" i="10"/>
  <c r="D1349" i="10"/>
  <c r="D1348" i="10"/>
  <c r="D1350" i="10"/>
  <c r="D1343" i="10"/>
  <c r="D1347" i="10"/>
  <c r="D1351" i="10"/>
  <c r="D1353" i="10"/>
  <c r="D1359" i="10"/>
  <c r="D1354" i="10"/>
  <c r="D1355" i="10"/>
  <c r="D1357" i="10"/>
  <c r="D1363" i="10"/>
  <c r="D1358" i="10"/>
  <c r="D1356" i="10"/>
  <c r="D1362" i="10"/>
  <c r="D1365" i="10"/>
  <c r="D1361" i="10"/>
  <c r="D1360" i="10"/>
  <c r="D1366" i="10"/>
  <c r="D1364" i="10"/>
  <c r="D1367" i="10"/>
  <c r="D1368" i="10"/>
  <c r="D1371" i="10"/>
  <c r="D1369" i="10"/>
  <c r="D1370" i="10"/>
  <c r="D1375" i="10"/>
  <c r="D1374" i="10"/>
  <c r="D1372" i="10"/>
  <c r="D1376" i="10"/>
  <c r="D1373" i="10"/>
  <c r="J1126" i="10" l="1"/>
  <c r="J1132" i="10"/>
  <c r="J1128" i="10"/>
  <c r="J1123" i="10"/>
  <c r="J1115" i="10"/>
  <c r="J1118" i="10"/>
  <c r="J1119" i="10"/>
  <c r="J1120" i="10"/>
  <c r="J1111" i="10"/>
  <c r="J1108" i="10"/>
  <c r="J1106" i="10"/>
  <c r="J1110" i="10"/>
  <c r="J1105" i="10"/>
  <c r="J1095" i="10"/>
  <c r="J1099" i="10"/>
  <c r="J1096" i="10"/>
  <c r="J1102" i="10"/>
  <c r="J1101" i="10"/>
  <c r="J1094" i="10"/>
  <c r="J1087" i="10"/>
  <c r="J1088" i="10"/>
  <c r="J1086" i="10"/>
  <c r="J1089" i="10"/>
  <c r="J1083" i="10"/>
  <c r="J1082" i="10"/>
  <c r="J1079" i="10"/>
  <c r="J1078" i="10"/>
  <c r="J1075" i="10"/>
  <c r="J1080" i="10"/>
  <c r="J1066" i="10"/>
  <c r="J1072" i="10"/>
  <c r="J1064" i="10"/>
  <c r="J1063" i="10"/>
  <c r="J1062" i="10"/>
  <c r="J1058" i="10"/>
  <c r="J1049" i="10"/>
  <c r="J1053" i="10"/>
  <c r="J1048" i="10"/>
  <c r="J1055" i="10"/>
  <c r="J1056" i="10"/>
  <c r="J1039" i="10"/>
  <c r="J1040" i="10"/>
  <c r="J1038" i="10"/>
  <c r="J1036" i="10"/>
  <c r="J1033" i="10"/>
  <c r="J1032" i="10"/>
  <c r="J1044" i="10"/>
  <c r="J1031" i="10"/>
  <c r="J1028" i="10"/>
  <c r="J985" i="10"/>
  <c r="J981" i="10"/>
  <c r="J979" i="10"/>
  <c r="J973" i="10"/>
  <c r="J976" i="10"/>
  <c r="J969" i="10"/>
  <c r="J966" i="10"/>
  <c r="J971" i="10"/>
  <c r="J963" i="10"/>
  <c r="J962" i="10"/>
  <c r="J965" i="10"/>
  <c r="J958" i="10"/>
  <c r="J953" i="10"/>
  <c r="J959" i="10"/>
  <c r="J956" i="10"/>
  <c r="J947" i="10"/>
  <c r="J941" i="10"/>
  <c r="J935" i="10"/>
  <c r="J934" i="10"/>
  <c r="J928" i="10"/>
  <c r="J927" i="10"/>
  <c r="J924" i="10"/>
  <c r="J922" i="10"/>
  <c r="J920" i="10"/>
  <c r="J918" i="10"/>
  <c r="J912" i="10"/>
  <c r="J911" i="10"/>
  <c r="J904" i="10"/>
  <c r="J903" i="10"/>
  <c r="J909" i="10"/>
  <c r="J1373" i="10"/>
  <c r="J1372" i="10"/>
  <c r="J1375" i="10"/>
  <c r="J1369" i="10"/>
  <c r="J1368" i="10"/>
  <c r="J1364" i="10"/>
  <c r="J1360" i="10"/>
  <c r="J1362" i="10"/>
  <c r="J1358" i="10"/>
  <c r="J1357" i="10"/>
  <c r="J1354" i="10"/>
  <c r="J1353" i="10"/>
  <c r="J1347" i="10"/>
  <c r="J1350" i="10"/>
  <c r="J1348" i="10"/>
  <c r="J1352" i="10"/>
  <c r="J1346" i="10"/>
  <c r="J1336" i="10"/>
  <c r="J1340" i="10"/>
  <c r="J1335" i="10"/>
  <c r="J1339" i="10"/>
  <c r="J1333" i="10"/>
  <c r="J1332" i="10"/>
  <c r="J1323" i="10"/>
  <c r="J1324" i="10"/>
  <c r="J1321" i="10"/>
  <c r="J1320" i="10"/>
  <c r="J1322" i="10"/>
  <c r="J1318" i="10"/>
  <c r="J1316" i="10"/>
  <c r="J1312" i="10"/>
  <c r="J1309" i="10"/>
  <c r="J1310" i="10"/>
  <c r="J1307" i="10"/>
  <c r="J1302" i="10"/>
  <c r="J1297" i="10"/>
  <c r="J1296" i="10"/>
  <c r="J1304" i="10"/>
  <c r="J1305" i="10"/>
  <c r="J1300" i="10"/>
  <c r="J1290" i="10"/>
  <c r="J1292" i="10"/>
  <c r="J1294" i="10"/>
  <c r="J1286" i="10"/>
  <c r="J1289" i="10"/>
  <c r="J1279" i="10"/>
  <c r="J1282" i="10"/>
  <c r="J1275" i="10"/>
  <c r="J1274" i="10"/>
  <c r="J1272" i="10"/>
  <c r="J1271" i="10"/>
  <c r="J1264" i="10"/>
  <c r="J1263" i="10"/>
  <c r="J1255" i="10"/>
  <c r="J1262" i="10"/>
  <c r="J1251" i="10"/>
  <c r="J1252" i="10"/>
  <c r="J1259" i="10"/>
  <c r="J1258" i="10"/>
  <c r="J1254" i="10"/>
  <c r="J1244" i="10"/>
  <c r="J1246" i="10"/>
  <c r="J1245" i="10"/>
  <c r="J1240" i="10"/>
  <c r="J1234" i="10"/>
  <c r="J1239" i="10"/>
  <c r="J1238" i="10"/>
  <c r="J1232" i="10"/>
  <c r="J1226" i="10"/>
  <c r="J1223" i="10"/>
  <c r="J1224" i="10"/>
  <c r="J1222" i="10"/>
  <c r="J1211" i="10"/>
  <c r="J1204" i="10"/>
  <c r="J1216" i="10"/>
  <c r="J1213" i="10"/>
  <c r="J1212" i="10"/>
  <c r="J1200" i="10"/>
  <c r="J1199" i="10"/>
  <c r="J1202" i="10"/>
  <c r="J1192" i="10"/>
  <c r="J1183" i="10"/>
  <c r="J1190" i="10"/>
  <c r="J1191" i="10"/>
  <c r="J1182" i="10"/>
  <c r="J1184" i="10"/>
  <c r="J1174" i="10"/>
  <c r="J1178" i="10"/>
  <c r="J1163" i="10"/>
  <c r="J1165" i="10"/>
  <c r="J1171" i="10"/>
  <c r="J1164" i="10"/>
  <c r="J1172" i="10"/>
  <c r="J1155" i="10"/>
  <c r="J1162" i="10"/>
  <c r="J1153" i="10"/>
  <c r="J1158" i="10"/>
  <c r="J1152" i="10"/>
  <c r="J1150" i="10"/>
  <c r="J1161" i="10"/>
  <c r="J1144" i="10"/>
  <c r="J1140" i="10"/>
  <c r="J1138" i="10"/>
  <c r="J1141" i="10"/>
  <c r="J1139" i="10"/>
  <c r="J1135" i="10"/>
  <c r="J1127" i="10"/>
  <c r="J1021" i="10"/>
  <c r="J1018" i="10"/>
  <c r="J1015" i="10"/>
  <c r="J1014" i="10"/>
  <c r="J1024" i="10"/>
  <c r="J1013" i="10"/>
  <c r="J1005" i="10"/>
  <c r="J1002" i="10"/>
  <c r="J1007" i="10"/>
  <c r="J998" i="10"/>
  <c r="J996" i="10"/>
  <c r="J1000" i="10"/>
  <c r="J982" i="10"/>
  <c r="J986" i="10"/>
  <c r="J989" i="10"/>
  <c r="J991" i="10"/>
  <c r="J994" i="10"/>
  <c r="K1376" i="10"/>
  <c r="K1374" i="10"/>
  <c r="K1370" i="10"/>
  <c r="K1371" i="10"/>
  <c r="K1367" i="10"/>
  <c r="K1366" i="10"/>
  <c r="K1361" i="10"/>
  <c r="K1365" i="10"/>
  <c r="K1356" i="10"/>
  <c r="K1363" i="10"/>
  <c r="K1355" i="10"/>
  <c r="K1359" i="10"/>
  <c r="K1351" i="10"/>
  <c r="K1343" i="10"/>
  <c r="K1342" i="10"/>
  <c r="K1349" i="10"/>
  <c r="K1344" i="10"/>
  <c r="K1345" i="10"/>
  <c r="K1338" i="10"/>
  <c r="K1337" i="10"/>
  <c r="K1341" i="10"/>
  <c r="K1331" i="10"/>
  <c r="K1325" i="10"/>
  <c r="K1327" i="10"/>
  <c r="K1334" i="10"/>
  <c r="K1326" i="10"/>
  <c r="K1328" i="10"/>
  <c r="K1329" i="10"/>
  <c r="K1319" i="10"/>
  <c r="K1317" i="10"/>
  <c r="K1315" i="10"/>
  <c r="K1313" i="10"/>
  <c r="K1311" i="10"/>
  <c r="K1314" i="10"/>
  <c r="K1308" i="10"/>
  <c r="K1306" i="10"/>
  <c r="K1301" i="10"/>
  <c r="K1299" i="10"/>
  <c r="K1303" i="10"/>
  <c r="K1298" i="10"/>
  <c r="K1293" i="10"/>
  <c r="K1295" i="10"/>
  <c r="K1291" i="10"/>
  <c r="K1288" i="10"/>
  <c r="K1285" i="10"/>
  <c r="K1287" i="10"/>
  <c r="K1280" i="10"/>
  <c r="K1284" i="10"/>
  <c r="K1281" i="10"/>
  <c r="K1278" i="10"/>
  <c r="K1276" i="10"/>
  <c r="K1273" i="10"/>
  <c r="K1277" i="10"/>
  <c r="K1266" i="10"/>
  <c r="K1270" i="10"/>
  <c r="K1265" i="10"/>
  <c r="K1267" i="10"/>
  <c r="K1253" i="10"/>
  <c r="K1261" i="10"/>
  <c r="K1257" i="10"/>
  <c r="K1260" i="10"/>
  <c r="K1256" i="10"/>
  <c r="K1242" i="10"/>
  <c r="K1250" i="10"/>
  <c r="K1243" i="10"/>
  <c r="K1248" i="10"/>
  <c r="K1249" i="10"/>
  <c r="K1233" i="10"/>
  <c r="K1235" i="10"/>
  <c r="K1236" i="10"/>
  <c r="K1231" i="10"/>
  <c r="K1230" i="10"/>
  <c r="K1229" i="10"/>
  <c r="K1227" i="10"/>
  <c r="K1225" i="10"/>
  <c r="K1228" i="10"/>
  <c r="K1217" i="10"/>
  <c r="K1221" i="10"/>
  <c r="K1220" i="10"/>
  <c r="K1205" i="10"/>
  <c r="K1210" i="10"/>
  <c r="K1207" i="10"/>
  <c r="K1203" i="10"/>
  <c r="K1214" i="10"/>
  <c r="K1206" i="10"/>
  <c r="K1215" i="10"/>
  <c r="K1195" i="10"/>
  <c r="K1198" i="10"/>
  <c r="K1201" i="10"/>
  <c r="K1194" i="10"/>
  <c r="K1193" i="10"/>
  <c r="K1197" i="10"/>
  <c r="K1188" i="10"/>
  <c r="K1185" i="10"/>
  <c r="K1189" i="10"/>
  <c r="K1186" i="10"/>
  <c r="K1187" i="10"/>
  <c r="K1177" i="10"/>
  <c r="K1179" i="10"/>
  <c r="K1176" i="10"/>
  <c r="K1181" i="10"/>
  <c r="K1166" i="10"/>
  <c r="K1168" i="10"/>
  <c r="K1169" i="10"/>
  <c r="K1170" i="10"/>
  <c r="K1173" i="10"/>
  <c r="K1159" i="10"/>
  <c r="K1148" i="10"/>
  <c r="K1154" i="10"/>
  <c r="K1157" i="10"/>
  <c r="K1149" i="10"/>
  <c r="K1147" i="10"/>
  <c r="K1151" i="10"/>
  <c r="K1146" i="10"/>
  <c r="K1156" i="10"/>
  <c r="K1145" i="10"/>
  <c r="K1143" i="10"/>
  <c r="K1137" i="10"/>
  <c r="K1142" i="10"/>
  <c r="K1136" i="10"/>
  <c r="K1125" i="10"/>
  <c r="K1131" i="10"/>
  <c r="K1124" i="10"/>
  <c r="K1134" i="10"/>
  <c r="K1129" i="10"/>
  <c r="K1133" i="10"/>
  <c r="K1116" i="10"/>
  <c r="K1122" i="10"/>
  <c r="K1114" i="10"/>
  <c r="K1121" i="10"/>
  <c r="K1117" i="10"/>
  <c r="K1113" i="10"/>
  <c r="K1112" i="10"/>
  <c r="K1109" i="10"/>
  <c r="K1107" i="10"/>
  <c r="K1103" i="10"/>
  <c r="K1098" i="10"/>
  <c r="K1104" i="10"/>
  <c r="K1097" i="10"/>
  <c r="K1100" i="10"/>
  <c r="K1093" i="10"/>
  <c r="K1090" i="10"/>
  <c r="K1092" i="10"/>
  <c r="K1085" i="10"/>
  <c r="K1084" i="10"/>
  <c r="K1091" i="10"/>
  <c r="K1081" i="10"/>
  <c r="K1076" i="10"/>
  <c r="K1074" i="10"/>
  <c r="K1073" i="10"/>
  <c r="K1077" i="10"/>
  <c r="K1070" i="10"/>
  <c r="K1067" i="10"/>
  <c r="K1069" i="10"/>
  <c r="K1071" i="10"/>
  <c r="K1065" i="10"/>
  <c r="K1061" i="10"/>
  <c r="K1060" i="10"/>
  <c r="K1059" i="10"/>
  <c r="K1052" i="10"/>
  <c r="K1046" i="10"/>
  <c r="K1050" i="10"/>
  <c r="K1057" i="10"/>
  <c r="K1047" i="10"/>
  <c r="K1054" i="10"/>
  <c r="K1043" i="10"/>
  <c r="K1042" i="10"/>
  <c r="K1037" i="10"/>
  <c r="K1035" i="10"/>
  <c r="K1034" i="10"/>
  <c r="K1045" i="10"/>
  <c r="K1041" i="10"/>
  <c r="K1026" i="10"/>
  <c r="K1027" i="10"/>
  <c r="K1029" i="10"/>
  <c r="K1025" i="10"/>
  <c r="K1017" i="10"/>
  <c r="K1019" i="10"/>
  <c r="K1022" i="10"/>
  <c r="K1016" i="10"/>
  <c r="K1023" i="10"/>
  <c r="K1011" i="10"/>
  <c r="K1009" i="10"/>
  <c r="K1010" i="10"/>
  <c r="K1004" i="10"/>
  <c r="K1006" i="10"/>
  <c r="K1001" i="10"/>
  <c r="K997" i="10"/>
  <c r="K1003" i="10"/>
  <c r="K999" i="10"/>
  <c r="K993" i="10"/>
  <c r="K987" i="10"/>
  <c r="K983" i="10"/>
  <c r="K988" i="10"/>
  <c r="K992" i="10"/>
  <c r="K984" i="10"/>
  <c r="K995" i="10"/>
  <c r="K975" i="10"/>
  <c r="K980" i="10"/>
  <c r="K974" i="10"/>
  <c r="K972" i="10"/>
  <c r="K978" i="10"/>
  <c r="K967" i="10"/>
  <c r="K970" i="10"/>
  <c r="K968" i="10"/>
  <c r="K960" i="10"/>
  <c r="K961" i="10"/>
  <c r="K964" i="10"/>
  <c r="K951" i="10"/>
  <c r="K952" i="10"/>
  <c r="K948" i="10"/>
  <c r="K950" i="10"/>
  <c r="K946" i="10"/>
  <c r="K949" i="10"/>
  <c r="K955" i="10"/>
  <c r="K945" i="10"/>
  <c r="K944" i="10"/>
  <c r="K940" i="10"/>
  <c r="K939" i="10"/>
  <c r="K936" i="10"/>
  <c r="K938" i="10"/>
  <c r="K933" i="10"/>
  <c r="K929" i="10"/>
  <c r="K930" i="10"/>
  <c r="K925" i="10"/>
  <c r="K923" i="10"/>
  <c r="K921" i="10"/>
  <c r="K919" i="10"/>
  <c r="K910" i="10"/>
  <c r="K915" i="10"/>
  <c r="K913" i="10"/>
  <c r="K914" i="10"/>
  <c r="K906" i="10"/>
  <c r="K908" i="10"/>
  <c r="K907" i="10"/>
  <c r="K905" i="10"/>
  <c r="J1376" i="10"/>
  <c r="J1374" i="10"/>
  <c r="J1370" i="10"/>
  <c r="J1371" i="10"/>
  <c r="J1367" i="10"/>
  <c r="J1366" i="10"/>
  <c r="J1361" i="10"/>
  <c r="J1365" i="10"/>
  <c r="J1356" i="10"/>
  <c r="J1363" i="10"/>
  <c r="J1355" i="10"/>
  <c r="J1359" i="10"/>
  <c r="J1351" i="10"/>
  <c r="J1343" i="10"/>
  <c r="J1342" i="10"/>
  <c r="J1349" i="10"/>
  <c r="J1344" i="10"/>
  <c r="J1345" i="10"/>
  <c r="J1338" i="10"/>
  <c r="J1337" i="10"/>
  <c r="J1341" i="10"/>
  <c r="J1331" i="10"/>
  <c r="J1325" i="10"/>
  <c r="J1327" i="10"/>
  <c r="J1334" i="10"/>
  <c r="J1326" i="10"/>
  <c r="J1328" i="10"/>
  <c r="J1329" i="10"/>
  <c r="J1319" i="10"/>
  <c r="J1317" i="10"/>
  <c r="J1315" i="10"/>
  <c r="J1313" i="10"/>
  <c r="J1311" i="10"/>
  <c r="J1314" i="10"/>
  <c r="J1308" i="10"/>
  <c r="J1306" i="10"/>
  <c r="J1301" i="10"/>
  <c r="J1299" i="10"/>
  <c r="J1303" i="10"/>
  <c r="J1298" i="10"/>
  <c r="J1293" i="10"/>
  <c r="J1295" i="10"/>
  <c r="J1291" i="10"/>
  <c r="J1288" i="10"/>
  <c r="J1285" i="10"/>
  <c r="J1287" i="10"/>
  <c r="J1280" i="10"/>
  <c r="J1284" i="10"/>
  <c r="J1281" i="10"/>
  <c r="J1278" i="10"/>
  <c r="J1276" i="10"/>
  <c r="J1273" i="10"/>
  <c r="J1266" i="10"/>
  <c r="J1270" i="10"/>
  <c r="J1265" i="10"/>
  <c r="J1267" i="10"/>
  <c r="J1253" i="10"/>
  <c r="J1261" i="10"/>
  <c r="J1260" i="10"/>
  <c r="J1256" i="10"/>
  <c r="J1250" i="10"/>
  <c r="L1250" i="10" s="1"/>
  <c r="J1243" i="10"/>
  <c r="J1235" i="10"/>
  <c r="J1231" i="10"/>
  <c r="J1230" i="10"/>
  <c r="J1229" i="10"/>
  <c r="J1225" i="10"/>
  <c r="L1225" i="10" s="1"/>
  <c r="J1228" i="10"/>
  <c r="L1228" i="10" s="1"/>
  <c r="J1217" i="10"/>
  <c r="J1221" i="10"/>
  <c r="J1205" i="10"/>
  <c r="J1210" i="10"/>
  <c r="J1207" i="10"/>
  <c r="L1207" i="10" s="1"/>
  <c r="J1203" i="10"/>
  <c r="J1214" i="10"/>
  <c r="J1206" i="10"/>
  <c r="J1215" i="10"/>
  <c r="J1195" i="10"/>
  <c r="J1198" i="10"/>
  <c r="L1198" i="10" s="1"/>
  <c r="J1201" i="10"/>
  <c r="J1194" i="10"/>
  <c r="J1193" i="10"/>
  <c r="J1197" i="10"/>
  <c r="J1188" i="10"/>
  <c r="J1185" i="10"/>
  <c r="L1185" i="10" s="1"/>
  <c r="J1189" i="10"/>
  <c r="J1187" i="10"/>
  <c r="J1177" i="10"/>
  <c r="J1179" i="10"/>
  <c r="J1176" i="10"/>
  <c r="J1181" i="10"/>
  <c r="J1166" i="10"/>
  <c r="J1168" i="10"/>
  <c r="J1170" i="10"/>
  <c r="J1173" i="10"/>
  <c r="L1173" i="10" s="1"/>
  <c r="J1148" i="10"/>
  <c r="J1154" i="10"/>
  <c r="J1157" i="10"/>
  <c r="J1149" i="10"/>
  <c r="J1147" i="10"/>
  <c r="J1151" i="10"/>
  <c r="J1146" i="10"/>
  <c r="J1156" i="10"/>
  <c r="J1145" i="10"/>
  <c r="J1143" i="10"/>
  <c r="J1137" i="10"/>
  <c r="J1142" i="10"/>
  <c r="J1136" i="10"/>
  <c r="J1125" i="10"/>
  <c r="J1131" i="10"/>
  <c r="J1124" i="10"/>
  <c r="J1134" i="10"/>
  <c r="J1133" i="10"/>
  <c r="J1116" i="10"/>
  <c r="J1122" i="10"/>
  <c r="J1114" i="10"/>
  <c r="J1121" i="10"/>
  <c r="J1113" i="10"/>
  <c r="J1112" i="10"/>
  <c r="J1109" i="10"/>
  <c r="J1107" i="10"/>
  <c r="L1107" i="10" s="1"/>
  <c r="J1103" i="10"/>
  <c r="L1103" i="10" s="1"/>
  <c r="J1098" i="10"/>
  <c r="J1104" i="10"/>
  <c r="J1097" i="10"/>
  <c r="J1100" i="10"/>
  <c r="J1093" i="10"/>
  <c r="L1093" i="10" s="1"/>
  <c r="J1090" i="10"/>
  <c r="L1090" i="10" s="1"/>
  <c r="J1092" i="10"/>
  <c r="J1085" i="10"/>
  <c r="J1084" i="10"/>
  <c r="J1091" i="10"/>
  <c r="J1081" i="10"/>
  <c r="L1081" i="10" s="1"/>
  <c r="J1076" i="10"/>
  <c r="L1076" i="10" s="1"/>
  <c r="J1074" i="10"/>
  <c r="J1073" i="10"/>
  <c r="J1077" i="10"/>
  <c r="J1070" i="10"/>
  <c r="J1067" i="10"/>
  <c r="L1067" i="10" s="1"/>
  <c r="J1069" i="10"/>
  <c r="L1069" i="10" s="1"/>
  <c r="J1071" i="10"/>
  <c r="J1065" i="10"/>
  <c r="J1061" i="10"/>
  <c r="J1060" i="10"/>
  <c r="J1059" i="10"/>
  <c r="L1059" i="10" s="1"/>
  <c r="J1052" i="10"/>
  <c r="L1052" i="10" s="1"/>
  <c r="J1046" i="10"/>
  <c r="J1050" i="10"/>
  <c r="J1057" i="10"/>
  <c r="J1047" i="10"/>
  <c r="J1054" i="10"/>
  <c r="L1054" i="10" s="1"/>
  <c r="J1043" i="10"/>
  <c r="L1043" i="10" s="1"/>
  <c r="J1042" i="10"/>
  <c r="J1037" i="10"/>
  <c r="J1035" i="10"/>
  <c r="J1034" i="10"/>
  <c r="J1045" i="10"/>
  <c r="L1045" i="10" s="1"/>
  <c r="J1041" i="10"/>
  <c r="L1041" i="10" s="1"/>
  <c r="J1026" i="10"/>
  <c r="J1027" i="10"/>
  <c r="J1025" i="10"/>
  <c r="J1017" i="10"/>
  <c r="J1016" i="10"/>
  <c r="J1023" i="10"/>
  <c r="J1011" i="10"/>
  <c r="J1009" i="10"/>
  <c r="J1010" i="10"/>
  <c r="L1010" i="10" s="1"/>
  <c r="J1004" i="10"/>
  <c r="L1004" i="10" s="1"/>
  <c r="J1001" i="10"/>
  <c r="J997" i="10"/>
  <c r="J1003" i="10"/>
  <c r="J999" i="10"/>
  <c r="J993" i="10"/>
  <c r="J983" i="10"/>
  <c r="J988" i="10"/>
  <c r="J992" i="10"/>
  <c r="J984" i="10"/>
  <c r="J995" i="10"/>
  <c r="J975" i="10"/>
  <c r="J974" i="10"/>
  <c r="J972" i="10"/>
  <c r="L972" i="10" s="1"/>
  <c r="J978" i="10"/>
  <c r="L978" i="10" s="1"/>
  <c r="J967" i="10"/>
  <c r="J968" i="10"/>
  <c r="J960" i="10"/>
  <c r="J961" i="10"/>
  <c r="J964" i="10"/>
  <c r="J951" i="10"/>
  <c r="J952" i="10"/>
  <c r="J948" i="10"/>
  <c r="J950" i="10"/>
  <c r="J946" i="10"/>
  <c r="J949" i="10"/>
  <c r="J955" i="10"/>
  <c r="J945" i="10"/>
  <c r="J944" i="10"/>
  <c r="J940" i="10"/>
  <c r="J939" i="10"/>
  <c r="J938" i="10"/>
  <c r="J933" i="10"/>
  <c r="J929" i="10"/>
  <c r="J923" i="10"/>
  <c r="J921" i="10"/>
  <c r="J919" i="10"/>
  <c r="J910" i="10"/>
  <c r="J915" i="10"/>
  <c r="J913" i="10"/>
  <c r="J914" i="10"/>
  <c r="J906" i="10"/>
  <c r="J905" i="10"/>
  <c r="K1373" i="10"/>
  <c r="L1373" i="10" s="1"/>
  <c r="K1372" i="10"/>
  <c r="K1375" i="10"/>
  <c r="L1375" i="10" s="1"/>
  <c r="K1369" i="10"/>
  <c r="L1369" i="10" s="1"/>
  <c r="K1368" i="10"/>
  <c r="L1368" i="10" s="1"/>
  <c r="K1364" i="10"/>
  <c r="L1364" i="10" s="1"/>
  <c r="K1360" i="10"/>
  <c r="L1360" i="10" s="1"/>
  <c r="K1362" i="10"/>
  <c r="K1358" i="10"/>
  <c r="L1358" i="10" s="1"/>
  <c r="K1357" i="10"/>
  <c r="L1357" i="10" s="1"/>
  <c r="K1354" i="10"/>
  <c r="L1354" i="10" s="1"/>
  <c r="K1353" i="10"/>
  <c r="L1353" i="10" s="1"/>
  <c r="K1347" i="10"/>
  <c r="L1347" i="10" s="1"/>
  <c r="K1350" i="10"/>
  <c r="K1348" i="10"/>
  <c r="L1348" i="10" s="1"/>
  <c r="K1352" i="10"/>
  <c r="L1352" i="10" s="1"/>
  <c r="K1346" i="10"/>
  <c r="L1346" i="10" s="1"/>
  <c r="K1336" i="10"/>
  <c r="L1336" i="10" s="1"/>
  <c r="K1340" i="10"/>
  <c r="L1340" i="10" s="1"/>
  <c r="K1335" i="10"/>
  <c r="K1339" i="10"/>
  <c r="L1339" i="10" s="1"/>
  <c r="K1333" i="10"/>
  <c r="L1333" i="10" s="1"/>
  <c r="K1332" i="10"/>
  <c r="L1332" i="10" s="1"/>
  <c r="K1323" i="10"/>
  <c r="L1323" i="10" s="1"/>
  <c r="K1324" i="10"/>
  <c r="L1324" i="10" s="1"/>
  <c r="K1321" i="10"/>
  <c r="K1330" i="10"/>
  <c r="K1320" i="10"/>
  <c r="L1320" i="10" s="1"/>
  <c r="K1322" i="10"/>
  <c r="L1322" i="10" s="1"/>
  <c r="K1318" i="10"/>
  <c r="K1316" i="10"/>
  <c r="L1316" i="10" s="1"/>
  <c r="K1312" i="10"/>
  <c r="L1312" i="10" s="1"/>
  <c r="K1309" i="10"/>
  <c r="K1310" i="10"/>
  <c r="L1310" i="10" s="1"/>
  <c r="K1307" i="10"/>
  <c r="L1307" i="10" s="1"/>
  <c r="K1302" i="10"/>
  <c r="K1297" i="10"/>
  <c r="L1297" i="10" s="1"/>
  <c r="K1296" i="10"/>
  <c r="L1296" i="10" s="1"/>
  <c r="K1304" i="10"/>
  <c r="K1305" i="10"/>
  <c r="L1305" i="10" s="1"/>
  <c r="K1300" i="10"/>
  <c r="L1300" i="10" s="1"/>
  <c r="K1290" i="10"/>
  <c r="K1292" i="10"/>
  <c r="L1292" i="10" s="1"/>
  <c r="K1294" i="10"/>
  <c r="L1294" i="10" s="1"/>
  <c r="K1286" i="10"/>
  <c r="K1289" i="10"/>
  <c r="L1289" i="10" s="1"/>
  <c r="K1279" i="10"/>
  <c r="L1279" i="10" s="1"/>
  <c r="K1283" i="10"/>
  <c r="K1282" i="10"/>
  <c r="K1275" i="10"/>
  <c r="L1275" i="10" s="1"/>
  <c r="K1274" i="10"/>
  <c r="K1272" i="10"/>
  <c r="K1271" i="10"/>
  <c r="K1268" i="10"/>
  <c r="K1269" i="10"/>
  <c r="K1264" i="10"/>
  <c r="K1263" i="10"/>
  <c r="K1255" i="10"/>
  <c r="L1255" i="10" s="1"/>
  <c r="K1262" i="10"/>
  <c r="K1251" i="10"/>
  <c r="L1251" i="10" s="1"/>
  <c r="K1252" i="10"/>
  <c r="L1252" i="10" s="1"/>
  <c r="K1259" i="10"/>
  <c r="K1258" i="10"/>
  <c r="K1254" i="10"/>
  <c r="L1254" i="10" s="1"/>
  <c r="K1244" i="10"/>
  <c r="K1246" i="10"/>
  <c r="L1246" i="10" s="1"/>
  <c r="K1247" i="10"/>
  <c r="K1241" i="10"/>
  <c r="K1245" i="10"/>
  <c r="L1245" i="10" s="1"/>
  <c r="K1240" i="10"/>
  <c r="L1240" i="10" s="1"/>
  <c r="K1234" i="10"/>
  <c r="L1234" i="10" s="1"/>
  <c r="K1237" i="10"/>
  <c r="K1239" i="10"/>
  <c r="L1239" i="10" s="1"/>
  <c r="K1238" i="10"/>
  <c r="L1238" i="10" s="1"/>
  <c r="K1232" i="10"/>
  <c r="K1226" i="10"/>
  <c r="L1226" i="10" s="1"/>
  <c r="K1223" i="10"/>
  <c r="L1223" i="10" s="1"/>
  <c r="K1224" i="10"/>
  <c r="K1218" i="10"/>
  <c r="K1219" i="10"/>
  <c r="K1222" i="10"/>
  <c r="L1222" i="10" s="1"/>
  <c r="K1211" i="10"/>
  <c r="K1209" i="10"/>
  <c r="K1204" i="10"/>
  <c r="L1204" i="10" s="1"/>
  <c r="K1208" i="10"/>
  <c r="K1216" i="10"/>
  <c r="L1216" i="10" s="1"/>
  <c r="K1213" i="10"/>
  <c r="K1212" i="10"/>
  <c r="K1196" i="10"/>
  <c r="K1200" i="10"/>
  <c r="L1200" i="10" s="1"/>
  <c r="K1199" i="10"/>
  <c r="L1199" i="10" s="1"/>
  <c r="K1202" i="10"/>
  <c r="K1192" i="10"/>
  <c r="L1192" i="10" s="1"/>
  <c r="K1183" i="10"/>
  <c r="L1183" i="10" s="1"/>
  <c r="K1190" i="10"/>
  <c r="L1190" i="10" s="1"/>
  <c r="K1191" i="10"/>
  <c r="L1191" i="10" s="1"/>
  <c r="K1182" i="10"/>
  <c r="L1182" i="10" s="1"/>
  <c r="K1184" i="10"/>
  <c r="K1174" i="10"/>
  <c r="L1174" i="10" s="1"/>
  <c r="K1178" i="10"/>
  <c r="L1178" i="10" s="1"/>
  <c r="K1175" i="10"/>
  <c r="K1180" i="10"/>
  <c r="K1163" i="10"/>
  <c r="K1165" i="10"/>
  <c r="L1165" i="10" s="1"/>
  <c r="K1171" i="10"/>
  <c r="K1164" i="10"/>
  <c r="K1167" i="10"/>
  <c r="K1172" i="10"/>
  <c r="K1155" i="10"/>
  <c r="K1160" i="10"/>
  <c r="K1162" i="10"/>
  <c r="K1153" i="10"/>
  <c r="L1153" i="10" s="1"/>
  <c r="K1158" i="10"/>
  <c r="K1152" i="10"/>
  <c r="L1152" i="10" s="1"/>
  <c r="K1150" i="10"/>
  <c r="L1150" i="10" s="1"/>
  <c r="K1161" i="10"/>
  <c r="K1144" i="10"/>
  <c r="K1140" i="10"/>
  <c r="L1140" i="10" s="1"/>
  <c r="K1138" i="10"/>
  <c r="K1141" i="10"/>
  <c r="L1141" i="10" s="1"/>
  <c r="K1139" i="10"/>
  <c r="L1139" i="10" s="1"/>
  <c r="K1135" i="10"/>
  <c r="K1127" i="10"/>
  <c r="K1126" i="10"/>
  <c r="L1126" i="10" s="1"/>
  <c r="K1132" i="10"/>
  <c r="K1128" i="10"/>
  <c r="K1130" i="10"/>
  <c r="K1123" i="10"/>
  <c r="L1123" i="10" s="1"/>
  <c r="K1115" i="10"/>
  <c r="K1118" i="10"/>
  <c r="K1119" i="10"/>
  <c r="L1119" i="10" s="1"/>
  <c r="K1120" i="10"/>
  <c r="K1111" i="10"/>
  <c r="L1111" i="10" s="1"/>
  <c r="K1108" i="10"/>
  <c r="L1108" i="10" s="1"/>
  <c r="K1106" i="10"/>
  <c r="K1110" i="10"/>
  <c r="K1105" i="10"/>
  <c r="L1105" i="10" s="1"/>
  <c r="K1095" i="10"/>
  <c r="K1099" i="10"/>
  <c r="L1099" i="10" s="1"/>
  <c r="K1096" i="10"/>
  <c r="L1096" i="10" s="1"/>
  <c r="K1102" i="10"/>
  <c r="K1101" i="10"/>
  <c r="K1094" i="10"/>
  <c r="L1094" i="10" s="1"/>
  <c r="K1087" i="10"/>
  <c r="K1088" i="10"/>
  <c r="L1088" i="10" s="1"/>
  <c r="K1086" i="10"/>
  <c r="L1086" i="10" s="1"/>
  <c r="K1089" i="10"/>
  <c r="K1083" i="10"/>
  <c r="K1082" i="10"/>
  <c r="L1082" i="10" s="1"/>
  <c r="K1079" i="10"/>
  <c r="K1078" i="10"/>
  <c r="L1078" i="10" s="1"/>
  <c r="K1075" i="10"/>
  <c r="L1075" i="10" s="1"/>
  <c r="K1080" i="10"/>
  <c r="K1066" i="10"/>
  <c r="K1068" i="10"/>
  <c r="K1072" i="10"/>
  <c r="L1072" i="10" s="1"/>
  <c r="K1064" i="10"/>
  <c r="K1063" i="10"/>
  <c r="L1063" i="10" s="1"/>
  <c r="K1062" i="10"/>
  <c r="L1062" i="10" s="1"/>
  <c r="K1058" i="10"/>
  <c r="L1058" i="10" s="1"/>
  <c r="K1049" i="10"/>
  <c r="L1049" i="10" s="1"/>
  <c r="K1053" i="10"/>
  <c r="L1053" i="10" s="1"/>
  <c r="K1051" i="10"/>
  <c r="K1048" i="10"/>
  <c r="K1055" i="10"/>
  <c r="L1055" i="10" s="1"/>
  <c r="K1056" i="10"/>
  <c r="L1056" i="10" s="1"/>
  <c r="K1039" i="10"/>
  <c r="L1039" i="10" s="1"/>
  <c r="K1040" i="10"/>
  <c r="K1038" i="10"/>
  <c r="L1038" i="10" s="1"/>
  <c r="K1036" i="10"/>
  <c r="K1033" i="10"/>
  <c r="L1033" i="10" s="1"/>
  <c r="K1032" i="10"/>
  <c r="L1032" i="10" s="1"/>
  <c r="K1044" i="10"/>
  <c r="L1044" i="10" s="1"/>
  <c r="K1031" i="10"/>
  <c r="K1028" i="10"/>
  <c r="L1028" i="10" s="1"/>
  <c r="K1030" i="10"/>
  <c r="K1021" i="10"/>
  <c r="L1021" i="10" s="1"/>
  <c r="K1018" i="10"/>
  <c r="K1015" i="10"/>
  <c r="K1014" i="10"/>
  <c r="K1024" i="10"/>
  <c r="K1020" i="10"/>
  <c r="K1013" i="10"/>
  <c r="K1012" i="10"/>
  <c r="K1008" i="10"/>
  <c r="K1005" i="10"/>
  <c r="K1002" i="10"/>
  <c r="L1002" i="10" s="1"/>
  <c r="K1007" i="10"/>
  <c r="K998" i="10"/>
  <c r="L998" i="10" s="1"/>
  <c r="K996" i="10"/>
  <c r="L996" i="10" s="1"/>
  <c r="K1000" i="10"/>
  <c r="K982" i="10"/>
  <c r="K986" i="10"/>
  <c r="L986" i="10" s="1"/>
  <c r="K989" i="10"/>
  <c r="K991" i="10"/>
  <c r="L991" i="10" s="1"/>
  <c r="K990" i="10"/>
  <c r="K994" i="10"/>
  <c r="K985" i="10"/>
  <c r="K981" i="10"/>
  <c r="L981" i="10" s="1"/>
  <c r="K979" i="10"/>
  <c r="L979" i="10" s="1"/>
  <c r="K973" i="10"/>
  <c r="K977" i="10"/>
  <c r="K976" i="10"/>
  <c r="L976" i="10" s="1"/>
  <c r="K969" i="10"/>
  <c r="L969" i="10" s="1"/>
  <c r="K966" i="10"/>
  <c r="K971" i="10"/>
  <c r="L971" i="10" s="1"/>
  <c r="K963" i="10"/>
  <c r="K962" i="10"/>
  <c r="K965" i="10"/>
  <c r="L965" i="10" s="1"/>
  <c r="K957" i="10"/>
  <c r="K958" i="10"/>
  <c r="L958" i="10" s="1"/>
  <c r="K953" i="10"/>
  <c r="K954" i="10"/>
  <c r="K959" i="10"/>
  <c r="K956" i="10"/>
  <c r="L956" i="10" s="1"/>
  <c r="K947" i="10"/>
  <c r="K942" i="10"/>
  <c r="K943" i="10"/>
  <c r="K941" i="10"/>
  <c r="K935" i="10"/>
  <c r="K934" i="10"/>
  <c r="K937" i="10"/>
  <c r="K931" i="10"/>
  <c r="K932" i="10"/>
  <c r="K928" i="10"/>
  <c r="K927" i="10"/>
  <c r="K924" i="10"/>
  <c r="L924" i="10" s="1"/>
  <c r="K926" i="10"/>
  <c r="K922" i="10"/>
  <c r="K920" i="10"/>
  <c r="L920" i="10" s="1"/>
  <c r="K918" i="10"/>
  <c r="K912" i="10"/>
  <c r="K916" i="10"/>
  <c r="K911" i="10"/>
  <c r="L911" i="10" s="1"/>
  <c r="K917" i="10"/>
  <c r="K904" i="10"/>
  <c r="K903" i="10"/>
  <c r="K909" i="10"/>
  <c r="E484" i="10"/>
  <c r="E117" i="10"/>
  <c r="I749" i="10"/>
  <c r="I753" i="10"/>
  <c r="I182" i="10"/>
  <c r="I159" i="10"/>
  <c r="L992" i="10" l="1"/>
  <c r="L1114" i="10"/>
  <c r="L1267" i="10"/>
  <c r="L1080" i="10"/>
  <c r="L1089" i="10"/>
  <c r="L1102" i="10"/>
  <c r="L1106" i="10"/>
  <c r="L1115" i="10"/>
  <c r="L1213" i="10"/>
  <c r="L904" i="10"/>
  <c r="L1135" i="10"/>
  <c r="L1161" i="10"/>
  <c r="L1259" i="10"/>
  <c r="L1264" i="10"/>
  <c r="L1024" i="10"/>
  <c r="L1016" i="10"/>
  <c r="L1155" i="10"/>
  <c r="L947" i="10"/>
  <c r="L1138" i="10"/>
  <c r="L1244" i="10"/>
  <c r="L1262" i="10"/>
  <c r="L1179" i="10"/>
  <c r="L1211" i="10"/>
  <c r="L949" i="10"/>
  <c r="L1158" i="10"/>
  <c r="L1018" i="10"/>
  <c r="L1171" i="10"/>
  <c r="L1274" i="10"/>
  <c r="L964" i="10"/>
  <c r="L985" i="10"/>
  <c r="L1079" i="10"/>
  <c r="L1087" i="10"/>
  <c r="L1095" i="10"/>
  <c r="L1120" i="10"/>
  <c r="L913" i="10"/>
  <c r="L984" i="10"/>
  <c r="L1003" i="10"/>
  <c r="L1121" i="10"/>
  <c r="L1124" i="10"/>
  <c r="L1143" i="10"/>
  <c r="L1149" i="10"/>
  <c r="L1235" i="10"/>
  <c r="L1253" i="10"/>
  <c r="L1276" i="10"/>
  <c r="L1285" i="10"/>
  <c r="L1303" i="10"/>
  <c r="L1311" i="10"/>
  <c r="L1328" i="10"/>
  <c r="L1341" i="10"/>
  <c r="L1342" i="10"/>
  <c r="L1356" i="10"/>
  <c r="L1370" i="10"/>
  <c r="L939" i="10"/>
  <c r="L946" i="10"/>
  <c r="L961" i="10"/>
  <c r="L1017" i="10"/>
  <c r="L1176" i="10"/>
  <c r="L1188" i="10"/>
  <c r="L1195" i="10"/>
  <c r="L1210" i="10"/>
  <c r="L1066" i="10"/>
  <c r="L1083" i="10"/>
  <c r="L1101" i="10"/>
  <c r="L1110" i="10"/>
  <c r="L1118" i="10"/>
  <c r="L1212" i="10"/>
  <c r="L914" i="10"/>
  <c r="L923" i="10"/>
  <c r="L999" i="10"/>
  <c r="L1009" i="10"/>
  <c r="L1134" i="10"/>
  <c r="L1137" i="10"/>
  <c r="L1147" i="10"/>
  <c r="L1170" i="10"/>
  <c r="L1273" i="10"/>
  <c r="L1287" i="10"/>
  <c r="L1298" i="10"/>
  <c r="L1314" i="10"/>
  <c r="L1329" i="10"/>
  <c r="L1331" i="10"/>
  <c r="L1349" i="10"/>
  <c r="L1363" i="10"/>
  <c r="L1371" i="10"/>
  <c r="L1127" i="10"/>
  <c r="L1144" i="10"/>
  <c r="L1162" i="10"/>
  <c r="L1258" i="10"/>
  <c r="L1263" i="10"/>
  <c r="L1013" i="10"/>
  <c r="L1163" i="10"/>
  <c r="L1282" i="10"/>
  <c r="L922" i="10"/>
  <c r="L1031" i="10"/>
  <c r="L1040" i="10"/>
  <c r="L1224" i="10"/>
  <c r="L1290" i="10"/>
  <c r="L1302" i="10"/>
  <c r="L1318" i="10"/>
  <c r="L1164" i="10"/>
  <c r="L1232" i="10"/>
  <c r="L1286" i="10"/>
  <c r="L1304" i="10"/>
  <c r="L1309" i="10"/>
  <c r="L953" i="10"/>
  <c r="L989" i="10"/>
  <c r="L1007" i="10"/>
  <c r="L1036" i="10"/>
  <c r="L1048" i="10"/>
  <c r="L934" i="10"/>
  <c r="L1132" i="10"/>
  <c r="L1272" i="10"/>
  <c r="L995" i="10"/>
  <c r="L966" i="10"/>
  <c r="L1064" i="10"/>
  <c r="L921" i="10"/>
  <c r="L993" i="10"/>
  <c r="L1142" i="10"/>
  <c r="L1151" i="10"/>
  <c r="L1280" i="10"/>
  <c r="L1293" i="10"/>
  <c r="L1308" i="10"/>
  <c r="L1319" i="10"/>
  <c r="L1325" i="10"/>
  <c r="L1344" i="10"/>
  <c r="L1355" i="10"/>
  <c r="L1367" i="10"/>
  <c r="L1231" i="10"/>
  <c r="L1261" i="10"/>
  <c r="L967" i="10"/>
  <c r="L1026" i="10"/>
  <c r="L1042" i="10"/>
  <c r="L1046" i="10"/>
  <c r="L1071" i="10"/>
  <c r="L1074" i="10"/>
  <c r="L1092" i="10"/>
  <c r="L1098" i="10"/>
  <c r="L1217" i="10"/>
  <c r="L1184" i="10"/>
  <c r="L1202" i="10"/>
  <c r="L1321" i="10"/>
  <c r="L1335" i="10"/>
  <c r="L1350" i="10"/>
  <c r="L1362" i="10"/>
  <c r="L1372" i="10"/>
  <c r="L955" i="10"/>
  <c r="L951" i="10"/>
  <c r="L1189" i="10"/>
  <c r="L1201" i="10"/>
  <c r="L1203" i="10"/>
  <c r="L1243" i="10"/>
  <c r="L938" i="10"/>
  <c r="L1181" i="10"/>
  <c r="L1128" i="10"/>
  <c r="L1172" i="10"/>
  <c r="L919" i="10"/>
  <c r="L1136" i="10"/>
  <c r="L1146" i="10"/>
  <c r="L1148" i="10"/>
  <c r="L1284" i="10"/>
  <c r="L1295" i="10"/>
  <c r="L1306" i="10"/>
  <c r="L1317" i="10"/>
  <c r="L1327" i="10"/>
  <c r="L1345" i="10"/>
  <c r="L1359" i="10"/>
  <c r="L1366" i="10"/>
  <c r="L1271" i="10"/>
  <c r="L945" i="10"/>
  <c r="L952" i="10"/>
  <c r="L1194" i="10"/>
  <c r="L1214" i="10"/>
  <c r="L933" i="10"/>
  <c r="L1166" i="10"/>
  <c r="L975" i="10"/>
  <c r="L1133" i="10"/>
  <c r="L1230" i="10"/>
  <c r="L1266" i="10"/>
  <c r="L1027" i="10"/>
  <c r="L1037" i="10"/>
  <c r="L1050" i="10"/>
  <c r="L1065" i="10"/>
  <c r="L1073" i="10"/>
  <c r="L1085" i="10"/>
  <c r="L1104" i="10"/>
  <c r="L1113" i="10"/>
  <c r="L1221" i="10"/>
  <c r="L1014" i="10"/>
  <c r="L960" i="10"/>
  <c r="L997" i="10"/>
  <c r="L1025" i="10"/>
  <c r="L1091" i="10"/>
  <c r="L1131" i="10"/>
  <c r="L1197" i="10"/>
  <c r="L1215" i="10"/>
  <c r="L1265" i="10"/>
  <c r="L1288" i="10"/>
  <c r="L1299" i="10"/>
  <c r="L1313" i="10"/>
  <c r="L1326" i="10"/>
  <c r="L1343" i="10"/>
  <c r="L1374" i="10"/>
  <c r="D937" i="10"/>
  <c r="D926" i="10"/>
  <c r="D932" i="10"/>
  <c r="D943" i="10"/>
  <c r="L994" i="10"/>
  <c r="L1000" i="10"/>
  <c r="L1015" i="10"/>
  <c r="L910" i="10"/>
  <c r="L929" i="10"/>
  <c r="L944" i="10"/>
  <c r="L948" i="10"/>
  <c r="L968" i="10"/>
  <c r="L983" i="10"/>
  <c r="L1001" i="10"/>
  <c r="L1023" i="10"/>
  <c r="L1035" i="10"/>
  <c r="L1057" i="10"/>
  <c r="L1061" i="10"/>
  <c r="L1077" i="10"/>
  <c r="L1084" i="10"/>
  <c r="L1097" i="10"/>
  <c r="L1112" i="10"/>
  <c r="L1116" i="10"/>
  <c r="L1125" i="10"/>
  <c r="L1156" i="10"/>
  <c r="L1154" i="10"/>
  <c r="L1168" i="10"/>
  <c r="L1187" i="10"/>
  <c r="L1193" i="10"/>
  <c r="L1206" i="10"/>
  <c r="L1229" i="10"/>
  <c r="L1260" i="10"/>
  <c r="L1270" i="10"/>
  <c r="L1281" i="10"/>
  <c r="L1291" i="10"/>
  <c r="L1301" i="10"/>
  <c r="L1315" i="10"/>
  <c r="L1334" i="10"/>
  <c r="L1338" i="10"/>
  <c r="L1351" i="10"/>
  <c r="L1361" i="10"/>
  <c r="L1376" i="10"/>
  <c r="L982" i="10"/>
  <c r="L940" i="10"/>
  <c r="L988" i="10"/>
  <c r="L1034" i="10"/>
  <c r="L1047" i="10"/>
  <c r="L1070" i="10"/>
  <c r="L1109" i="10"/>
  <c r="L1145" i="10"/>
  <c r="L1256" i="10"/>
  <c r="L1365" i="10"/>
  <c r="L909" i="10"/>
  <c r="L912" i="10"/>
  <c r="L927" i="10"/>
  <c r="L935" i="10"/>
  <c r="L959" i="10"/>
  <c r="L962" i="10"/>
  <c r="L903" i="10"/>
  <c r="L918" i="10"/>
  <c r="L928" i="10"/>
  <c r="L941" i="10"/>
  <c r="L963" i="10"/>
  <c r="L973" i="10"/>
  <c r="L1005" i="10"/>
  <c r="L915" i="10"/>
  <c r="L950" i="10"/>
  <c r="L974" i="10"/>
  <c r="L1011" i="10"/>
  <c r="L1060" i="10"/>
  <c r="L1100" i="10"/>
  <c r="L1122" i="10"/>
  <c r="L1157" i="10"/>
  <c r="L1177" i="10"/>
  <c r="L1205" i="10"/>
  <c r="L1278" i="10"/>
  <c r="L1337" i="10"/>
  <c r="L905" i="10"/>
  <c r="L906" i="10"/>
  <c r="J943" i="10" l="1"/>
  <c r="L943" i="10" s="1"/>
  <c r="J932" i="10"/>
  <c r="L932" i="10" s="1"/>
  <c r="J926" i="10"/>
  <c r="L926" i="10" s="1"/>
  <c r="J937" i="10"/>
  <c r="L937" i="10" s="1"/>
  <c r="C728" i="10"/>
  <c r="D1209" i="10" l="1"/>
  <c r="J1209" i="10" l="1"/>
  <c r="L1209" i="10" s="1"/>
  <c r="C819" i="10"/>
  <c r="E893" i="10" l="1"/>
  <c r="E895" i="10"/>
  <c r="D895" i="10"/>
  <c r="D896" i="10"/>
  <c r="E896" i="10"/>
  <c r="E897" i="10"/>
  <c r="E898" i="10"/>
  <c r="E899" i="10"/>
  <c r="E902" i="10"/>
  <c r="E876" i="10"/>
  <c r="E878" i="10"/>
  <c r="E877" i="10"/>
  <c r="E879" i="10"/>
  <c r="E880" i="10"/>
  <c r="E881" i="10"/>
  <c r="E882" i="10"/>
  <c r="E883" i="10"/>
  <c r="E884" i="10"/>
  <c r="E885" i="10"/>
  <c r="E886" i="10"/>
  <c r="D887" i="10"/>
  <c r="E887" i="10"/>
  <c r="E888" i="10"/>
  <c r="E889" i="10"/>
  <c r="E890" i="10"/>
  <c r="E891" i="10"/>
  <c r="E866" i="10"/>
  <c r="E869" i="10"/>
  <c r="E870" i="10"/>
  <c r="E871" i="10"/>
  <c r="E872" i="10"/>
  <c r="E860" i="10"/>
  <c r="E861" i="10"/>
  <c r="E862" i="10"/>
  <c r="E852" i="10" l="1"/>
  <c r="E854" i="10"/>
  <c r="E855" i="10"/>
  <c r="E856" i="10"/>
  <c r="E844" i="10"/>
  <c r="E846" i="10"/>
  <c r="E847" i="10"/>
  <c r="E849" i="10"/>
  <c r="E830" i="10" l="1"/>
  <c r="C832" i="10"/>
  <c r="E835" i="10"/>
  <c r="D836" i="10"/>
  <c r="E836" i="10"/>
  <c r="E838" i="10"/>
  <c r="E840" i="10"/>
  <c r="E822" i="10"/>
  <c r="E824" i="10"/>
  <c r="E826" i="10"/>
  <c r="E827" i="10"/>
  <c r="E828" i="10"/>
  <c r="E812" i="10"/>
  <c r="I756" i="10" l="1"/>
  <c r="I714" i="10"/>
  <c r="I715" i="10"/>
  <c r="I716" i="10"/>
  <c r="I717" i="10"/>
  <c r="I718" i="10"/>
  <c r="I719" i="10"/>
  <c r="I720" i="10"/>
  <c r="I721" i="10"/>
  <c r="I722" i="10"/>
  <c r="I723" i="10"/>
  <c r="I724" i="10"/>
  <c r="I725" i="10"/>
  <c r="I726" i="10"/>
  <c r="I727" i="10"/>
  <c r="I728" i="10"/>
  <c r="I729" i="10"/>
  <c r="I730" i="10"/>
  <c r="I731" i="10"/>
  <c r="I732" i="10"/>
  <c r="I733" i="10"/>
  <c r="I734" i="10"/>
  <c r="I735" i="10"/>
  <c r="I736" i="10"/>
  <c r="I737" i="10"/>
  <c r="I738" i="10"/>
  <c r="I739" i="10"/>
  <c r="I740" i="10"/>
  <c r="I741" i="10"/>
  <c r="I742" i="10"/>
  <c r="I743" i="10"/>
  <c r="I744" i="10"/>
  <c r="I745" i="10"/>
  <c r="I746" i="10"/>
  <c r="I747" i="10"/>
  <c r="I748" i="10"/>
  <c r="I750" i="10"/>
  <c r="I751" i="10"/>
  <c r="I752" i="10"/>
  <c r="I754" i="10"/>
  <c r="I757" i="10"/>
  <c r="I758" i="10"/>
  <c r="I759" i="10"/>
  <c r="I760" i="10"/>
  <c r="I761" i="10"/>
  <c r="I762" i="10"/>
  <c r="I763" i="10"/>
  <c r="I764" i="10"/>
  <c r="I765" i="10"/>
  <c r="I766" i="10"/>
  <c r="I767" i="10"/>
  <c r="I768" i="10"/>
  <c r="I769" i="10"/>
  <c r="I770" i="10"/>
  <c r="I771" i="10"/>
  <c r="I772" i="10"/>
  <c r="I773" i="10"/>
  <c r="I774" i="10"/>
  <c r="I775" i="10"/>
  <c r="I776" i="10"/>
  <c r="I777" i="10"/>
  <c r="I778" i="10"/>
  <c r="I779" i="10"/>
  <c r="I780" i="10"/>
  <c r="I781" i="10"/>
  <c r="I782" i="10"/>
  <c r="I783" i="10"/>
  <c r="I784" i="10"/>
  <c r="I785" i="10"/>
  <c r="I786" i="10"/>
  <c r="I787" i="10"/>
  <c r="I788" i="10"/>
  <c r="I789" i="10"/>
  <c r="I790" i="10"/>
  <c r="I791" i="10"/>
  <c r="I792" i="10"/>
  <c r="I793" i="10"/>
  <c r="I794" i="10"/>
  <c r="I796" i="10"/>
  <c r="I797" i="10"/>
  <c r="I798" i="10"/>
  <c r="I799" i="10"/>
  <c r="I800" i="10"/>
  <c r="I801" i="10"/>
  <c r="I802" i="10"/>
  <c r="I803" i="10"/>
  <c r="I804" i="10"/>
  <c r="I805" i="10"/>
  <c r="I806" i="10"/>
  <c r="I807" i="10"/>
  <c r="I808" i="10"/>
  <c r="I809" i="10"/>
  <c r="I810" i="10"/>
  <c r="I811" i="10"/>
  <c r="I812" i="10"/>
  <c r="I813" i="10"/>
  <c r="I814" i="10"/>
  <c r="I815" i="10"/>
  <c r="I816" i="10"/>
  <c r="I817" i="10"/>
  <c r="I818" i="10"/>
  <c r="I819" i="10"/>
  <c r="I820" i="10"/>
  <c r="I821" i="10"/>
  <c r="I822" i="10"/>
  <c r="I823" i="10"/>
  <c r="I824" i="10"/>
  <c r="I825" i="10"/>
  <c r="I826" i="10"/>
  <c r="I827" i="10"/>
  <c r="I828" i="10"/>
  <c r="I829" i="10"/>
  <c r="I830" i="10"/>
  <c r="I831" i="10"/>
  <c r="I832" i="10"/>
  <c r="I833" i="10"/>
  <c r="I834" i="10"/>
  <c r="I835" i="10"/>
  <c r="I836" i="10"/>
  <c r="I837" i="10"/>
  <c r="I838" i="10"/>
  <c r="I839" i="10"/>
  <c r="I840" i="10"/>
  <c r="I841" i="10"/>
  <c r="I842" i="10"/>
  <c r="I843" i="10"/>
  <c r="I844" i="10"/>
  <c r="I845" i="10"/>
  <c r="I846" i="10"/>
  <c r="I847" i="10"/>
  <c r="I848" i="10"/>
  <c r="I849" i="10"/>
  <c r="I850" i="10"/>
  <c r="I851" i="10"/>
  <c r="I852" i="10"/>
  <c r="I853" i="10"/>
  <c r="I854" i="10"/>
  <c r="I855" i="10"/>
  <c r="I856" i="10"/>
  <c r="K856" i="10" s="1"/>
  <c r="I857" i="10"/>
  <c r="K857" i="10" s="1"/>
  <c r="I858" i="10"/>
  <c r="K858" i="10" s="1"/>
  <c r="I859" i="10"/>
  <c r="I860" i="10"/>
  <c r="I861" i="10"/>
  <c r="I862" i="10"/>
  <c r="I863" i="10"/>
  <c r="I864" i="10"/>
  <c r="I865" i="10"/>
  <c r="K865" i="10" s="1"/>
  <c r="I866" i="10"/>
  <c r="I867" i="10"/>
  <c r="I868" i="10"/>
  <c r="K868" i="10" s="1"/>
  <c r="I869" i="10"/>
  <c r="K869" i="10" s="1"/>
  <c r="I870" i="10"/>
  <c r="I871" i="10"/>
  <c r="I872" i="10"/>
  <c r="I873" i="10"/>
  <c r="K873" i="10" s="1"/>
  <c r="I874" i="10"/>
  <c r="K874" i="10" s="1"/>
  <c r="I875" i="10"/>
  <c r="I876" i="10"/>
  <c r="K876" i="10" s="1"/>
  <c r="I877" i="10"/>
  <c r="I878" i="10"/>
  <c r="I882" i="10"/>
  <c r="I883" i="10"/>
  <c r="I887" i="10"/>
  <c r="I888" i="10"/>
  <c r="I889" i="10"/>
  <c r="I890" i="10"/>
  <c r="I892" i="10"/>
  <c r="I893" i="10"/>
  <c r="I894" i="10"/>
  <c r="I895" i="10"/>
  <c r="I896" i="10"/>
  <c r="I897" i="10"/>
  <c r="I898" i="10"/>
  <c r="I899" i="10"/>
  <c r="I900" i="10"/>
  <c r="I901" i="10"/>
  <c r="I902" i="10"/>
  <c r="I795" i="10"/>
  <c r="D855" i="10"/>
  <c r="D857" i="10"/>
  <c r="D858" i="10"/>
  <c r="D859" i="10"/>
  <c r="D861" i="10"/>
  <c r="D862" i="10"/>
  <c r="D863" i="10"/>
  <c r="D864" i="10"/>
  <c r="D865" i="10"/>
  <c r="D867" i="10"/>
  <c r="D868" i="10"/>
  <c r="D869" i="10"/>
  <c r="D870" i="10"/>
  <c r="D871" i="10"/>
  <c r="D872" i="10"/>
  <c r="D873" i="10"/>
  <c r="D874" i="10"/>
  <c r="D875" i="10"/>
  <c r="K877" i="10" l="1"/>
  <c r="K879" i="10"/>
  <c r="K886" i="10"/>
  <c r="K875" i="10"/>
  <c r="K882" i="10"/>
  <c r="K878" i="10"/>
  <c r="K881" i="10"/>
  <c r="K885" i="10"/>
  <c r="K883" i="10"/>
  <c r="K884" i="10"/>
  <c r="K880" i="10"/>
  <c r="K887" i="10"/>
  <c r="K855" i="10"/>
  <c r="K867" i="10"/>
  <c r="K860" i="10"/>
  <c r="K871" i="10"/>
  <c r="K864" i="10"/>
  <c r="K859" i="10"/>
  <c r="K872" i="10"/>
  <c r="K870" i="10"/>
  <c r="K866" i="10"/>
  <c r="K863" i="10"/>
  <c r="K862" i="10"/>
  <c r="K861" i="10"/>
  <c r="J863" i="10"/>
  <c r="J867" i="10"/>
  <c r="J859" i="10"/>
  <c r="J875" i="10"/>
  <c r="J871" i="10"/>
  <c r="J887" i="10"/>
  <c r="J868" i="10"/>
  <c r="L868" i="10" s="1"/>
  <c r="J872" i="10"/>
  <c r="J864" i="10"/>
  <c r="J874" i="10"/>
  <c r="L874" i="10" s="1"/>
  <c r="J865" i="10"/>
  <c r="L865" i="10" s="1"/>
  <c r="J858" i="10"/>
  <c r="L858" i="10" s="1"/>
  <c r="J862" i="10"/>
  <c r="J869" i="10"/>
  <c r="L869" i="10" s="1"/>
  <c r="J873" i="10"/>
  <c r="L873" i="10" s="1"/>
  <c r="J857" i="10"/>
  <c r="L857" i="10" s="1"/>
  <c r="J870" i="10"/>
  <c r="J861" i="10"/>
  <c r="J855" i="10"/>
  <c r="I533" i="10"/>
  <c r="I534" i="10"/>
  <c r="I535" i="10"/>
  <c r="I536" i="10"/>
  <c r="I537" i="10"/>
  <c r="I532" i="10"/>
  <c r="L875" i="10" l="1"/>
  <c r="L871" i="10"/>
  <c r="L867" i="10"/>
  <c r="L864" i="10"/>
  <c r="L855" i="10"/>
  <c r="L887" i="10"/>
  <c r="L872" i="10"/>
  <c r="L859" i="10"/>
  <c r="L863" i="10"/>
  <c r="L861" i="10"/>
  <c r="L862" i="10"/>
  <c r="L870" i="10"/>
  <c r="E798" i="10"/>
  <c r="E799" i="10"/>
  <c r="E801" i="10"/>
  <c r="D803" i="10"/>
  <c r="E788" i="10"/>
  <c r="E790" i="10"/>
  <c r="E789" i="10"/>
  <c r="E791" i="10"/>
  <c r="E792" i="10"/>
  <c r="E778" i="10"/>
  <c r="E779" i="10"/>
  <c r="E782" i="10"/>
  <c r="E772" i="10"/>
  <c r="E773" i="10"/>
  <c r="E774" i="10"/>
  <c r="E761" i="10" l="1"/>
  <c r="E762" i="10"/>
  <c r="E763" i="10"/>
  <c r="E764" i="10"/>
  <c r="E765" i="10"/>
  <c r="E766" i="10"/>
  <c r="D767" i="10"/>
  <c r="E767" i="10"/>
  <c r="E756" i="10"/>
  <c r="E757" i="10"/>
  <c r="E758" i="10"/>
  <c r="E759" i="10"/>
  <c r="E760" i="10"/>
  <c r="E751" i="10"/>
  <c r="E752" i="10"/>
  <c r="E754" i="10"/>
  <c r="E745" i="10"/>
  <c r="E746" i="10"/>
  <c r="E747" i="10"/>
  <c r="E748" i="10"/>
  <c r="E743" i="10"/>
  <c r="E738" i="10"/>
  <c r="E739" i="10"/>
  <c r="E740" i="10"/>
  <c r="E731" i="10"/>
  <c r="E732" i="10"/>
  <c r="E733" i="10"/>
  <c r="E734" i="10"/>
  <c r="E728" i="10"/>
  <c r="E729" i="10"/>
  <c r="D744" i="10"/>
  <c r="K744" i="10" l="1"/>
  <c r="J744" i="10"/>
  <c r="C715" i="10"/>
  <c r="E720" i="10"/>
  <c r="E721" i="10"/>
  <c r="E723" i="10"/>
  <c r="E722" i="10"/>
  <c r="E715" i="10"/>
  <c r="E716" i="10"/>
  <c r="I713" i="10"/>
  <c r="K714" i="10"/>
  <c r="K717" i="10"/>
  <c r="K719" i="10"/>
  <c r="K724" i="10"/>
  <c r="K727" i="10"/>
  <c r="K728" i="10"/>
  <c r="K729" i="10"/>
  <c r="K730" i="10"/>
  <c r="K731" i="10"/>
  <c r="K732" i="10"/>
  <c r="K733" i="10"/>
  <c r="K734" i="10"/>
  <c r="K735" i="10"/>
  <c r="K736" i="10"/>
  <c r="K737" i="10"/>
  <c r="K738" i="10"/>
  <c r="K739" i="10"/>
  <c r="K740" i="10"/>
  <c r="K725" i="10"/>
  <c r="K726" i="10"/>
  <c r="K802" i="10"/>
  <c r="K807" i="10"/>
  <c r="K812" i="10"/>
  <c r="K813" i="10"/>
  <c r="K814" i="10"/>
  <c r="K815" i="10"/>
  <c r="K816" i="10"/>
  <c r="K817" i="10"/>
  <c r="K818" i="10"/>
  <c r="K819" i="10"/>
  <c r="K820" i="10"/>
  <c r="K821" i="10"/>
  <c r="K822" i="10"/>
  <c r="K823" i="10"/>
  <c r="K824" i="10"/>
  <c r="K825" i="10"/>
  <c r="K826" i="10"/>
  <c r="K827" i="10"/>
  <c r="K828" i="10"/>
  <c r="K829" i="10"/>
  <c r="K830" i="10"/>
  <c r="K831" i="10"/>
  <c r="K832" i="10"/>
  <c r="K833" i="10"/>
  <c r="K834" i="10"/>
  <c r="E718" i="10"/>
  <c r="E709" i="10"/>
  <c r="E710" i="10"/>
  <c r="E711" i="10"/>
  <c r="E704" i="10"/>
  <c r="E705" i="10"/>
  <c r="C699" i="10"/>
  <c r="E706" i="10"/>
  <c r="C700" i="10"/>
  <c r="E698" i="10"/>
  <c r="E699" i="10"/>
  <c r="E700" i="10"/>
  <c r="K723" i="10" l="1"/>
  <c r="L744" i="10"/>
  <c r="K722" i="10"/>
  <c r="K718" i="10"/>
  <c r="K716" i="10"/>
  <c r="K721" i="10"/>
  <c r="K715" i="10"/>
  <c r="K720" i="10"/>
  <c r="E694" i="10"/>
  <c r="E695" i="10"/>
  <c r="E686" i="10"/>
  <c r="E687" i="10"/>
  <c r="E688" i="10"/>
  <c r="E691" i="10"/>
  <c r="D691" i="10"/>
  <c r="E680" i="10"/>
  <c r="E681" i="10"/>
  <c r="E682" i="10"/>
  <c r="E683" i="10"/>
  <c r="D685" i="10"/>
  <c r="C674" i="10"/>
  <c r="E674" i="10"/>
  <c r="E675" i="10"/>
  <c r="E676" i="10"/>
  <c r="E677" i="10"/>
  <c r="E679" i="10"/>
  <c r="D679" i="10"/>
  <c r="E668" i="10"/>
  <c r="D669" i="10"/>
  <c r="E669" i="10"/>
  <c r="E672" i="10"/>
  <c r="K811" i="10"/>
  <c r="K810" i="10"/>
  <c r="K809" i="10"/>
  <c r="K808" i="10"/>
  <c r="K806" i="10"/>
  <c r="K805" i="10"/>
  <c r="K804" i="10"/>
  <c r="K803" i="10"/>
  <c r="K801" i="10"/>
  <c r="K800" i="10"/>
  <c r="K799" i="10"/>
  <c r="K798" i="10"/>
  <c r="K797" i="10"/>
  <c r="K796" i="10"/>
  <c r="K795" i="10"/>
  <c r="K794" i="10"/>
  <c r="K793" i="10"/>
  <c r="K792" i="10"/>
  <c r="K791" i="10"/>
  <c r="K790" i="10"/>
  <c r="K789" i="10"/>
  <c r="K788" i="10"/>
  <c r="K787" i="10"/>
  <c r="K786" i="10"/>
  <c r="K785" i="10"/>
  <c r="K784" i="10"/>
  <c r="K783" i="10"/>
  <c r="K782" i="10"/>
  <c r="K781" i="10"/>
  <c r="K780" i="10"/>
  <c r="K779" i="10"/>
  <c r="K778" i="10"/>
  <c r="K777" i="10"/>
  <c r="K776" i="10"/>
  <c r="K775" i="10"/>
  <c r="K774" i="10"/>
  <c r="K773" i="10"/>
  <c r="K772" i="10"/>
  <c r="K771" i="10"/>
  <c r="K770" i="10"/>
  <c r="K769" i="10"/>
  <c r="K768" i="10"/>
  <c r="K767" i="10"/>
  <c r="K766" i="10"/>
  <c r="K765" i="10"/>
  <c r="K764" i="10"/>
  <c r="K763" i="10"/>
  <c r="K762" i="10"/>
  <c r="K761" i="10"/>
  <c r="K760" i="10"/>
  <c r="K759" i="10"/>
  <c r="K758" i="10"/>
  <c r="K757" i="10"/>
  <c r="K756" i="10"/>
  <c r="K755" i="10"/>
  <c r="K754" i="10"/>
  <c r="K753" i="10"/>
  <c r="K752" i="10"/>
  <c r="K751" i="10"/>
  <c r="K750" i="10"/>
  <c r="K749" i="10"/>
  <c r="K748" i="10"/>
  <c r="K747" i="10"/>
  <c r="K746" i="10"/>
  <c r="K745" i="10"/>
  <c r="K743" i="10"/>
  <c r="K742" i="10"/>
  <c r="K741" i="10"/>
  <c r="I712" i="10"/>
  <c r="I711" i="10"/>
  <c r="I710" i="10"/>
  <c r="I709" i="10"/>
  <c r="I708" i="10"/>
  <c r="I707" i="10"/>
  <c r="I706" i="10"/>
  <c r="I705" i="10"/>
  <c r="I704" i="10"/>
  <c r="I703" i="10"/>
  <c r="I702" i="10"/>
  <c r="I701" i="10"/>
  <c r="I700" i="10"/>
  <c r="I699" i="10"/>
  <c r="I698" i="10"/>
  <c r="I697" i="10"/>
  <c r="I696" i="10"/>
  <c r="I695" i="10"/>
  <c r="I694" i="10"/>
  <c r="I693" i="10"/>
  <c r="I692" i="10"/>
  <c r="I691" i="10"/>
  <c r="I690" i="10"/>
  <c r="I689" i="10"/>
  <c r="I688" i="10"/>
  <c r="I687" i="10"/>
  <c r="I686" i="10"/>
  <c r="I685" i="10"/>
  <c r="I684" i="10"/>
  <c r="I683" i="10"/>
  <c r="I682" i="10"/>
  <c r="I681" i="10"/>
  <c r="I680" i="10"/>
  <c r="I679" i="10"/>
  <c r="I678" i="10"/>
  <c r="I677" i="10"/>
  <c r="I676" i="10"/>
  <c r="I675" i="10"/>
  <c r="I674" i="10"/>
  <c r="I673" i="10"/>
  <c r="I672" i="10"/>
  <c r="I671" i="10"/>
  <c r="I670" i="10"/>
  <c r="I669" i="10"/>
  <c r="I668" i="10"/>
  <c r="I667" i="10"/>
  <c r="E673" i="10"/>
  <c r="D673" i="10"/>
  <c r="D901" i="10"/>
  <c r="D900" i="10"/>
  <c r="D899" i="10"/>
  <c r="D897" i="10"/>
  <c r="D894" i="10"/>
  <c r="D893" i="10"/>
  <c r="D892" i="10"/>
  <c r="D890" i="10"/>
  <c r="D889" i="10"/>
  <c r="D888" i="10"/>
  <c r="D853" i="10"/>
  <c r="D850" i="10"/>
  <c r="D848" i="10"/>
  <c r="D847" i="10"/>
  <c r="D846" i="10"/>
  <c r="D845" i="10"/>
  <c r="D843" i="10"/>
  <c r="D842" i="10"/>
  <c r="D841" i="10"/>
  <c r="D840" i="10"/>
  <c r="D839" i="10"/>
  <c r="D838" i="10"/>
  <c r="D837" i="10"/>
  <c r="D834" i="10"/>
  <c r="D833" i="10"/>
  <c r="D832" i="10"/>
  <c r="D831" i="10"/>
  <c r="D829" i="10"/>
  <c r="D827" i="10"/>
  <c r="D825" i="10"/>
  <c r="D824" i="10"/>
  <c r="D823" i="10"/>
  <c r="D821" i="10"/>
  <c r="D820" i="10"/>
  <c r="D819" i="10"/>
  <c r="D818" i="10"/>
  <c r="D817" i="10"/>
  <c r="D816" i="10"/>
  <c r="D815" i="10"/>
  <c r="D814" i="10"/>
  <c r="D813" i="10"/>
  <c r="D812" i="10"/>
  <c r="D811" i="10"/>
  <c r="D810" i="10"/>
  <c r="D809" i="10"/>
  <c r="D808" i="10"/>
  <c r="D807" i="10"/>
  <c r="D805" i="10"/>
  <c r="D804" i="10"/>
  <c r="D801" i="10"/>
  <c r="D800" i="10"/>
  <c r="D797" i="10"/>
  <c r="D796" i="10"/>
  <c r="D795" i="10"/>
  <c r="D794" i="10"/>
  <c r="D793" i="10"/>
  <c r="D788" i="10"/>
  <c r="D787" i="10"/>
  <c r="D786" i="10"/>
  <c r="D785" i="10"/>
  <c r="D784" i="10"/>
  <c r="D783" i="10"/>
  <c r="D782" i="10"/>
  <c r="D781" i="10"/>
  <c r="D777" i="10"/>
  <c r="D776" i="10"/>
  <c r="D775" i="10"/>
  <c r="D774" i="10"/>
  <c r="D771" i="10"/>
  <c r="D770" i="10"/>
  <c r="D769" i="10"/>
  <c r="D768" i="10"/>
  <c r="D766" i="10"/>
  <c r="D765" i="10"/>
  <c r="D764" i="10"/>
  <c r="D762" i="10"/>
  <c r="D760" i="10"/>
  <c r="D759" i="10"/>
  <c r="D758" i="10"/>
  <c r="D755" i="10"/>
  <c r="D754" i="10"/>
  <c r="D750" i="10"/>
  <c r="D749" i="10"/>
  <c r="D748" i="10"/>
  <c r="D746" i="10"/>
  <c r="D745" i="10"/>
  <c r="D742" i="10"/>
  <c r="D740" i="10"/>
  <c r="J740" i="10" s="1"/>
  <c r="D739" i="10"/>
  <c r="J739" i="10" s="1"/>
  <c r="D734" i="10"/>
  <c r="J734" i="10" s="1"/>
  <c r="D733" i="10"/>
  <c r="J733" i="10" s="1"/>
  <c r="D731" i="10"/>
  <c r="J731" i="10" s="1"/>
  <c r="D730" i="10"/>
  <c r="J730" i="10" s="1"/>
  <c r="D713" i="10"/>
  <c r="D712" i="10"/>
  <c r="D711" i="10"/>
  <c r="D709" i="10"/>
  <c r="D707" i="10"/>
  <c r="D706" i="10"/>
  <c r="D703" i="10"/>
  <c r="D702" i="10"/>
  <c r="D701" i="10"/>
  <c r="D700" i="10"/>
  <c r="D699" i="10"/>
  <c r="D697" i="10"/>
  <c r="D696" i="10"/>
  <c r="D695" i="10"/>
  <c r="D693" i="10"/>
  <c r="D692" i="10"/>
  <c r="D690" i="10"/>
  <c r="D689" i="10"/>
  <c r="D688" i="10"/>
  <c r="D687" i="10"/>
  <c r="D686" i="10"/>
  <c r="D684" i="10"/>
  <c r="D683" i="10"/>
  <c r="D682" i="10"/>
  <c r="D681" i="10"/>
  <c r="D680" i="10"/>
  <c r="D678" i="10"/>
  <c r="D677" i="10"/>
  <c r="D676" i="10"/>
  <c r="D675" i="10"/>
  <c r="D674" i="10"/>
  <c r="D672" i="10"/>
  <c r="D670" i="10"/>
  <c r="D668" i="10"/>
  <c r="D667" i="10"/>
  <c r="J742" i="10" l="1"/>
  <c r="J745" i="10"/>
  <c r="J749" i="10"/>
  <c r="J765" i="10"/>
  <c r="J769" i="10"/>
  <c r="J777" i="10"/>
  <c r="J781" i="10"/>
  <c r="J788" i="10"/>
  <c r="J794" i="10"/>
  <c r="J797" i="10"/>
  <c r="J801" i="10"/>
  <c r="J804" i="10"/>
  <c r="J808" i="10"/>
  <c r="J812" i="10"/>
  <c r="J816" i="10"/>
  <c r="J820" i="10"/>
  <c r="J824" i="10"/>
  <c r="J832" i="10"/>
  <c r="J746" i="10"/>
  <c r="J750" i="10"/>
  <c r="J754" i="10"/>
  <c r="J758" i="10"/>
  <c r="J762" i="10"/>
  <c r="J766" i="10"/>
  <c r="J770" i="10"/>
  <c r="J774" i="10"/>
  <c r="J782" i="10"/>
  <c r="J785" i="10"/>
  <c r="J793" i="10"/>
  <c r="J795" i="10"/>
  <c r="J805" i="10"/>
  <c r="J809" i="10"/>
  <c r="J813" i="10"/>
  <c r="J817" i="10"/>
  <c r="J821" i="10"/>
  <c r="J825" i="10"/>
  <c r="J829" i="10"/>
  <c r="J833" i="10"/>
  <c r="J755" i="10"/>
  <c r="J759" i="10"/>
  <c r="J767" i="10"/>
  <c r="J771" i="10"/>
  <c r="J775" i="10"/>
  <c r="J783" i="10"/>
  <c r="J786" i="10"/>
  <c r="J810" i="10"/>
  <c r="J814" i="10"/>
  <c r="J818" i="10"/>
  <c r="J834" i="10"/>
  <c r="J748" i="10"/>
  <c r="J760" i="10"/>
  <c r="J764" i="10"/>
  <c r="J768" i="10"/>
  <c r="J776" i="10"/>
  <c r="J784" i="10"/>
  <c r="J787" i="10"/>
  <c r="J796" i="10"/>
  <c r="J800" i="10"/>
  <c r="J803" i="10"/>
  <c r="J807" i="10"/>
  <c r="J811" i="10"/>
  <c r="J815" i="10"/>
  <c r="J819" i="10"/>
  <c r="J823" i="10"/>
  <c r="J827" i="10"/>
  <c r="J831" i="10"/>
  <c r="D629" i="10"/>
  <c r="E661" i="10"/>
  <c r="E664" i="10"/>
  <c r="E665" i="10"/>
  <c r="E666" i="10"/>
  <c r="D657" i="10"/>
  <c r="E630" i="10"/>
  <c r="E634" i="10"/>
  <c r="C613" i="10"/>
  <c r="C646" i="10"/>
  <c r="D653" i="10"/>
  <c r="D648" i="10"/>
  <c r="D851" i="10"/>
  <c r="D643" i="10"/>
  <c r="E627" i="10"/>
  <c r="D625" i="10"/>
  <c r="D624" i="10"/>
  <c r="D617" i="10"/>
  <c r="D618" i="10"/>
  <c r="D619" i="10"/>
  <c r="D620" i="10"/>
  <c r="D622" i="10"/>
  <c r="D623" i="10"/>
  <c r="D626" i="10"/>
  <c r="D627" i="10"/>
  <c r="D628" i="10"/>
  <c r="D630" i="10"/>
  <c r="D632" i="10"/>
  <c r="D633" i="10"/>
  <c r="D635" i="10"/>
  <c r="D636" i="10"/>
  <c r="D637" i="10"/>
  <c r="D638" i="10"/>
  <c r="D639" i="10"/>
  <c r="D640" i="10"/>
  <c r="D641" i="10"/>
  <c r="D646" i="10"/>
  <c r="D647" i="10"/>
  <c r="D649" i="10"/>
  <c r="D652" i="10"/>
  <c r="D655" i="10"/>
  <c r="D656" i="10"/>
  <c r="D658" i="10"/>
  <c r="D659" i="10"/>
  <c r="D660" i="10"/>
  <c r="D662" i="10"/>
  <c r="D663" i="10"/>
  <c r="D664" i="10"/>
  <c r="D666" i="10"/>
  <c r="D644" i="10" l="1"/>
  <c r="E655" i="10"/>
  <c r="E656" i="10"/>
  <c r="E657" i="10"/>
  <c r="E650" i="10"/>
  <c r="E652" i="10"/>
  <c r="E653" i="10"/>
  <c r="E645" i="10"/>
  <c r="E646" i="10"/>
  <c r="E648" i="10"/>
  <c r="E640" i="10"/>
  <c r="E641" i="10"/>
  <c r="E642" i="10"/>
  <c r="E643" i="10"/>
  <c r="E631" i="10"/>
  <c r="E632" i="10"/>
  <c r="E625" i="10"/>
  <c r="E617" i="10"/>
  <c r="E621" i="10"/>
  <c r="E610" i="10"/>
  <c r="E611" i="10"/>
  <c r="E612" i="10"/>
  <c r="D612" i="10"/>
  <c r="E614" i="10"/>
  <c r="E605" i="10"/>
  <c r="C609" i="10"/>
  <c r="E601" i="10"/>
  <c r="C604" i="10"/>
  <c r="C600" i="10"/>
  <c r="E597" i="10"/>
  <c r="I602" i="10"/>
  <c r="I603" i="10"/>
  <c r="I604" i="10"/>
  <c r="I605" i="10"/>
  <c r="I606" i="10"/>
  <c r="I607" i="10"/>
  <c r="I608" i="10"/>
  <c r="I609" i="10"/>
  <c r="I610" i="10"/>
  <c r="I611" i="10"/>
  <c r="I612" i="10"/>
  <c r="I613" i="10"/>
  <c r="I614" i="10"/>
  <c r="I615" i="10"/>
  <c r="I616" i="10"/>
  <c r="I617" i="10"/>
  <c r="I618" i="10"/>
  <c r="I619" i="10"/>
  <c r="I620" i="10"/>
  <c r="I621" i="10"/>
  <c r="I622" i="10"/>
  <c r="I623" i="10"/>
  <c r="I624" i="10"/>
  <c r="I625" i="10"/>
  <c r="I626" i="10"/>
  <c r="I627" i="10"/>
  <c r="I628" i="10"/>
  <c r="I629" i="10"/>
  <c r="I630" i="10"/>
  <c r="I631" i="10"/>
  <c r="I632" i="10"/>
  <c r="I633" i="10"/>
  <c r="I634" i="10"/>
  <c r="I635" i="10"/>
  <c r="I636" i="10"/>
  <c r="I637" i="10"/>
  <c r="I638" i="10"/>
  <c r="I639" i="10"/>
  <c r="I640" i="10"/>
  <c r="I641" i="10"/>
  <c r="I642" i="10"/>
  <c r="I643" i="10"/>
  <c r="I644" i="10"/>
  <c r="I645" i="10"/>
  <c r="I646" i="10"/>
  <c r="I647" i="10"/>
  <c r="I648" i="10"/>
  <c r="I649" i="10"/>
  <c r="I650" i="10"/>
  <c r="I651" i="10"/>
  <c r="I652" i="10"/>
  <c r="I653" i="10"/>
  <c r="I654" i="10"/>
  <c r="I655" i="10"/>
  <c r="I656" i="10"/>
  <c r="I657" i="10"/>
  <c r="I658" i="10"/>
  <c r="I659" i="10"/>
  <c r="I660" i="10"/>
  <c r="I661" i="10"/>
  <c r="I662" i="10"/>
  <c r="I663" i="10"/>
  <c r="I664" i="10"/>
  <c r="I665" i="10"/>
  <c r="I666" i="10"/>
  <c r="E595" i="10"/>
  <c r="E594" i="10"/>
  <c r="C579" i="10" l="1"/>
  <c r="E585" i="10"/>
  <c r="E586" i="10"/>
  <c r="E589" i="10"/>
  <c r="E574" i="10"/>
  <c r="E576" i="10"/>
  <c r="E578" i="10"/>
  <c r="E580" i="10"/>
  <c r="E581" i="10"/>
  <c r="E582" i="10"/>
  <c r="I562" i="10"/>
  <c r="E557" i="10"/>
  <c r="E558" i="10"/>
  <c r="E559" i="10"/>
  <c r="E560" i="10"/>
  <c r="I574" i="10"/>
  <c r="I558" i="10"/>
  <c r="I559" i="10"/>
  <c r="I560" i="10"/>
  <c r="I561" i="10"/>
  <c r="I563" i="10"/>
  <c r="I564" i="10"/>
  <c r="I565" i="10"/>
  <c r="I566" i="10"/>
  <c r="I567" i="10"/>
  <c r="I568" i="10"/>
  <c r="I569" i="10"/>
  <c r="I570" i="10"/>
  <c r="I571" i="10"/>
  <c r="I572" i="10"/>
  <c r="I573" i="10"/>
  <c r="I575" i="10"/>
  <c r="I576" i="10"/>
  <c r="I577" i="10"/>
  <c r="I578" i="10"/>
  <c r="I579" i="10"/>
  <c r="I580" i="10"/>
  <c r="E553" i="10" l="1"/>
  <c r="E546" i="10"/>
  <c r="E547" i="10"/>
  <c r="E548" i="10"/>
  <c r="E549" i="10"/>
  <c r="I551" i="10"/>
  <c r="I552" i="10"/>
  <c r="I553" i="10"/>
  <c r="I554" i="10"/>
  <c r="I555" i="10"/>
  <c r="I556" i="10"/>
  <c r="I557" i="10"/>
  <c r="I581" i="10"/>
  <c r="I582" i="10"/>
  <c r="I583" i="10"/>
  <c r="I584" i="10"/>
  <c r="I585" i="10"/>
  <c r="I586" i="10"/>
  <c r="I587" i="10"/>
  <c r="I588" i="10"/>
  <c r="I589" i="10"/>
  <c r="I590" i="10"/>
  <c r="I591" i="10"/>
  <c r="K591" i="10" s="1"/>
  <c r="I592" i="10"/>
  <c r="K592" i="10" s="1"/>
  <c r="I593" i="10"/>
  <c r="K593" i="10" s="1"/>
  <c r="I594" i="10"/>
  <c r="K594" i="10" s="1"/>
  <c r="I595" i="10"/>
  <c r="K595" i="10" s="1"/>
  <c r="I596" i="10"/>
  <c r="K596" i="10" s="1"/>
  <c r="I597" i="10"/>
  <c r="K597" i="10" s="1"/>
  <c r="I598" i="10"/>
  <c r="K598" i="10" s="1"/>
  <c r="I599" i="10"/>
  <c r="K599" i="10" s="1"/>
  <c r="I600" i="10"/>
  <c r="K600" i="10" s="1"/>
  <c r="I601" i="10"/>
  <c r="D547" i="10"/>
  <c r="D550" i="10"/>
  <c r="D551" i="10"/>
  <c r="D552" i="10"/>
  <c r="D553" i="10"/>
  <c r="D554" i="10"/>
  <c r="D555" i="10"/>
  <c r="D556" i="10"/>
  <c r="D557" i="10"/>
  <c r="D559" i="10"/>
  <c r="D560" i="10"/>
  <c r="D561" i="10"/>
  <c r="D563" i="10"/>
  <c r="D565" i="10"/>
  <c r="D566" i="10"/>
  <c r="D567" i="10"/>
  <c r="D569" i="10"/>
  <c r="D570" i="10"/>
  <c r="D571" i="10"/>
  <c r="D572" i="10"/>
  <c r="D573" i="10"/>
  <c r="D574" i="10"/>
  <c r="D576" i="10"/>
  <c r="D577" i="10"/>
  <c r="D579" i="10"/>
  <c r="D580" i="10"/>
  <c r="D581" i="10"/>
  <c r="D583" i="10"/>
  <c r="D584" i="10"/>
  <c r="D586" i="10"/>
  <c r="D587" i="10"/>
  <c r="D588" i="10"/>
  <c r="D589" i="10"/>
  <c r="D590" i="10"/>
  <c r="D591" i="10"/>
  <c r="D592" i="10"/>
  <c r="D593" i="10"/>
  <c r="D594" i="10"/>
  <c r="D596" i="10"/>
  <c r="D598" i="10"/>
  <c r="D599" i="10"/>
  <c r="D600" i="10"/>
  <c r="D602" i="10"/>
  <c r="D603" i="10"/>
  <c r="D604" i="10"/>
  <c r="D606" i="10"/>
  <c r="D607" i="10"/>
  <c r="D608" i="10"/>
  <c r="D609" i="10"/>
  <c r="D611" i="10"/>
  <c r="D613" i="10"/>
  <c r="D614" i="10"/>
  <c r="D615" i="10"/>
  <c r="D616" i="10"/>
  <c r="D545" i="10"/>
  <c r="E541" i="10"/>
  <c r="E542" i="10"/>
  <c r="E543" i="10"/>
  <c r="E544" i="10"/>
  <c r="E532" i="10"/>
  <c r="E533" i="10"/>
  <c r="E534" i="10"/>
  <c r="E535" i="10"/>
  <c r="E536" i="10"/>
  <c r="E537" i="10"/>
  <c r="E538" i="10"/>
  <c r="E539" i="10"/>
  <c r="E485" i="10" l="1"/>
  <c r="C485" i="10"/>
  <c r="I550" i="10"/>
  <c r="I549" i="10"/>
  <c r="I548" i="10"/>
  <c r="I547" i="10"/>
  <c r="I546" i="10"/>
  <c r="I545" i="10"/>
  <c r="I544" i="10"/>
  <c r="I543" i="10"/>
  <c r="I542" i="10"/>
  <c r="I541" i="10"/>
  <c r="I540" i="10"/>
  <c r="I539" i="10"/>
  <c r="I538" i="10"/>
  <c r="I531" i="10"/>
  <c r="I530" i="10"/>
  <c r="I529" i="10"/>
  <c r="I528" i="10"/>
  <c r="I527" i="10"/>
  <c r="I526" i="10"/>
  <c r="I525" i="10"/>
  <c r="I524" i="10"/>
  <c r="I523" i="10"/>
  <c r="I522" i="10"/>
  <c r="I521" i="10"/>
  <c r="I520" i="10"/>
  <c r="I519" i="10"/>
  <c r="I518" i="10"/>
  <c r="I517" i="10"/>
  <c r="I516" i="10"/>
  <c r="I515" i="10"/>
  <c r="I514" i="10"/>
  <c r="I513" i="10"/>
  <c r="I512" i="10"/>
  <c r="I511" i="10"/>
  <c r="I510" i="10"/>
  <c r="I509" i="10"/>
  <c r="I508" i="10"/>
  <c r="I507" i="10"/>
  <c r="I506" i="10"/>
  <c r="I505" i="10"/>
  <c r="I504" i="10"/>
  <c r="I503" i="10"/>
  <c r="I502" i="10"/>
  <c r="I501" i="10"/>
  <c r="I500" i="10"/>
  <c r="I499" i="10"/>
  <c r="I498" i="10"/>
  <c r="I497" i="10"/>
  <c r="I496" i="10"/>
  <c r="I495" i="10"/>
  <c r="I494" i="10"/>
  <c r="I493" i="10"/>
  <c r="I492" i="10"/>
  <c r="I491" i="10"/>
  <c r="I490" i="10"/>
  <c r="I489" i="10"/>
  <c r="I488" i="10"/>
  <c r="I487" i="10"/>
  <c r="I486" i="10"/>
  <c r="I485" i="10"/>
  <c r="I484" i="10"/>
  <c r="I483" i="10"/>
  <c r="D484" i="10"/>
  <c r="D485" i="10"/>
  <c r="D486" i="10"/>
  <c r="D487" i="10"/>
  <c r="D488" i="10"/>
  <c r="D489" i="10"/>
  <c r="D494" i="10"/>
  <c r="D496" i="10"/>
  <c r="D497" i="10"/>
  <c r="D498" i="10"/>
  <c r="D499" i="10"/>
  <c r="D500" i="10"/>
  <c r="D502" i="10"/>
  <c r="D503" i="10"/>
  <c r="D504" i="10"/>
  <c r="D507" i="10"/>
  <c r="D508" i="10"/>
  <c r="D510" i="10"/>
  <c r="D511" i="10"/>
  <c r="D512" i="10"/>
  <c r="D515" i="10"/>
  <c r="D516" i="10"/>
  <c r="D521" i="10"/>
  <c r="D522" i="10"/>
  <c r="D524" i="10"/>
  <c r="D525" i="10"/>
  <c r="D526" i="10"/>
  <c r="D528" i="10"/>
  <c r="D529" i="10"/>
  <c r="D530" i="10"/>
  <c r="D531" i="10"/>
  <c r="D532" i="10"/>
  <c r="D533" i="10"/>
  <c r="D534" i="10"/>
  <c r="D535" i="10"/>
  <c r="D536" i="10"/>
  <c r="D537" i="10"/>
  <c r="D539" i="10"/>
  <c r="D540" i="10"/>
  <c r="D542" i="10"/>
  <c r="D543" i="10"/>
  <c r="D544" i="10"/>
  <c r="D694" i="10"/>
  <c r="D517" i="10"/>
  <c r="D1051" i="10"/>
  <c r="D495" i="10"/>
  <c r="D519" i="10"/>
  <c r="D802" i="10"/>
  <c r="J802" i="10" s="1"/>
  <c r="D987" i="10"/>
  <c r="D980" i="10"/>
  <c r="D954" i="10"/>
  <c r="D930" i="10"/>
  <c r="D1130" i="10"/>
  <c r="D1129" i="10"/>
  <c r="D1330" i="10"/>
  <c r="D1277" i="10"/>
  <c r="D737" i="10"/>
  <c r="J737" i="10" s="1"/>
  <c r="D917" i="10"/>
  <c r="D520" i="10"/>
  <c r="D830" i="10"/>
  <c r="J830" i="10" s="1"/>
  <c r="D562" i="10"/>
  <c r="D708" i="10"/>
  <c r="D501" i="10"/>
  <c r="D1169" i="10"/>
  <c r="D1160" i="10"/>
  <c r="D1269" i="10"/>
  <c r="D1268" i="10"/>
  <c r="D1159" i="10"/>
  <c r="D1167" i="10"/>
  <c r="D1196" i="10"/>
  <c r="D1175" i="10"/>
  <c r="D891" i="10"/>
  <c r="D1249" i="10"/>
  <c r="D1248" i="10"/>
  <c r="D1236" i="10"/>
  <c r="D1220" i="10"/>
  <c r="D1219" i="10"/>
  <c r="D883" i="10"/>
  <c r="D882" i="10"/>
  <c r="D880" i="10"/>
  <c r="D879" i="10"/>
  <c r="D877" i="10"/>
  <c r="D704" i="10"/>
  <c r="D661" i="10"/>
  <c r="D1242" i="10"/>
  <c r="D761" i="10"/>
  <c r="J761" i="10" s="1"/>
  <c r="D1237" i="10"/>
  <c r="D1247" i="10"/>
  <c r="D518" i="10" l="1"/>
  <c r="D977" i="10"/>
  <c r="D970" i="10"/>
  <c r="D1218" i="10"/>
  <c r="D1227" i="10"/>
  <c r="J1249" i="10"/>
  <c r="L1249" i="10" s="1"/>
  <c r="D1180" i="10"/>
  <c r="D1186" i="10"/>
  <c r="J1159" i="10"/>
  <c r="L1159" i="10" s="1"/>
  <c r="J1242" i="10"/>
  <c r="L1242" i="10" s="1"/>
  <c r="J1219" i="10"/>
  <c r="L1219" i="10" s="1"/>
  <c r="J1248" i="10"/>
  <c r="L1248" i="10" s="1"/>
  <c r="J1167" i="10"/>
  <c r="L1167" i="10" s="1"/>
  <c r="J1237" i="10"/>
  <c r="L1237" i="10" s="1"/>
  <c r="J1196" i="10"/>
  <c r="L1196" i="10" s="1"/>
  <c r="J1160" i="10"/>
  <c r="L1160" i="10" s="1"/>
  <c r="D509" i="10"/>
  <c r="D491" i="10"/>
  <c r="J1220" i="10"/>
  <c r="L1220" i="10" s="1"/>
  <c r="J1268" i="10"/>
  <c r="L1268" i="10" s="1"/>
  <c r="J1247" i="10"/>
  <c r="L1247" i="10" s="1"/>
  <c r="J1175" i="10"/>
  <c r="L1175" i="10" s="1"/>
  <c r="J1269" i="10"/>
  <c r="L1269" i="10" s="1"/>
  <c r="J1330" i="10"/>
  <c r="L1330" i="10" s="1"/>
  <c r="J930" i="10"/>
  <c r="L930" i="10" s="1"/>
  <c r="J987" i="10"/>
  <c r="L987" i="10" s="1"/>
  <c r="D506" i="10"/>
  <c r="D1030" i="10"/>
  <c r="D1068" i="10"/>
  <c r="D957" i="10"/>
  <c r="D925" i="10"/>
  <c r="D936" i="10"/>
  <c r="D908" i="10"/>
  <c r="D931" i="10"/>
  <c r="D942" i="10"/>
  <c r="D1283" i="10"/>
  <c r="J1277" i="10"/>
  <c r="L1277" i="10" s="1"/>
  <c r="D753" i="10"/>
  <c r="J753" i="10" s="1"/>
  <c r="D1117" i="10"/>
  <c r="J954" i="10"/>
  <c r="L954" i="10" s="1"/>
  <c r="D1019" i="10"/>
  <c r="D1029" i="10"/>
  <c r="J917" i="10"/>
  <c r="L917" i="10" s="1"/>
  <c r="J1129" i="10"/>
  <c r="L1129" i="10" s="1"/>
  <c r="D1241" i="10"/>
  <c r="D1233" i="10"/>
  <c r="J1236" i="10"/>
  <c r="L1236" i="10" s="1"/>
  <c r="D513" i="10"/>
  <c r="D1020" i="10"/>
  <c r="D990" i="10"/>
  <c r="J1169" i="10"/>
  <c r="L1169" i="10" s="1"/>
  <c r="J980" i="10"/>
  <c r="L980" i="10" s="1"/>
  <c r="D505" i="10"/>
  <c r="D1208" i="10"/>
  <c r="D1257" i="10"/>
  <c r="D1022" i="10"/>
  <c r="D907" i="10"/>
  <c r="D1012" i="10"/>
  <c r="D916" i="10"/>
  <c r="D1006" i="10"/>
  <c r="D514" i="10"/>
  <c r="J1130" i="10"/>
  <c r="L1130" i="10" s="1"/>
  <c r="J1051" i="10"/>
  <c r="L1051" i="10" s="1"/>
  <c r="D527" i="10"/>
  <c r="D1008" i="10"/>
  <c r="D538" i="10"/>
  <c r="D492" i="10"/>
  <c r="D483" i="10"/>
  <c r="D490" i="10"/>
  <c r="D523" i="10"/>
  <c r="D493" i="10"/>
  <c r="D860" i="10"/>
  <c r="D866" i="10"/>
  <c r="D852" i="10"/>
  <c r="D844" i="10"/>
  <c r="D585" i="10"/>
  <c r="D601" i="10"/>
  <c r="D605" i="10"/>
  <c r="D578" i="10"/>
  <c r="D610" i="10"/>
  <c r="D595" i="10"/>
  <c r="D705" i="10"/>
  <c r="D778" i="10"/>
  <c r="J778" i="10" s="1"/>
  <c r="D772" i="10"/>
  <c r="J772" i="10" s="1"/>
  <c r="D763" i="10"/>
  <c r="J763" i="10" s="1"/>
  <c r="D710" i="10"/>
  <c r="D541" i="10"/>
  <c r="D546" i="10"/>
  <c r="D876" i="10"/>
  <c r="J877" i="10"/>
  <c r="L877" i="10" s="1"/>
  <c r="D878" i="10"/>
  <c r="D751" i="10"/>
  <c r="J751" i="10" s="1"/>
  <c r="J879" i="10"/>
  <c r="L879" i="10" s="1"/>
  <c r="J880" i="10"/>
  <c r="L880" i="10" s="1"/>
  <c r="D881" i="10"/>
  <c r="J882" i="10"/>
  <c r="L882" i="10" s="1"/>
  <c r="J883" i="10"/>
  <c r="L883" i="10" s="1"/>
  <c r="D884" i="10"/>
  <c r="D885" i="10"/>
  <c r="D886" i="10"/>
  <c r="D898" i="10"/>
  <c r="D780" i="10"/>
  <c r="J780" i="10" s="1"/>
  <c r="D806" i="10"/>
  <c r="J806" i="10" s="1"/>
  <c r="D741" i="10"/>
  <c r="J741" i="10" s="1"/>
  <c r="D736" i="10"/>
  <c r="J736" i="10" s="1"/>
  <c r="D564" i="10"/>
  <c r="D568" i="10"/>
  <c r="D735" i="10"/>
  <c r="J735" i="10" s="1"/>
  <c r="D575" i="10"/>
  <c r="D757" i="10"/>
  <c r="J757" i="10" s="1"/>
  <c r="D828" i="10"/>
  <c r="J828" i="10" s="1"/>
  <c r="D779" i="10"/>
  <c r="J779" i="10" s="1"/>
  <c r="D789" i="10"/>
  <c r="J789" i="10" s="1"/>
  <c r="D773" i="10"/>
  <c r="J773" i="10" s="1"/>
  <c r="D650" i="10"/>
  <c r="D798" i="10"/>
  <c r="J798" i="10" s="1"/>
  <c r="D790" i="10"/>
  <c r="J790" i="10" s="1"/>
  <c r="D849" i="10"/>
  <c r="D651" i="10"/>
  <c r="D654" i="10"/>
  <c r="D791" i="10"/>
  <c r="J791" i="10" s="1"/>
  <c r="D645" i="10"/>
  <c r="D799" i="10"/>
  <c r="J799" i="10" s="1"/>
  <c r="D792" i="10"/>
  <c r="J792" i="10" s="1"/>
  <c r="D558" i="10"/>
  <c r="D582" i="10"/>
  <c r="D732" i="10"/>
  <c r="J732" i="10" s="1"/>
  <c r="D822" i="10"/>
  <c r="J822" i="10" s="1"/>
  <c r="D854" i="10"/>
  <c r="D743" i="10"/>
  <c r="J743" i="10" s="1"/>
  <c r="D738" i="10"/>
  <c r="J738" i="10" s="1"/>
  <c r="D835" i="10"/>
  <c r="D747" i="10"/>
  <c r="J747" i="10" s="1"/>
  <c r="D752" i="10"/>
  <c r="J752" i="10" s="1"/>
  <c r="D631" i="10"/>
  <c r="D856" i="10"/>
  <c r="D671" i="10"/>
  <c r="D621" i="10"/>
  <c r="D665" i="10"/>
  <c r="D549" i="10"/>
  <c r="D902" i="10"/>
  <c r="D756" i="10"/>
  <c r="J756" i="10" s="1"/>
  <c r="D698" i="10"/>
  <c r="D597" i="10"/>
  <c r="D548" i="10"/>
  <c r="D826" i="10"/>
  <c r="J826" i="10" s="1"/>
  <c r="D634" i="10"/>
  <c r="J531" i="10"/>
  <c r="K531" i="10"/>
  <c r="K530" i="10"/>
  <c r="J530" i="10"/>
  <c r="K535" i="10"/>
  <c r="J535" i="10"/>
  <c r="J532" i="10"/>
  <c r="K532" i="10"/>
  <c r="J536" i="10"/>
  <c r="K536" i="10"/>
  <c r="K533" i="10"/>
  <c r="J533" i="10"/>
  <c r="K537" i="10"/>
  <c r="J537" i="10"/>
  <c r="J534" i="10"/>
  <c r="K534" i="10"/>
  <c r="J1006" i="10" l="1"/>
  <c r="L1006" i="10" s="1"/>
  <c r="J916" i="10"/>
  <c r="L916" i="10" s="1"/>
  <c r="J1029" i="10"/>
  <c r="L1029" i="10" s="1"/>
  <c r="J936" i="10"/>
  <c r="L936" i="10" s="1"/>
  <c r="J977" i="10"/>
  <c r="L977" i="10" s="1"/>
  <c r="J908" i="10"/>
  <c r="L908" i="10" s="1"/>
  <c r="J970" i="10"/>
  <c r="L970" i="10" s="1"/>
  <c r="J1019" i="10"/>
  <c r="L1019" i="10" s="1"/>
  <c r="J925" i="10"/>
  <c r="L925" i="10" s="1"/>
  <c r="J907" i="10"/>
  <c r="L907" i="10" s="1"/>
  <c r="J990" i="10"/>
  <c r="L990" i="10" s="1"/>
  <c r="J1233" i="10"/>
  <c r="L1233" i="10" s="1"/>
  <c r="J1283" i="10"/>
  <c r="L1283" i="10" s="1"/>
  <c r="J957" i="10"/>
  <c r="L957" i="10" s="1"/>
  <c r="J1227" i="10"/>
  <c r="L1227" i="10" s="1"/>
  <c r="J1180" i="10"/>
  <c r="L1180" i="10" s="1"/>
  <c r="J1012" i="10"/>
  <c r="L1012" i="10" s="1"/>
  <c r="J1117" i="10"/>
  <c r="L1117" i="10" s="1"/>
  <c r="J1022" i="10"/>
  <c r="L1022" i="10" s="1"/>
  <c r="J1020" i="10"/>
  <c r="L1020" i="10" s="1"/>
  <c r="J1241" i="10"/>
  <c r="L1241" i="10" s="1"/>
  <c r="J942" i="10"/>
  <c r="L942" i="10" s="1"/>
  <c r="J1068" i="10"/>
  <c r="L1068" i="10" s="1"/>
  <c r="J1218" i="10"/>
  <c r="L1218" i="10" s="1"/>
  <c r="J1208" i="10"/>
  <c r="L1208" i="10" s="1"/>
  <c r="J1008" i="10"/>
  <c r="L1008" i="10" s="1"/>
  <c r="J1257" i="10"/>
  <c r="L1257" i="10" s="1"/>
  <c r="J931" i="10"/>
  <c r="L931" i="10" s="1"/>
  <c r="J1030" i="10"/>
  <c r="L1030" i="10" s="1"/>
  <c r="J1186" i="10"/>
  <c r="L1186" i="10" s="1"/>
  <c r="J856" i="10"/>
  <c r="L856" i="10" s="1"/>
  <c r="J886" i="10"/>
  <c r="L886" i="10" s="1"/>
  <c r="J885" i="10"/>
  <c r="L885" i="10" s="1"/>
  <c r="J884" i="10"/>
  <c r="L884" i="10" s="1"/>
  <c r="J881" i="10"/>
  <c r="L881" i="10" s="1"/>
  <c r="J878" i="10"/>
  <c r="L878" i="10" s="1"/>
  <c r="J876" i="10"/>
  <c r="L876" i="10" s="1"/>
  <c r="J866" i="10"/>
  <c r="L866" i="10" s="1"/>
  <c r="J860" i="10"/>
  <c r="L860" i="10" s="1"/>
  <c r="C251" i="10"/>
  <c r="C476" i="10" l="1"/>
  <c r="E477" i="10"/>
  <c r="E479" i="10"/>
  <c r="C479" i="10"/>
  <c r="E481" i="10"/>
  <c r="E482" i="10"/>
  <c r="I475" i="10"/>
  <c r="I476" i="10"/>
  <c r="I477" i="10"/>
  <c r="I479" i="10"/>
  <c r="I480" i="10"/>
  <c r="I481" i="10"/>
  <c r="I482" i="10"/>
  <c r="E470" i="10"/>
  <c r="E472" i="10"/>
  <c r="I469" i="10"/>
  <c r="I470" i="10"/>
  <c r="I472" i="10"/>
  <c r="I473" i="10"/>
  <c r="I474" i="10"/>
  <c r="E474" i="10"/>
  <c r="E462" i="10"/>
  <c r="E464" i="10"/>
  <c r="E465" i="10"/>
  <c r="E458" i="10"/>
  <c r="E459" i="10"/>
  <c r="E460" i="10"/>
  <c r="E453" i="10"/>
  <c r="E454" i="10"/>
  <c r="E455" i="10"/>
  <c r="K470" i="10" l="1"/>
  <c r="K472" i="10"/>
  <c r="K474" i="10"/>
  <c r="K469" i="10"/>
  <c r="K473" i="10"/>
  <c r="K471" i="10"/>
  <c r="E450" i="10" l="1"/>
  <c r="E442" i="10"/>
  <c r="E444" i="10"/>
  <c r="E435" i="10"/>
  <c r="E439" i="10"/>
  <c r="E423" i="10"/>
  <c r="E424" i="10"/>
  <c r="I425" i="10"/>
  <c r="I426" i="10"/>
  <c r="I427" i="10"/>
  <c r="I428" i="10"/>
  <c r="I429" i="10"/>
  <c r="I430" i="10"/>
  <c r="I431" i="10"/>
  <c r="I432" i="10"/>
  <c r="I433" i="10"/>
  <c r="I434" i="10"/>
  <c r="I435" i="10"/>
  <c r="I436" i="10"/>
  <c r="I437" i="10"/>
  <c r="I438" i="10"/>
  <c r="I439" i="10"/>
  <c r="I440" i="10"/>
  <c r="I441" i="10"/>
  <c r="I442" i="10"/>
  <c r="I443" i="10"/>
  <c r="I444" i="10"/>
  <c r="I445" i="10"/>
  <c r="I446" i="10"/>
  <c r="I447" i="10"/>
  <c r="I448" i="10"/>
  <c r="I449" i="10"/>
  <c r="I450" i="10"/>
  <c r="I451" i="10"/>
  <c r="I452" i="10"/>
  <c r="I453" i="10"/>
  <c r="I454" i="10"/>
  <c r="I455" i="10"/>
  <c r="I456" i="10"/>
  <c r="I457" i="10"/>
  <c r="I458" i="10"/>
  <c r="I459" i="10"/>
  <c r="I460" i="10"/>
  <c r="I461" i="10"/>
  <c r="I462" i="10"/>
  <c r="I464" i="10"/>
  <c r="I465" i="10"/>
  <c r="I466" i="10"/>
  <c r="I467" i="10"/>
  <c r="I468" i="10"/>
  <c r="E417" i="10"/>
  <c r="E412" i="10"/>
  <c r="E416" i="10"/>
  <c r="E400" i="10" l="1"/>
  <c r="E401" i="10"/>
  <c r="E391" i="10"/>
  <c r="E393" i="10"/>
  <c r="E394" i="10"/>
  <c r="E382" i="10"/>
  <c r="E381" i="10"/>
  <c r="E383" i="10"/>
  <c r="C384" i="10"/>
  <c r="E385" i="10"/>
  <c r="E386" i="10"/>
  <c r="E387" i="10"/>
  <c r="E388" i="10"/>
  <c r="E389" i="10"/>
  <c r="E390" i="10"/>
  <c r="E372" i="10"/>
  <c r="E373" i="10"/>
  <c r="E374" i="10"/>
  <c r="E375" i="10"/>
  <c r="E376" i="10"/>
  <c r="E377" i="10"/>
  <c r="E378" i="10"/>
  <c r="E379" i="10"/>
  <c r="E380" i="10"/>
  <c r="E369" i="10"/>
  <c r="E370" i="10"/>
  <c r="E371" i="10"/>
  <c r="E357" i="10"/>
  <c r="E358" i="10"/>
  <c r="E359" i="10"/>
  <c r="E360" i="10"/>
  <c r="E361" i="10"/>
  <c r="E362" i="10"/>
  <c r="E363" i="10"/>
  <c r="E364" i="10"/>
  <c r="E366" i="10"/>
  <c r="E367" i="10"/>
  <c r="E352" i="10"/>
  <c r="E351" i="10"/>
  <c r="E353" i="10"/>
  <c r="E354" i="10"/>
  <c r="E355" i="10"/>
  <c r="E340" i="10"/>
  <c r="E341" i="10"/>
  <c r="E342" i="10"/>
  <c r="E343" i="10"/>
  <c r="E344" i="10"/>
  <c r="E345" i="10"/>
  <c r="E346" i="10"/>
  <c r="E347" i="10"/>
  <c r="E332" i="10"/>
  <c r="I332" i="10"/>
  <c r="E333" i="10"/>
  <c r="E334" i="10"/>
  <c r="E337" i="10"/>
  <c r="E338" i="10"/>
  <c r="I321" i="10"/>
  <c r="E321" i="10"/>
  <c r="I322" i="10"/>
  <c r="E322" i="10"/>
  <c r="E323" i="10"/>
  <c r="E324" i="10"/>
  <c r="E325" i="10"/>
  <c r="E326" i="10"/>
  <c r="E327" i="10"/>
  <c r="E328" i="10"/>
  <c r="E330" i="10"/>
  <c r="E331" i="10"/>
  <c r="E306" i="10"/>
  <c r="E307" i="10"/>
  <c r="E308" i="10"/>
  <c r="E311" i="10"/>
  <c r="E313" i="10"/>
  <c r="E312" i="10"/>
  <c r="E314" i="10"/>
  <c r="E315" i="10"/>
  <c r="E317" i="10"/>
  <c r="E318" i="10"/>
  <c r="E319" i="10"/>
  <c r="E320" i="10"/>
  <c r="I318" i="10"/>
  <c r="I319" i="10"/>
  <c r="I320" i="10"/>
  <c r="I299" i="10"/>
  <c r="E299" i="10"/>
  <c r="I300" i="10"/>
  <c r="E300" i="10"/>
  <c r="E303" i="10"/>
  <c r="E305" i="10"/>
  <c r="C356" i="10" l="1"/>
  <c r="E288" i="10" l="1"/>
  <c r="E289" i="10"/>
  <c r="E290" i="10"/>
  <c r="I291" i="10"/>
  <c r="C291" i="10"/>
  <c r="E292" i="10"/>
  <c r="E293" i="10"/>
  <c r="E294" i="10"/>
  <c r="E295" i="10"/>
  <c r="I282" i="10"/>
  <c r="I281" i="10"/>
  <c r="I283" i="10"/>
  <c r="E284" i="10"/>
  <c r="E285" i="10"/>
  <c r="E286" i="10"/>
  <c r="E274" i="10"/>
  <c r="E275" i="10"/>
  <c r="E276" i="10"/>
  <c r="E277" i="10"/>
  <c r="E278" i="10"/>
  <c r="E280" i="10"/>
  <c r="E267" i="10"/>
  <c r="C268" i="10"/>
  <c r="E269" i="10"/>
  <c r="E270" i="10"/>
  <c r="E271" i="10"/>
  <c r="E260" i="10"/>
  <c r="C262" i="10"/>
  <c r="E263" i="10"/>
  <c r="E264" i="10"/>
  <c r="E265" i="10"/>
  <c r="E266" i="10"/>
  <c r="E252" i="10"/>
  <c r="E253" i="10"/>
  <c r="E255" i="10"/>
  <c r="E256" i="10"/>
  <c r="E257" i="10"/>
  <c r="E258" i="10"/>
  <c r="E259" i="10"/>
  <c r="E248" i="10"/>
  <c r="E249" i="10"/>
  <c r="E250" i="10"/>
  <c r="E235" i="10"/>
  <c r="E237" i="10"/>
  <c r="E238" i="10"/>
  <c r="E239" i="10"/>
  <c r="E243" i="10"/>
  <c r="E244" i="10"/>
  <c r="E245" i="10"/>
  <c r="E228" i="10"/>
  <c r="E229" i="10"/>
  <c r="E230" i="10"/>
  <c r="E231" i="10"/>
  <c r="E232" i="10"/>
  <c r="E222" i="10"/>
  <c r="E223" i="10"/>
  <c r="E224" i="10"/>
  <c r="E225" i="10"/>
  <c r="E217" i="10"/>
  <c r="E218" i="10"/>
  <c r="E219" i="10"/>
  <c r="E220" i="10"/>
  <c r="E208" i="10"/>
  <c r="E209" i="10"/>
  <c r="E210" i="10"/>
  <c r="E212" i="10"/>
  <c r="E213" i="10"/>
  <c r="E214" i="10"/>
  <c r="E197" i="10"/>
  <c r="E198" i="10"/>
  <c r="E199" i="10"/>
  <c r="E200" i="10"/>
  <c r="E204" i="10"/>
  <c r="E207" i="10"/>
  <c r="E196" i="10" l="1"/>
  <c r="E180" i="10"/>
  <c r="E181" i="10"/>
  <c r="E182" i="10"/>
  <c r="E184" i="10"/>
  <c r="E186" i="10"/>
  <c r="E187" i="10"/>
  <c r="E188" i="10"/>
  <c r="E170" i="10"/>
  <c r="E171" i="10"/>
  <c r="E172" i="10"/>
  <c r="D117" i="10"/>
  <c r="E176" i="10"/>
  <c r="D176" i="10" l="1"/>
  <c r="E158" i="10"/>
  <c r="E159" i="10"/>
  <c r="E161" i="10"/>
  <c r="E166" i="10"/>
  <c r="E167" i="10"/>
  <c r="E168" i="10"/>
  <c r="E152" i="10"/>
  <c r="E153" i="10"/>
  <c r="E157" i="10"/>
  <c r="E148" i="10"/>
  <c r="E149" i="10"/>
  <c r="E150" i="10"/>
  <c r="E151" i="10"/>
  <c r="E143" i="10"/>
  <c r="C123" i="10" l="1"/>
  <c r="C50" i="10"/>
  <c r="C51" i="10"/>
  <c r="C67" i="10"/>
  <c r="C73" i="10"/>
  <c r="C104" i="10"/>
  <c r="E51" i="10"/>
  <c r="E50" i="10"/>
  <c r="E135" i="10"/>
  <c r="E130" i="10"/>
  <c r="D133" i="10"/>
  <c r="E120" i="10"/>
  <c r="E106" i="10"/>
  <c r="E107" i="10"/>
  <c r="E98" i="10"/>
  <c r="E97" i="10"/>
  <c r="E99" i="10"/>
  <c r="E100" i="10"/>
  <c r="E101" i="10"/>
  <c r="E78" i="10"/>
  <c r="E92" i="10"/>
  <c r="E93" i="10"/>
  <c r="D94" i="10"/>
  <c r="E72" i="10"/>
  <c r="E68" i="10"/>
  <c r="E70" i="10"/>
  <c r="E64" i="10"/>
  <c r="D65" i="10"/>
  <c r="D66" i="10"/>
  <c r="E59" i="10"/>
  <c r="C58" i="10"/>
  <c r="E58" i="10"/>
  <c r="D52" i="10"/>
  <c r="E52" i="10"/>
  <c r="E53" i="10"/>
  <c r="E47" i="10"/>
  <c r="E31" i="10"/>
  <c r="I30" i="10"/>
  <c r="I31" i="10"/>
  <c r="I32" i="10"/>
  <c r="I33" i="10"/>
  <c r="I34" i="10"/>
  <c r="I35" i="10"/>
  <c r="I36" i="10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I66" i="10"/>
  <c r="I67" i="10"/>
  <c r="I68" i="10"/>
  <c r="I69" i="10"/>
  <c r="I70" i="10"/>
  <c r="I71" i="10"/>
  <c r="I72" i="10"/>
  <c r="I73" i="10"/>
  <c r="I74" i="10"/>
  <c r="I75" i="10"/>
  <c r="I76" i="10"/>
  <c r="I77" i="10"/>
  <c r="I78" i="10"/>
  <c r="I79" i="10"/>
  <c r="I80" i="10"/>
  <c r="I81" i="10"/>
  <c r="I82" i="10"/>
  <c r="I83" i="10"/>
  <c r="I84" i="10"/>
  <c r="I85" i="10"/>
  <c r="I86" i="10"/>
  <c r="I87" i="10"/>
  <c r="I88" i="10"/>
  <c r="I89" i="10"/>
  <c r="I90" i="10"/>
  <c r="I91" i="10"/>
  <c r="I92" i="10"/>
  <c r="I93" i="10"/>
  <c r="I94" i="10"/>
  <c r="I95" i="10"/>
  <c r="I96" i="10"/>
  <c r="I97" i="10"/>
  <c r="I98" i="10"/>
  <c r="I99" i="10"/>
  <c r="I100" i="10"/>
  <c r="I101" i="10"/>
  <c r="I102" i="10"/>
  <c r="I103" i="10"/>
  <c r="I104" i="10"/>
  <c r="I105" i="10"/>
  <c r="I106" i="10"/>
  <c r="I107" i="10"/>
  <c r="I108" i="10"/>
  <c r="I109" i="10"/>
  <c r="I110" i="10"/>
  <c r="I111" i="10"/>
  <c r="I112" i="10"/>
  <c r="I113" i="10"/>
  <c r="I114" i="10"/>
  <c r="I115" i="10"/>
  <c r="I116" i="10"/>
  <c r="I117" i="10"/>
  <c r="I118" i="10"/>
  <c r="I119" i="10"/>
  <c r="I120" i="10"/>
  <c r="I121" i="10"/>
  <c r="I122" i="10"/>
  <c r="I123" i="10"/>
  <c r="I124" i="10"/>
  <c r="I125" i="10"/>
  <c r="I126" i="10"/>
  <c r="I127" i="10"/>
  <c r="I128" i="10"/>
  <c r="I129" i="10"/>
  <c r="I130" i="10"/>
  <c r="I131" i="10"/>
  <c r="I132" i="10"/>
  <c r="I133" i="10"/>
  <c r="I134" i="10"/>
  <c r="I135" i="10"/>
  <c r="I136" i="10"/>
  <c r="I137" i="10"/>
  <c r="I138" i="10"/>
  <c r="I139" i="10"/>
  <c r="I140" i="10"/>
  <c r="I141" i="10"/>
  <c r="I142" i="10"/>
  <c r="I143" i="10"/>
  <c r="I144" i="10"/>
  <c r="I145" i="10"/>
  <c r="I146" i="10"/>
  <c r="I147" i="10"/>
  <c r="I148" i="10"/>
  <c r="I149" i="10"/>
  <c r="I150" i="10"/>
  <c r="I151" i="10"/>
  <c r="I152" i="10"/>
  <c r="I153" i="10"/>
  <c r="I154" i="10"/>
  <c r="I155" i="10"/>
  <c r="I156" i="10"/>
  <c r="I157" i="10"/>
  <c r="I158" i="10"/>
  <c r="I160" i="10"/>
  <c r="I161" i="10"/>
  <c r="I162" i="10"/>
  <c r="I163" i="10"/>
  <c r="I164" i="10"/>
  <c r="I165" i="10"/>
  <c r="I166" i="10"/>
  <c r="I167" i="10"/>
  <c r="I168" i="10"/>
  <c r="I169" i="10"/>
  <c r="I170" i="10"/>
  <c r="I171" i="10"/>
  <c r="I172" i="10"/>
  <c r="I173" i="10"/>
  <c r="I174" i="10"/>
  <c r="I175" i="10"/>
  <c r="I176" i="10"/>
  <c r="I177" i="10"/>
  <c r="I178" i="10"/>
  <c r="I179" i="10"/>
  <c r="I180" i="10"/>
  <c r="I181" i="10"/>
  <c r="I183" i="10"/>
  <c r="I184" i="10"/>
  <c r="I185" i="10"/>
  <c r="I186" i="10"/>
  <c r="I187" i="10"/>
  <c r="I188" i="10"/>
  <c r="I189" i="10"/>
  <c r="I190" i="10"/>
  <c r="I191" i="10"/>
  <c r="I192" i="10"/>
  <c r="I193" i="10"/>
  <c r="I194" i="10"/>
  <c r="I195" i="10"/>
  <c r="I196" i="10"/>
  <c r="I197" i="10"/>
  <c r="I198" i="10"/>
  <c r="I199" i="10"/>
  <c r="I200" i="10"/>
  <c r="I201" i="10"/>
  <c r="I202" i="10"/>
  <c r="I203" i="10"/>
  <c r="I204" i="10"/>
  <c r="I205" i="10"/>
  <c r="I206" i="10"/>
  <c r="I207" i="10"/>
  <c r="I208" i="10"/>
  <c r="I209" i="10"/>
  <c r="I210" i="10"/>
  <c r="I211" i="10"/>
  <c r="I212" i="10"/>
  <c r="I213" i="10"/>
  <c r="I214" i="10"/>
  <c r="I215" i="10"/>
  <c r="I216" i="10"/>
  <c r="I217" i="10"/>
  <c r="I218" i="10"/>
  <c r="I219" i="10"/>
  <c r="I220" i="10"/>
  <c r="I221" i="10"/>
  <c r="I222" i="10"/>
  <c r="I223" i="10"/>
  <c r="I224" i="10"/>
  <c r="I225" i="10"/>
  <c r="I226" i="10"/>
  <c r="I227" i="10"/>
  <c r="I228" i="10"/>
  <c r="I229" i="10"/>
  <c r="I230" i="10"/>
  <c r="I231" i="10"/>
  <c r="I232" i="10"/>
  <c r="I233" i="10"/>
  <c r="I234" i="10"/>
  <c r="I235" i="10"/>
  <c r="I236" i="10"/>
  <c r="I237" i="10"/>
  <c r="I238" i="10"/>
  <c r="I239" i="10"/>
  <c r="I240" i="10"/>
  <c r="I241" i="10"/>
  <c r="I242" i="10"/>
  <c r="I243" i="10"/>
  <c r="I244" i="10"/>
  <c r="I245" i="10"/>
  <c r="I246" i="10"/>
  <c r="I247" i="10"/>
  <c r="I248" i="10"/>
  <c r="I249" i="10"/>
  <c r="I250" i="10"/>
  <c r="I251" i="10"/>
  <c r="I252" i="10"/>
  <c r="I253" i="10"/>
  <c r="I254" i="10"/>
  <c r="I255" i="10"/>
  <c r="I256" i="10"/>
  <c r="I257" i="10"/>
  <c r="I258" i="10"/>
  <c r="I259" i="10"/>
  <c r="I260" i="10"/>
  <c r="I261" i="10"/>
  <c r="I262" i="10"/>
  <c r="I263" i="10"/>
  <c r="I264" i="10"/>
  <c r="I265" i="10"/>
  <c r="I266" i="10"/>
  <c r="I267" i="10"/>
  <c r="I268" i="10"/>
  <c r="I269" i="10"/>
  <c r="I270" i="10"/>
  <c r="I271" i="10"/>
  <c r="I272" i="10"/>
  <c r="I273" i="10"/>
  <c r="I274" i="10"/>
  <c r="I275" i="10"/>
  <c r="I276" i="10"/>
  <c r="I277" i="10"/>
  <c r="I278" i="10"/>
  <c r="I279" i="10"/>
  <c r="I280" i="10"/>
  <c r="I284" i="10"/>
  <c r="I285" i="10"/>
  <c r="I286" i="10"/>
  <c r="I287" i="10"/>
  <c r="I288" i="10"/>
  <c r="I289" i="10"/>
  <c r="I290" i="10"/>
  <c r="I292" i="10"/>
  <c r="I293" i="10"/>
  <c r="I294" i="10"/>
  <c r="I295" i="10"/>
  <c r="I296" i="10"/>
  <c r="I297" i="10"/>
  <c r="I298" i="10"/>
  <c r="I301" i="10"/>
  <c r="I302" i="10"/>
  <c r="I303" i="10"/>
  <c r="I304" i="10"/>
  <c r="I305" i="10"/>
  <c r="I306" i="10"/>
  <c r="I307" i="10"/>
  <c r="I308" i="10"/>
  <c r="I309" i="10"/>
  <c r="I310" i="10"/>
  <c r="I311" i="10"/>
  <c r="I312" i="10"/>
  <c r="I313" i="10"/>
  <c r="I314" i="10"/>
  <c r="I315" i="10"/>
  <c r="I316" i="10"/>
  <c r="I317" i="10"/>
  <c r="I323" i="10"/>
  <c r="I324" i="10"/>
  <c r="I325" i="10"/>
  <c r="I326" i="10"/>
  <c r="I327" i="10"/>
  <c r="I328" i="10"/>
  <c r="I329" i="10"/>
  <c r="I330" i="10"/>
  <c r="I331" i="10"/>
  <c r="I333" i="10"/>
  <c r="I334" i="10"/>
  <c r="I335" i="10"/>
  <c r="I336" i="10"/>
  <c r="I337" i="10"/>
  <c r="I338" i="10"/>
  <c r="I339" i="10"/>
  <c r="I340" i="10"/>
  <c r="I341" i="10"/>
  <c r="I342" i="10"/>
  <c r="I343" i="10"/>
  <c r="I344" i="10"/>
  <c r="I345" i="10"/>
  <c r="I346" i="10"/>
  <c r="I347" i="10"/>
  <c r="I348" i="10"/>
  <c r="I349" i="10"/>
  <c r="I350" i="10"/>
  <c r="I351" i="10"/>
  <c r="I352" i="10"/>
  <c r="I353" i="10"/>
  <c r="I354" i="10"/>
  <c r="I355" i="10"/>
  <c r="I356" i="10"/>
  <c r="I357" i="10"/>
  <c r="I358" i="10"/>
  <c r="I359" i="10"/>
  <c r="I360" i="10"/>
  <c r="I361" i="10"/>
  <c r="I362" i="10"/>
  <c r="I363" i="10"/>
  <c r="I364" i="10"/>
  <c r="I365" i="10"/>
  <c r="I366" i="10"/>
  <c r="I367" i="10"/>
  <c r="I368" i="10"/>
  <c r="I369" i="10"/>
  <c r="I370" i="10"/>
  <c r="I371" i="10"/>
  <c r="I372" i="10"/>
  <c r="I373" i="10"/>
  <c r="I374" i="10"/>
  <c r="I375" i="10"/>
  <c r="I376" i="10"/>
  <c r="I377" i="10"/>
  <c r="I378" i="10"/>
  <c r="I379" i="10"/>
  <c r="I380" i="10"/>
  <c r="I381" i="10"/>
  <c r="I382" i="10"/>
  <c r="I383" i="10"/>
  <c r="I384" i="10"/>
  <c r="I385" i="10"/>
  <c r="I386" i="10"/>
  <c r="I387" i="10"/>
  <c r="I388" i="10"/>
  <c r="I389" i="10"/>
  <c r="I390" i="10"/>
  <c r="I391" i="10"/>
  <c r="I392" i="10"/>
  <c r="I393" i="10"/>
  <c r="I394" i="10"/>
  <c r="I395" i="10"/>
  <c r="I396" i="10"/>
  <c r="I397" i="10"/>
  <c r="I398" i="10"/>
  <c r="I399" i="10"/>
  <c r="I400" i="10"/>
  <c r="I401" i="10"/>
  <c r="I402" i="10"/>
  <c r="I403" i="10"/>
  <c r="I404" i="10"/>
  <c r="I405" i="10"/>
  <c r="I406" i="10"/>
  <c r="I407" i="10"/>
  <c r="I408" i="10"/>
  <c r="I409" i="10"/>
  <c r="I410" i="10"/>
  <c r="I411" i="10"/>
  <c r="K411" i="10" s="1"/>
  <c r="I412" i="10"/>
  <c r="I413" i="10"/>
  <c r="I414" i="10"/>
  <c r="I415" i="10"/>
  <c r="I416" i="10"/>
  <c r="I417" i="10"/>
  <c r="I418" i="10"/>
  <c r="I419" i="10"/>
  <c r="I420" i="10"/>
  <c r="I421" i="10"/>
  <c r="I422" i="10"/>
  <c r="I423" i="10"/>
  <c r="I424" i="10"/>
  <c r="I4" i="10"/>
  <c r="I5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D68" i="10" l="1"/>
  <c r="D28" i="10"/>
  <c r="E9" i="10"/>
  <c r="E10" i="10"/>
  <c r="E13" i="10"/>
  <c r="E14" i="10"/>
  <c r="E6" i="10"/>
  <c r="E4" i="10"/>
  <c r="K224" i="10" l="1"/>
  <c r="K225" i="10"/>
  <c r="K232" i="10"/>
  <c r="K233" i="10"/>
  <c r="D196" i="10"/>
  <c r="D207" i="10"/>
  <c r="D214" i="10"/>
  <c r="D220" i="10"/>
  <c r="K234" i="10" l="1"/>
  <c r="K230" i="10"/>
  <c r="K235" i="10"/>
  <c r="K231" i="10"/>
  <c r="D371" i="10" l="1"/>
  <c r="D49" i="10"/>
  <c r="D45" i="10" l="1"/>
  <c r="K49" i="10" l="1"/>
  <c r="K48" i="10"/>
  <c r="J49" i="10"/>
  <c r="L49" i="10" l="1"/>
  <c r="D248" i="10" l="1"/>
  <c r="K45" i="10" l="1"/>
  <c r="K50" i="10"/>
  <c r="J45" i="10"/>
  <c r="D61" i="10"/>
  <c r="D71" i="10"/>
  <c r="D72" i="10"/>
  <c r="D76" i="10"/>
  <c r="K78" i="10"/>
  <c r="K79" i="10"/>
  <c r="K80" i="10"/>
  <c r="D92" i="10"/>
  <c r="D93" i="10"/>
  <c r="D98" i="10"/>
  <c r="D124" i="10"/>
  <c r="K126" i="10"/>
  <c r="K271" i="10"/>
  <c r="D272" i="10"/>
  <c r="K272" i="10"/>
  <c r="K273" i="10"/>
  <c r="K274" i="10"/>
  <c r="K275" i="10"/>
  <c r="K276" i="10"/>
  <c r="K277" i="10"/>
  <c r="K278" i="10"/>
  <c r="D279" i="10"/>
  <c r="K279" i="10"/>
  <c r="D280" i="10"/>
  <c r="K280" i="10"/>
  <c r="K281" i="10"/>
  <c r="K282" i="10"/>
  <c r="K283" i="10"/>
  <c r="K284" i="10"/>
  <c r="K285" i="10"/>
  <c r="K286" i="10"/>
  <c r="D287" i="10"/>
  <c r="K287" i="10"/>
  <c r="K288" i="10"/>
  <c r="K289" i="10"/>
  <c r="K290" i="10"/>
  <c r="K291" i="10"/>
  <c r="K292" i="10"/>
  <c r="K293" i="10"/>
  <c r="K294" i="10"/>
  <c r="K295" i="10"/>
  <c r="D296" i="10"/>
  <c r="K296" i="10"/>
  <c r="D297" i="10"/>
  <c r="K297" i="10"/>
  <c r="D298" i="10"/>
  <c r="K298" i="10"/>
  <c r="K299" i="10"/>
  <c r="K301" i="10"/>
  <c r="K302" i="10"/>
  <c r="K303" i="10"/>
  <c r="D304" i="10"/>
  <c r="K304" i="10"/>
  <c r="D305" i="10"/>
  <c r="K305" i="10"/>
  <c r="K306" i="10"/>
  <c r="K307" i="10"/>
  <c r="K308" i="10"/>
  <c r="K309" i="10"/>
  <c r="K310" i="10"/>
  <c r="K311" i="10"/>
  <c r="K312" i="10"/>
  <c r="K313" i="10"/>
  <c r="K314" i="10"/>
  <c r="K315" i="10"/>
  <c r="K316" i="10"/>
  <c r="K317" i="10"/>
  <c r="D318" i="10"/>
  <c r="K318" i="10"/>
  <c r="D319" i="10"/>
  <c r="K319" i="10"/>
  <c r="D320" i="10"/>
  <c r="K320" i="10"/>
  <c r="K321" i="10"/>
  <c r="K322" i="10"/>
  <c r="K323" i="10"/>
  <c r="K324" i="10"/>
  <c r="K325" i="10"/>
  <c r="K326" i="10"/>
  <c r="K327" i="10"/>
  <c r="K328" i="10"/>
  <c r="K329" i="10"/>
  <c r="D330" i="10"/>
  <c r="K330" i="10"/>
  <c r="D331" i="10"/>
  <c r="K331" i="10"/>
  <c r="K332" i="10"/>
  <c r="K333" i="10"/>
  <c r="K334" i="10"/>
  <c r="K335" i="10"/>
  <c r="K336" i="10"/>
  <c r="K337" i="10"/>
  <c r="K338" i="10"/>
  <c r="K339" i="10"/>
  <c r="K340" i="10"/>
  <c r="K341" i="10"/>
  <c r="K342" i="10"/>
  <c r="K343" i="10"/>
  <c r="K344" i="10"/>
  <c r="K345" i="10"/>
  <c r="K346" i="10"/>
  <c r="K347" i="10"/>
  <c r="K348" i="10"/>
  <c r="D349" i="10"/>
  <c r="K349" i="10"/>
  <c r="D350" i="10"/>
  <c r="K350" i="10"/>
  <c r="K351" i="10"/>
  <c r="K352" i="10"/>
  <c r="K353" i="10"/>
  <c r="K354" i="10"/>
  <c r="D355" i="10"/>
  <c r="K355" i="10"/>
  <c r="K356" i="10"/>
  <c r="K357" i="10"/>
  <c r="K358" i="10"/>
  <c r="K359" i="10"/>
  <c r="K360" i="10"/>
  <c r="K361" i="10"/>
  <c r="K362" i="10"/>
  <c r="K363" i="10"/>
  <c r="K364" i="10"/>
  <c r="D365" i="10"/>
  <c r="K365" i="10"/>
  <c r="D366" i="10"/>
  <c r="K366" i="10"/>
  <c r="D367" i="10"/>
  <c r="K367" i="10"/>
  <c r="K368" i="10"/>
  <c r="K369" i="10"/>
  <c r="K370" i="10"/>
  <c r="K371" i="10"/>
  <c r="K372" i="10"/>
  <c r="K373" i="10"/>
  <c r="K374" i="10"/>
  <c r="K375" i="10"/>
  <c r="K376" i="10"/>
  <c r="K377" i="10"/>
  <c r="K378" i="10"/>
  <c r="K379" i="10"/>
  <c r="D380" i="10"/>
  <c r="K380" i="10"/>
  <c r="K381" i="10"/>
  <c r="K382" i="10"/>
  <c r="K383" i="10"/>
  <c r="K384" i="10"/>
  <c r="K385" i="10"/>
  <c r="K386" i="10"/>
  <c r="D387" i="10"/>
  <c r="K387" i="10"/>
  <c r="D388" i="10"/>
  <c r="K388" i="10"/>
  <c r="D389" i="10"/>
  <c r="K389" i="10"/>
  <c r="D390" i="10"/>
  <c r="K390" i="10"/>
  <c r="K391" i="10"/>
  <c r="K392" i="10"/>
  <c r="K393" i="10"/>
  <c r="D394" i="10"/>
  <c r="K394" i="10"/>
  <c r="K395" i="10"/>
  <c r="K396" i="10"/>
  <c r="K397" i="10"/>
  <c r="K398" i="10"/>
  <c r="K399" i="10"/>
  <c r="K400" i="10"/>
  <c r="K401" i="10"/>
  <c r="K402" i="10"/>
  <c r="K403" i="10"/>
  <c r="D404" i="10"/>
  <c r="K404" i="10"/>
  <c r="D405" i="10"/>
  <c r="K405" i="10"/>
  <c r="D406" i="10"/>
  <c r="K406" i="10"/>
  <c r="D407" i="10"/>
  <c r="K407" i="10"/>
  <c r="D408" i="10"/>
  <c r="K408" i="10"/>
  <c r="K409" i="10"/>
  <c r="K410" i="10"/>
  <c r="K412" i="10"/>
  <c r="K413" i="10"/>
  <c r="K414" i="10"/>
  <c r="D415" i="10"/>
  <c r="K415" i="10"/>
  <c r="K416" i="10"/>
  <c r="K417" i="10"/>
  <c r="K418" i="10"/>
  <c r="K419" i="10"/>
  <c r="K420" i="10"/>
  <c r="K421" i="10"/>
  <c r="K422" i="10"/>
  <c r="K423" i="10"/>
  <c r="K424" i="10"/>
  <c r="K425" i="10"/>
  <c r="K431" i="10"/>
  <c r="K438" i="10"/>
  <c r="K440" i="10"/>
  <c r="K442" i="10"/>
  <c r="K443" i="10"/>
  <c r="K447" i="10"/>
  <c r="K448" i="10"/>
  <c r="D451" i="10"/>
  <c r="K451" i="10"/>
  <c r="K452" i="10"/>
  <c r="K453" i="10"/>
  <c r="K454" i="10"/>
  <c r="K455" i="10"/>
  <c r="K456" i="10"/>
  <c r="K457" i="10"/>
  <c r="K458" i="10"/>
  <c r="K459" i="10"/>
  <c r="D460" i="10"/>
  <c r="K460" i="10"/>
  <c r="K461" i="10"/>
  <c r="K462" i="10"/>
  <c r="K463" i="10"/>
  <c r="K464" i="10"/>
  <c r="D465" i="10"/>
  <c r="K465" i="10"/>
  <c r="D466" i="10"/>
  <c r="K466" i="10"/>
  <c r="D467" i="10"/>
  <c r="K467" i="10"/>
  <c r="D468" i="10"/>
  <c r="K468" i="10"/>
  <c r="D470" i="10"/>
  <c r="D474" i="10"/>
  <c r="K475" i="10"/>
  <c r="K476" i="10"/>
  <c r="K477" i="10"/>
  <c r="K478" i="10"/>
  <c r="K479" i="10"/>
  <c r="K480" i="10"/>
  <c r="D481" i="10"/>
  <c r="K481" i="10"/>
  <c r="D482" i="10"/>
  <c r="K482" i="10"/>
  <c r="K483" i="10"/>
  <c r="K484" i="10"/>
  <c r="K485" i="10"/>
  <c r="K486" i="10"/>
  <c r="K487" i="10"/>
  <c r="K488" i="10"/>
  <c r="K489" i="10"/>
  <c r="K490" i="10"/>
  <c r="K491" i="10"/>
  <c r="K492" i="10"/>
  <c r="K493" i="10"/>
  <c r="K494" i="10"/>
  <c r="K495" i="10"/>
  <c r="K496" i="10"/>
  <c r="K497" i="10"/>
  <c r="K498" i="10"/>
  <c r="K499" i="10"/>
  <c r="K500" i="10"/>
  <c r="K501" i="10"/>
  <c r="K502" i="10"/>
  <c r="K503" i="10"/>
  <c r="K504" i="10"/>
  <c r="K505" i="10"/>
  <c r="K506" i="10"/>
  <c r="K507" i="10"/>
  <c r="K508" i="10"/>
  <c r="K510" i="10"/>
  <c r="K517" i="10"/>
  <c r="K544" i="10"/>
  <c r="K548" i="10"/>
  <c r="K552" i="10"/>
  <c r="K558" i="10"/>
  <c r="K559" i="10"/>
  <c r="K560" i="10"/>
  <c r="K561" i="10"/>
  <c r="K562" i="10"/>
  <c r="K563" i="10"/>
  <c r="K564" i="10"/>
  <c r="K565" i="10"/>
  <c r="K566" i="10"/>
  <c r="K567" i="10"/>
  <c r="K568" i="10"/>
  <c r="K569" i="10"/>
  <c r="K570" i="10"/>
  <c r="K571" i="10"/>
  <c r="K572" i="10"/>
  <c r="K573" i="10"/>
  <c r="K574" i="10"/>
  <c r="K575" i="10"/>
  <c r="K576" i="10"/>
  <c r="K577" i="10"/>
  <c r="K578" i="10"/>
  <c r="K579" i="10"/>
  <c r="K580" i="10"/>
  <c r="K581" i="10"/>
  <c r="K582" i="10"/>
  <c r="K583" i="10"/>
  <c r="K584" i="10"/>
  <c r="K585" i="10"/>
  <c r="K586" i="10"/>
  <c r="K587" i="10"/>
  <c r="K588" i="10"/>
  <c r="K589" i="10"/>
  <c r="K590" i="10"/>
  <c r="K601" i="10"/>
  <c r="K602" i="10"/>
  <c r="K603" i="10"/>
  <c r="K604" i="10"/>
  <c r="K605" i="10"/>
  <c r="K606" i="10"/>
  <c r="K607" i="10"/>
  <c r="K608" i="10"/>
  <c r="K609" i="10"/>
  <c r="K610" i="10"/>
  <c r="K611" i="10"/>
  <c r="K612" i="10"/>
  <c r="K613" i="10"/>
  <c r="K614" i="10"/>
  <c r="K615" i="10"/>
  <c r="K616" i="10"/>
  <c r="K617" i="10"/>
  <c r="K618" i="10"/>
  <c r="K619" i="10"/>
  <c r="K620" i="10"/>
  <c r="K621" i="10"/>
  <c r="K622" i="10"/>
  <c r="K623" i="10"/>
  <c r="K624" i="10"/>
  <c r="K625" i="10"/>
  <c r="K626" i="10"/>
  <c r="K627" i="10"/>
  <c r="K628" i="10"/>
  <c r="K629" i="10"/>
  <c r="K630" i="10"/>
  <c r="K631" i="10"/>
  <c r="K632" i="10"/>
  <c r="K633" i="10"/>
  <c r="K634" i="10"/>
  <c r="K635" i="10"/>
  <c r="K636" i="10"/>
  <c r="K637" i="10"/>
  <c r="K638" i="10"/>
  <c r="K639" i="10"/>
  <c r="K640" i="10"/>
  <c r="K641" i="10"/>
  <c r="K642" i="10"/>
  <c r="K643" i="10"/>
  <c r="K644" i="10"/>
  <c r="K645" i="10"/>
  <c r="K646" i="10"/>
  <c r="K647" i="10"/>
  <c r="K648" i="10"/>
  <c r="K649" i="10"/>
  <c r="K650" i="10"/>
  <c r="K651" i="10"/>
  <c r="K652" i="10"/>
  <c r="K653" i="10"/>
  <c r="K654" i="10"/>
  <c r="K655" i="10"/>
  <c r="K656" i="10"/>
  <c r="K657" i="10"/>
  <c r="K658" i="10"/>
  <c r="K659" i="10"/>
  <c r="K660" i="10"/>
  <c r="K661" i="10"/>
  <c r="K662" i="10"/>
  <c r="K663" i="10"/>
  <c r="K664" i="10"/>
  <c r="K665" i="10"/>
  <c r="K666" i="10"/>
  <c r="K667" i="10"/>
  <c r="K668" i="10"/>
  <c r="K669" i="10"/>
  <c r="K670" i="10"/>
  <c r="K671" i="10"/>
  <c r="K672" i="10"/>
  <c r="K674" i="10"/>
  <c r="K675" i="10"/>
  <c r="K676" i="10"/>
  <c r="K677" i="10"/>
  <c r="K678" i="10"/>
  <c r="K679" i="10"/>
  <c r="K680" i="10"/>
  <c r="K681" i="10"/>
  <c r="K682" i="10"/>
  <c r="K683" i="10"/>
  <c r="K684" i="10"/>
  <c r="K685" i="10"/>
  <c r="K686" i="10"/>
  <c r="K687" i="10"/>
  <c r="K688" i="10"/>
  <c r="K689" i="10"/>
  <c r="K690" i="10"/>
  <c r="K691" i="10"/>
  <c r="K692" i="10"/>
  <c r="K693" i="10"/>
  <c r="K694" i="10"/>
  <c r="K695" i="10"/>
  <c r="K696" i="10"/>
  <c r="K697" i="10"/>
  <c r="K698" i="10"/>
  <c r="K699" i="10"/>
  <c r="K700" i="10"/>
  <c r="K701" i="10"/>
  <c r="K702" i="10"/>
  <c r="K703" i="10"/>
  <c r="K704" i="10"/>
  <c r="K705" i="10"/>
  <c r="K706" i="10"/>
  <c r="K707" i="10"/>
  <c r="K708" i="10"/>
  <c r="K709" i="10"/>
  <c r="K710" i="10"/>
  <c r="K711" i="10"/>
  <c r="K712" i="10"/>
  <c r="K713" i="10"/>
  <c r="D723" i="10"/>
  <c r="K835" i="10"/>
  <c r="K836" i="10"/>
  <c r="K837" i="10"/>
  <c r="K838" i="10"/>
  <c r="K839" i="10"/>
  <c r="K840" i="10"/>
  <c r="K841" i="10"/>
  <c r="K842" i="10"/>
  <c r="K843" i="10"/>
  <c r="K844" i="10"/>
  <c r="K845" i="10"/>
  <c r="K846" i="10"/>
  <c r="K847" i="10"/>
  <c r="K848" i="10"/>
  <c r="K849" i="10"/>
  <c r="K850" i="10"/>
  <c r="K851" i="10"/>
  <c r="K852" i="10"/>
  <c r="K853" i="10"/>
  <c r="K854" i="10"/>
  <c r="K888" i="10"/>
  <c r="K889" i="10"/>
  <c r="K890" i="10"/>
  <c r="K891" i="10"/>
  <c r="K892" i="10"/>
  <c r="K893" i="10"/>
  <c r="K894" i="10"/>
  <c r="K895" i="10"/>
  <c r="K896" i="10"/>
  <c r="K897" i="10"/>
  <c r="K898" i="10"/>
  <c r="K899" i="10"/>
  <c r="K900" i="10"/>
  <c r="K901" i="10"/>
  <c r="K902" i="10"/>
  <c r="J723" i="10" l="1"/>
  <c r="L723" i="10" s="1"/>
  <c r="K673" i="10"/>
  <c r="K557" i="10"/>
  <c r="K556" i="10"/>
  <c r="K555" i="10"/>
  <c r="K554" i="10"/>
  <c r="K553" i="10"/>
  <c r="K551" i="10"/>
  <c r="K550" i="10"/>
  <c r="K549" i="10"/>
  <c r="K547" i="10"/>
  <c r="K546" i="10"/>
  <c r="K545" i="10"/>
  <c r="K543" i="10"/>
  <c r="K542" i="10"/>
  <c r="K541" i="10"/>
  <c r="K540" i="10"/>
  <c r="K539" i="10"/>
  <c r="K538" i="10"/>
  <c r="K529" i="10"/>
  <c r="K528" i="10"/>
  <c r="K527" i="10"/>
  <c r="K526" i="10"/>
  <c r="K525" i="10"/>
  <c r="K524" i="10"/>
  <c r="K523" i="10"/>
  <c r="K522" i="10"/>
  <c r="K521" i="10"/>
  <c r="K520" i="10"/>
  <c r="K519" i="10"/>
  <c r="K518" i="10"/>
  <c r="K516" i="10"/>
  <c r="K515" i="10"/>
  <c r="K514" i="10"/>
  <c r="K513" i="10"/>
  <c r="K512" i="10"/>
  <c r="K511" i="10"/>
  <c r="K509" i="10"/>
  <c r="J498" i="10"/>
  <c r="L498" i="10" s="1"/>
  <c r="J490" i="10"/>
  <c r="L490" i="10" s="1"/>
  <c r="J483" i="10"/>
  <c r="L483" i="10" s="1"/>
  <c r="J494" i="10"/>
  <c r="L494" i="10" s="1"/>
  <c r="J487" i="10"/>
  <c r="L487" i="10" s="1"/>
  <c r="J495" i="10"/>
  <c r="L495" i="10" s="1"/>
  <c r="J491" i="10"/>
  <c r="L491" i="10" s="1"/>
  <c r="J488" i="10"/>
  <c r="L488" i="10" s="1"/>
  <c r="J484" i="10"/>
  <c r="L484" i="10" s="1"/>
  <c r="J496" i="10"/>
  <c r="L496" i="10" s="1"/>
  <c r="J492" i="10"/>
  <c r="L492" i="10" s="1"/>
  <c r="J489" i="10"/>
  <c r="L489" i="10" s="1"/>
  <c r="J485" i="10"/>
  <c r="L485" i="10" s="1"/>
  <c r="J470" i="10"/>
  <c r="L470" i="10" s="1"/>
  <c r="J497" i="10"/>
  <c r="L497" i="10" s="1"/>
  <c r="J493" i="10"/>
  <c r="L493" i="10" s="1"/>
  <c r="J486" i="10"/>
  <c r="L486" i="10" s="1"/>
  <c r="J474" i="10"/>
  <c r="L474" i="10" s="1"/>
  <c r="K437" i="10"/>
  <c r="K436" i="10"/>
  <c r="K435" i="10"/>
  <c r="K434" i="10"/>
  <c r="K433" i="10"/>
  <c r="K432" i="10"/>
  <c r="K430" i="10"/>
  <c r="K429" i="10"/>
  <c r="K428" i="10"/>
  <c r="K427" i="10"/>
  <c r="K426" i="10"/>
  <c r="K450" i="10"/>
  <c r="K449" i="10"/>
  <c r="K446" i="10"/>
  <c r="K445" i="10"/>
  <c r="K444" i="10"/>
  <c r="K441" i="10"/>
  <c r="K439" i="10"/>
  <c r="K228" i="10"/>
  <c r="K221" i="10"/>
  <c r="K216" i="10"/>
  <c r="K210" i="10"/>
  <c r="K208" i="10"/>
  <c r="K198" i="10"/>
  <c r="K189" i="10"/>
  <c r="K182" i="10"/>
  <c r="K229" i="10"/>
  <c r="K219" i="10"/>
  <c r="K217" i="10"/>
  <c r="K211" i="10"/>
  <c r="J207" i="10"/>
  <c r="K207" i="10"/>
  <c r="K199" i="10"/>
  <c r="J196" i="10"/>
  <c r="K196" i="10"/>
  <c r="K193" i="10"/>
  <c r="K187" i="10"/>
  <c r="K180" i="10"/>
  <c r="K201" i="10"/>
  <c r="K222" i="10"/>
  <c r="K215" i="10"/>
  <c r="J214" i="10"/>
  <c r="K214" i="10"/>
  <c r="K209" i="10"/>
  <c r="K204" i="10"/>
  <c r="K202" i="10"/>
  <c r="K197" i="10"/>
  <c r="K194" i="10"/>
  <c r="K192" i="10"/>
  <c r="K188" i="10"/>
  <c r="K185" i="10"/>
  <c r="K183" i="10"/>
  <c r="K181" i="10"/>
  <c r="K226" i="10"/>
  <c r="K213" i="10"/>
  <c r="K203" i="10"/>
  <c r="K191" i="10"/>
  <c r="K184" i="10"/>
  <c r="K227" i="10"/>
  <c r="K223" i="10"/>
  <c r="J220" i="10"/>
  <c r="K220" i="10"/>
  <c r="K218" i="10"/>
  <c r="K212" i="10"/>
  <c r="K206" i="10"/>
  <c r="K205" i="10"/>
  <c r="K200" i="10"/>
  <c r="K195" i="10"/>
  <c r="K190" i="10"/>
  <c r="K186" i="10"/>
  <c r="K179" i="10"/>
  <c r="K269" i="10"/>
  <c r="K259" i="10"/>
  <c r="K250" i="10"/>
  <c r="K176" i="10"/>
  <c r="K172" i="10"/>
  <c r="K270" i="10"/>
  <c r="K253" i="10"/>
  <c r="K174" i="10"/>
  <c r="K166" i="10"/>
  <c r="K153" i="10"/>
  <c r="K86" i="10"/>
  <c r="K40" i="10"/>
  <c r="K261" i="10"/>
  <c r="K252" i="10"/>
  <c r="K249" i="10"/>
  <c r="K173" i="10"/>
  <c r="K142" i="10"/>
  <c r="K138" i="10"/>
  <c r="K125" i="10"/>
  <c r="K121" i="10"/>
  <c r="K116" i="10"/>
  <c r="K112" i="10"/>
  <c r="K99" i="10"/>
  <c r="K95" i="10"/>
  <c r="K92" i="10"/>
  <c r="K88" i="10"/>
  <c r="K84" i="10"/>
  <c r="K81" i="10"/>
  <c r="K65" i="10"/>
  <c r="K57" i="10"/>
  <c r="K53" i="10"/>
  <c r="K51" i="10"/>
  <c r="K42" i="10"/>
  <c r="K38" i="10"/>
  <c r="K162" i="10"/>
  <c r="K156" i="10"/>
  <c r="K147" i="10"/>
  <c r="K122" i="10"/>
  <c r="K117" i="10"/>
  <c r="K109" i="10"/>
  <c r="K103" i="10"/>
  <c r="K102" i="10"/>
  <c r="K100" i="10"/>
  <c r="K96" i="10"/>
  <c r="K93" i="10"/>
  <c r="K89" i="10"/>
  <c r="K73" i="10"/>
  <c r="K58" i="10"/>
  <c r="K43" i="10"/>
  <c r="K240" i="10"/>
  <c r="K262" i="10"/>
  <c r="K251" i="10"/>
  <c r="K163" i="10"/>
  <c r="K151" i="10"/>
  <c r="K106" i="10"/>
  <c r="K97" i="10"/>
  <c r="K90" i="10"/>
  <c r="K74" i="10"/>
  <c r="K59" i="10"/>
  <c r="K55" i="10"/>
  <c r="K36" i="10"/>
  <c r="K260" i="10"/>
  <c r="K258" i="10"/>
  <c r="K254" i="10"/>
  <c r="K242" i="10"/>
  <c r="K238" i="10"/>
  <c r="K175" i="10"/>
  <c r="K170" i="10"/>
  <c r="K149" i="10"/>
  <c r="K101" i="10"/>
  <c r="K98" i="10"/>
  <c r="K91" i="10"/>
  <c r="K87" i="10"/>
  <c r="K83" i="10"/>
  <c r="K77" i="10"/>
  <c r="K67" i="10"/>
  <c r="K62" i="10"/>
  <c r="K60" i="10"/>
  <c r="K46" i="10"/>
  <c r="K37" i="10"/>
  <c r="K257" i="10"/>
  <c r="K256" i="10"/>
  <c r="K255" i="10"/>
  <c r="K268" i="10"/>
  <c r="K267" i="10"/>
  <c r="K266" i="10"/>
  <c r="K265" i="10"/>
  <c r="K264" i="10"/>
  <c r="K263" i="10"/>
  <c r="K248" i="10"/>
  <c r="K247" i="10"/>
  <c r="K246" i="10"/>
  <c r="K178" i="10"/>
  <c r="K177" i="10"/>
  <c r="K171" i="10"/>
  <c r="K169" i="10"/>
  <c r="K168" i="10"/>
  <c r="K167" i="10"/>
  <c r="K165" i="10"/>
  <c r="K164" i="10"/>
  <c r="K245" i="10"/>
  <c r="K244" i="10"/>
  <c r="K243" i="10"/>
  <c r="K241" i="10"/>
  <c r="K239" i="10"/>
  <c r="K237" i="10"/>
  <c r="K236" i="10"/>
  <c r="K161" i="10"/>
  <c r="K160" i="10"/>
  <c r="K159" i="10"/>
  <c r="K158" i="10"/>
  <c r="K157" i="10"/>
  <c r="K155" i="10"/>
  <c r="K154" i="10"/>
  <c r="K152" i="10"/>
  <c r="K150" i="10"/>
  <c r="K148" i="10"/>
  <c r="K146" i="10"/>
  <c r="K145" i="10"/>
  <c r="K144" i="10"/>
  <c r="K143" i="10"/>
  <c r="K141" i="10"/>
  <c r="K140" i="10"/>
  <c r="K139" i="10"/>
  <c r="K137" i="10"/>
  <c r="K136" i="10"/>
  <c r="K135" i="10"/>
  <c r="K134" i="10"/>
  <c r="K133" i="10"/>
  <c r="K132" i="10"/>
  <c r="K131" i="10"/>
  <c r="K130" i="10"/>
  <c r="K129" i="10"/>
  <c r="K128" i="10"/>
  <c r="K127" i="10"/>
  <c r="K110" i="10"/>
  <c r="K108" i="10"/>
  <c r="K107" i="10"/>
  <c r="K105" i="10"/>
  <c r="K124" i="10"/>
  <c r="K123" i="10"/>
  <c r="K120" i="10"/>
  <c r="K119" i="10"/>
  <c r="K118" i="10"/>
  <c r="K115" i="10"/>
  <c r="K114" i="10"/>
  <c r="K113" i="10"/>
  <c r="K111" i="10"/>
  <c r="K85" i="10"/>
  <c r="K82" i="10"/>
  <c r="K94" i="10"/>
  <c r="K104" i="10"/>
  <c r="K76" i="10"/>
  <c r="K75" i="10"/>
  <c r="K44" i="10"/>
  <c r="L45" i="10"/>
  <c r="K72" i="10"/>
  <c r="K71" i="10"/>
  <c r="K70" i="10"/>
  <c r="K69" i="10"/>
  <c r="K68" i="10"/>
  <c r="J500" i="10"/>
  <c r="L500" i="10" s="1"/>
  <c r="J502" i="10"/>
  <c r="L502" i="10" s="1"/>
  <c r="J318" i="10"/>
  <c r="L318" i="10" s="1"/>
  <c r="J298" i="10"/>
  <c r="L298" i="10" s="1"/>
  <c r="J481" i="10"/>
  <c r="L481" i="10" s="1"/>
  <c r="K52" i="10"/>
  <c r="J371" i="10"/>
  <c r="L371" i="10" s="1"/>
  <c r="K61" i="10"/>
  <c r="K54" i="10"/>
  <c r="K47" i="10"/>
  <c r="J711" i="10"/>
  <c r="L711" i="10" s="1"/>
  <c r="J697" i="10"/>
  <c r="L697" i="10" s="1"/>
  <c r="J683" i="10"/>
  <c r="L683" i="10" s="1"/>
  <c r="J506" i="10"/>
  <c r="L506" i="10" s="1"/>
  <c r="J366" i="10"/>
  <c r="L366" i="10" s="1"/>
  <c r="K63" i="10"/>
  <c r="J297" i="10"/>
  <c r="L297" i="10" s="1"/>
  <c r="K66" i="10"/>
  <c r="K64" i="10"/>
  <c r="K41" i="10"/>
  <c r="J902" i="10"/>
  <c r="L902" i="10" s="1"/>
  <c r="J901" i="10"/>
  <c r="L901" i="10" s="1"/>
  <c r="J900" i="10"/>
  <c r="L900" i="10" s="1"/>
  <c r="J899" i="10"/>
  <c r="L899" i="10" s="1"/>
  <c r="J898" i="10"/>
  <c r="L898" i="10" s="1"/>
  <c r="J897" i="10"/>
  <c r="L897" i="10" s="1"/>
  <c r="J896" i="10"/>
  <c r="L896" i="10" s="1"/>
  <c r="L834" i="10"/>
  <c r="L832" i="10"/>
  <c r="L746" i="10"/>
  <c r="L740" i="10"/>
  <c r="L734" i="10"/>
  <c r="J893" i="10"/>
  <c r="L893" i="10" s="1"/>
  <c r="J892" i="10"/>
  <c r="L892" i="10" s="1"/>
  <c r="J891" i="10"/>
  <c r="L891" i="10" s="1"/>
  <c r="J890" i="10"/>
  <c r="L890" i="10" s="1"/>
  <c r="J889" i="10"/>
  <c r="L889" i="10" s="1"/>
  <c r="J888" i="10"/>
  <c r="L888" i="10" s="1"/>
  <c r="L800" i="10"/>
  <c r="L799" i="10"/>
  <c r="L798" i="10"/>
  <c r="L797" i="10"/>
  <c r="L796" i="10"/>
  <c r="L795" i="10"/>
  <c r="L794" i="10"/>
  <c r="L793" i="10"/>
  <c r="L792" i="10"/>
  <c r="L791" i="10"/>
  <c r="L790" i="10"/>
  <c r="L789" i="10"/>
  <c r="L788" i="10"/>
  <c r="L787" i="10"/>
  <c r="L786" i="10"/>
  <c r="L785" i="10"/>
  <c r="L784" i="10"/>
  <c r="L783" i="10"/>
  <c r="L782" i="10"/>
  <c r="L781" i="10"/>
  <c r="L780" i="10"/>
  <c r="L779" i="10"/>
  <c r="L778" i="10"/>
  <c r="L777" i="10"/>
  <c r="L776" i="10"/>
  <c r="L775" i="10"/>
  <c r="L774" i="10"/>
  <c r="L773" i="10"/>
  <c r="L772" i="10"/>
  <c r="L771" i="10"/>
  <c r="L770" i="10"/>
  <c r="L769" i="10"/>
  <c r="L768" i="10"/>
  <c r="L767" i="10"/>
  <c r="L766" i="10"/>
  <c r="L765" i="10"/>
  <c r="L764" i="10"/>
  <c r="L763" i="10"/>
  <c r="L762" i="10"/>
  <c r="L761" i="10"/>
  <c r="L760" i="10"/>
  <c r="L759" i="10"/>
  <c r="L758" i="10"/>
  <c r="L757" i="10"/>
  <c r="L756" i="10"/>
  <c r="L755" i="10"/>
  <c r="L754" i="10"/>
  <c r="L753" i="10"/>
  <c r="L752" i="10"/>
  <c r="L750" i="10"/>
  <c r="L743" i="10"/>
  <c r="L736" i="10"/>
  <c r="L730" i="10"/>
  <c r="J702" i="10"/>
  <c r="L702" i="10" s="1"/>
  <c r="J686" i="10"/>
  <c r="L686" i="10" s="1"/>
  <c r="J330" i="10"/>
  <c r="L330" i="10" s="1"/>
  <c r="J320" i="10"/>
  <c r="L320" i="10" s="1"/>
  <c r="J76" i="10"/>
  <c r="J304" i="10"/>
  <c r="L304" i="10" s="1"/>
  <c r="J287" i="10"/>
  <c r="L287" i="10" s="1"/>
  <c r="K35" i="10"/>
  <c r="K56" i="10"/>
  <c r="K39" i="10"/>
  <c r="L833" i="10"/>
  <c r="L748" i="10"/>
  <c r="L738" i="10"/>
  <c r="L732" i="10"/>
  <c r="J705" i="10"/>
  <c r="L705" i="10" s="1"/>
  <c r="J704" i="10"/>
  <c r="L704" i="10" s="1"/>
  <c r="J689" i="10"/>
  <c r="L689" i="10" s="1"/>
  <c r="J688" i="10"/>
  <c r="L688" i="10" s="1"/>
  <c r="J895" i="10"/>
  <c r="L895" i="10" s="1"/>
  <c r="J894" i="10"/>
  <c r="L894" i="10" s="1"/>
  <c r="J854" i="10"/>
  <c r="L854" i="10" s="1"/>
  <c r="J853" i="10"/>
  <c r="L853" i="10" s="1"/>
  <c r="J852" i="10"/>
  <c r="L852" i="10" s="1"/>
  <c r="J851" i="10"/>
  <c r="L851" i="10" s="1"/>
  <c r="J850" i="10"/>
  <c r="L850" i="10" s="1"/>
  <c r="J849" i="10"/>
  <c r="L849" i="10" s="1"/>
  <c r="J848" i="10"/>
  <c r="L848" i="10" s="1"/>
  <c r="J847" i="10"/>
  <c r="L847" i="10" s="1"/>
  <c r="J846" i="10"/>
  <c r="L846" i="10" s="1"/>
  <c r="J845" i="10"/>
  <c r="L845" i="10" s="1"/>
  <c r="J844" i="10"/>
  <c r="L844" i="10" s="1"/>
  <c r="J843" i="10"/>
  <c r="L843" i="10" s="1"/>
  <c r="J842" i="10"/>
  <c r="L842" i="10" s="1"/>
  <c r="J841" i="10"/>
  <c r="L841" i="10" s="1"/>
  <c r="J840" i="10"/>
  <c r="L840" i="10" s="1"/>
  <c r="J839" i="10"/>
  <c r="L839" i="10" s="1"/>
  <c r="J838" i="10"/>
  <c r="L838" i="10" s="1"/>
  <c r="J837" i="10"/>
  <c r="L837" i="10" s="1"/>
  <c r="J836" i="10"/>
  <c r="L836" i="10" s="1"/>
  <c r="J835" i="10"/>
  <c r="L835" i="10" s="1"/>
  <c r="J708" i="10"/>
  <c r="L708" i="10" s="1"/>
  <c r="J694" i="10"/>
  <c r="L694" i="10" s="1"/>
  <c r="J680" i="10"/>
  <c r="L680" i="10" s="1"/>
  <c r="L751" i="10"/>
  <c r="L747" i="10"/>
  <c r="L741" i="10"/>
  <c r="L737" i="10"/>
  <c r="L731" i="10"/>
  <c r="J712" i="10"/>
  <c r="L712" i="10" s="1"/>
  <c r="J707" i="10"/>
  <c r="L707" i="10" s="1"/>
  <c r="J698" i="10"/>
  <c r="L698" i="10" s="1"/>
  <c r="J693" i="10"/>
  <c r="L693" i="10" s="1"/>
  <c r="J692" i="10"/>
  <c r="L692" i="10" s="1"/>
  <c r="J684" i="10"/>
  <c r="L684" i="10" s="1"/>
  <c r="J710" i="10"/>
  <c r="L710" i="10" s="1"/>
  <c r="J696" i="10"/>
  <c r="L696" i="10" s="1"/>
  <c r="J682" i="10"/>
  <c r="L682" i="10" s="1"/>
  <c r="J504" i="10"/>
  <c r="L504" i="10" s="1"/>
  <c r="L831" i="10"/>
  <c r="L830" i="10"/>
  <c r="L829" i="10"/>
  <c r="L828" i="10"/>
  <c r="L827" i="10"/>
  <c r="L826" i="10"/>
  <c r="L825" i="10"/>
  <c r="L824" i="10"/>
  <c r="L823" i="10"/>
  <c r="L822" i="10"/>
  <c r="L821" i="10"/>
  <c r="L820" i="10"/>
  <c r="L819" i="10"/>
  <c r="L818" i="10"/>
  <c r="L817" i="10"/>
  <c r="L816" i="10"/>
  <c r="L815" i="10"/>
  <c r="L814" i="10"/>
  <c r="L812" i="10"/>
  <c r="L811" i="10"/>
  <c r="L810" i="10"/>
  <c r="L809" i="10"/>
  <c r="L808" i="10"/>
  <c r="L806" i="10"/>
  <c r="L805" i="10"/>
  <c r="L804" i="10"/>
  <c r="L803" i="10"/>
  <c r="L802" i="10"/>
  <c r="L801" i="10"/>
  <c r="L749" i="10"/>
  <c r="L745" i="10"/>
  <c r="L742" i="10"/>
  <c r="L739" i="10"/>
  <c r="L735" i="10"/>
  <c r="L733" i="10"/>
  <c r="J701" i="10"/>
  <c r="L701" i="10" s="1"/>
  <c r="J700" i="10"/>
  <c r="L700" i="10" s="1"/>
  <c r="J690" i="10"/>
  <c r="L690" i="10" s="1"/>
  <c r="J713" i="10"/>
  <c r="L713" i="10" s="1"/>
  <c r="J709" i="10"/>
  <c r="L709" i="10" s="1"/>
  <c r="J706" i="10"/>
  <c r="L706" i="10" s="1"/>
  <c r="J703" i="10"/>
  <c r="L703" i="10" s="1"/>
  <c r="J699" i="10"/>
  <c r="L699" i="10" s="1"/>
  <c r="J695" i="10"/>
  <c r="L695" i="10" s="1"/>
  <c r="J691" i="10"/>
  <c r="L691" i="10" s="1"/>
  <c r="J687" i="10"/>
  <c r="L687" i="10" s="1"/>
  <c r="J685" i="10"/>
  <c r="L685" i="10" s="1"/>
  <c r="J681" i="10"/>
  <c r="L681" i="10" s="1"/>
  <c r="J367" i="10"/>
  <c r="L367" i="10" s="1"/>
  <c r="J365" i="10"/>
  <c r="L365" i="10" s="1"/>
  <c r="J355" i="10"/>
  <c r="L355" i="10" s="1"/>
  <c r="J350" i="10"/>
  <c r="L350" i="10" s="1"/>
  <c r="J349" i="10"/>
  <c r="L349" i="10" s="1"/>
  <c r="J331" i="10"/>
  <c r="L331" i="10" s="1"/>
  <c r="J319" i="10"/>
  <c r="L319" i="10" s="1"/>
  <c r="J296" i="10"/>
  <c r="L296" i="10" s="1"/>
  <c r="J305" i="10"/>
  <c r="L305" i="10" s="1"/>
  <c r="J280" i="10"/>
  <c r="L280" i="10" s="1"/>
  <c r="J272" i="10"/>
  <c r="L272" i="10" s="1"/>
  <c r="J279" i="10"/>
  <c r="L279" i="10" s="1"/>
  <c r="J176" i="10"/>
  <c r="J72" i="10"/>
  <c r="J66" i="10"/>
  <c r="J52" i="10"/>
  <c r="J61" i="10"/>
  <c r="J678" i="10"/>
  <c r="L678" i="10" s="1"/>
  <c r="J671" i="10"/>
  <c r="L671" i="10" s="1"/>
  <c r="J669" i="10"/>
  <c r="L669" i="10" s="1"/>
  <c r="J667" i="10"/>
  <c r="L667" i="10" s="1"/>
  <c r="J660" i="10"/>
  <c r="L660" i="10" s="1"/>
  <c r="J633" i="10"/>
  <c r="L633" i="10" s="1"/>
  <c r="J618" i="10"/>
  <c r="L618" i="10" s="1"/>
  <c r="J604" i="10"/>
  <c r="L604" i="10" s="1"/>
  <c r="J590" i="10"/>
  <c r="L590" i="10" s="1"/>
  <c r="J574" i="10"/>
  <c r="L574" i="10" s="1"/>
  <c r="J562" i="10"/>
  <c r="L562" i="10" s="1"/>
  <c r="J677" i="10"/>
  <c r="L677" i="10" s="1"/>
  <c r="J675" i="10"/>
  <c r="L675" i="10" s="1"/>
  <c r="J645" i="10"/>
  <c r="L645" i="10" s="1"/>
  <c r="J629" i="10"/>
  <c r="L629" i="10" s="1"/>
  <c r="J615" i="10"/>
  <c r="L615" i="10" s="1"/>
  <c r="J601" i="10"/>
  <c r="L601" i="10" s="1"/>
  <c r="J586" i="10"/>
  <c r="L586" i="10" s="1"/>
  <c r="J559" i="10"/>
  <c r="L559" i="10" s="1"/>
  <c r="J676" i="10"/>
  <c r="L676" i="10" s="1"/>
  <c r="J674" i="10"/>
  <c r="L674" i="10" s="1"/>
  <c r="J654" i="10"/>
  <c r="L654" i="10" s="1"/>
  <c r="J641" i="10"/>
  <c r="L641" i="10" s="1"/>
  <c r="J626" i="10"/>
  <c r="L626" i="10" s="1"/>
  <c r="J611" i="10"/>
  <c r="L611" i="10" s="1"/>
  <c r="J598" i="10"/>
  <c r="L598" i="10" s="1"/>
  <c r="J582" i="10"/>
  <c r="L582" i="10" s="1"/>
  <c r="J569" i="10"/>
  <c r="L569" i="10" s="1"/>
  <c r="J679" i="10"/>
  <c r="L679" i="10" s="1"/>
  <c r="J673" i="10"/>
  <c r="J670" i="10"/>
  <c r="L670" i="10" s="1"/>
  <c r="J666" i="10"/>
  <c r="L666" i="10" s="1"/>
  <c r="J664" i="10"/>
  <c r="L664" i="10" s="1"/>
  <c r="J637" i="10"/>
  <c r="L637" i="10" s="1"/>
  <c r="J622" i="10"/>
  <c r="L622" i="10" s="1"/>
  <c r="J607" i="10"/>
  <c r="L607" i="10" s="1"/>
  <c r="J594" i="10"/>
  <c r="L594" i="10" s="1"/>
  <c r="J578" i="10"/>
  <c r="L578" i="10" s="1"/>
  <c r="J566" i="10"/>
  <c r="L566" i="10" s="1"/>
  <c r="J553" i="10"/>
  <c r="J549" i="10"/>
  <c r="J545" i="10"/>
  <c r="J541" i="10"/>
  <c r="J538" i="10"/>
  <c r="L530" i="10"/>
  <c r="J528" i="10"/>
  <c r="J523" i="10"/>
  <c r="J520" i="10"/>
  <c r="J516" i="10"/>
  <c r="J515" i="10"/>
  <c r="J510" i="10"/>
  <c r="L510" i="10" s="1"/>
  <c r="J415" i="10"/>
  <c r="L415" i="10" s="1"/>
  <c r="J408" i="10"/>
  <c r="L408" i="10" s="1"/>
  <c r="J407" i="10"/>
  <c r="L407" i="10" s="1"/>
  <c r="J406" i="10"/>
  <c r="L406" i="10" s="1"/>
  <c r="J405" i="10"/>
  <c r="L405" i="10" s="1"/>
  <c r="J404" i="10"/>
  <c r="L404" i="10" s="1"/>
  <c r="J663" i="10"/>
  <c r="L663" i="10" s="1"/>
  <c r="J659" i="10"/>
  <c r="L659" i="10" s="1"/>
  <c r="J657" i="10"/>
  <c r="L657" i="10" s="1"/>
  <c r="J651" i="10"/>
  <c r="L651" i="10" s="1"/>
  <c r="J648" i="10"/>
  <c r="L648" i="10" s="1"/>
  <c r="J644" i="10"/>
  <c r="L644" i="10" s="1"/>
  <c r="J640" i="10"/>
  <c r="L640" i="10" s="1"/>
  <c r="J636" i="10"/>
  <c r="L636" i="10" s="1"/>
  <c r="J632" i="10"/>
  <c r="L632" i="10" s="1"/>
  <c r="J628" i="10"/>
  <c r="L628" i="10" s="1"/>
  <c r="J625" i="10"/>
  <c r="L625" i="10" s="1"/>
  <c r="J621" i="10"/>
  <c r="L621" i="10" s="1"/>
  <c r="J617" i="10"/>
  <c r="L617" i="10" s="1"/>
  <c r="J614" i="10"/>
  <c r="L614" i="10" s="1"/>
  <c r="J610" i="10"/>
  <c r="L610" i="10" s="1"/>
  <c r="J606" i="10"/>
  <c r="L606" i="10" s="1"/>
  <c r="J603" i="10"/>
  <c r="L603" i="10" s="1"/>
  <c r="J597" i="10"/>
  <c r="L597" i="10" s="1"/>
  <c r="J593" i="10"/>
  <c r="L593" i="10" s="1"/>
  <c r="J589" i="10"/>
  <c r="L589" i="10" s="1"/>
  <c r="J585" i="10"/>
  <c r="L585" i="10" s="1"/>
  <c r="J581" i="10"/>
  <c r="L581" i="10" s="1"/>
  <c r="J577" i="10"/>
  <c r="L577" i="10" s="1"/>
  <c r="J573" i="10"/>
  <c r="L573" i="10" s="1"/>
  <c r="J572" i="10"/>
  <c r="L572" i="10" s="1"/>
  <c r="J568" i="10"/>
  <c r="L568" i="10" s="1"/>
  <c r="J565" i="10"/>
  <c r="L565" i="10" s="1"/>
  <c r="J558" i="10"/>
  <c r="L558" i="10" s="1"/>
  <c r="J552" i="10"/>
  <c r="L552" i="10" s="1"/>
  <c r="J548" i="10"/>
  <c r="L548" i="10" s="1"/>
  <c r="J544" i="10"/>
  <c r="L544" i="10" s="1"/>
  <c r="L537" i="10"/>
  <c r="L533" i="10"/>
  <c r="J529" i="10"/>
  <c r="J524" i="10"/>
  <c r="J521" i="10"/>
  <c r="J517" i="10"/>
  <c r="L517" i="10" s="1"/>
  <c r="J513" i="10"/>
  <c r="J508" i="10"/>
  <c r="L508" i="10" s="1"/>
  <c r="J505" i="10"/>
  <c r="L505" i="10" s="1"/>
  <c r="J662" i="10"/>
  <c r="L662" i="10" s="1"/>
  <c r="J658" i="10"/>
  <c r="L658" i="10" s="1"/>
  <c r="J656" i="10"/>
  <c r="L656" i="10" s="1"/>
  <c r="J653" i="10"/>
  <c r="L653" i="10" s="1"/>
  <c r="J650" i="10"/>
  <c r="L650" i="10" s="1"/>
  <c r="J647" i="10"/>
  <c r="L647" i="10" s="1"/>
  <c r="J643" i="10"/>
  <c r="L643" i="10" s="1"/>
  <c r="J639" i="10"/>
  <c r="L639" i="10" s="1"/>
  <c r="J635" i="10"/>
  <c r="L635" i="10" s="1"/>
  <c r="J631" i="10"/>
  <c r="L631" i="10" s="1"/>
  <c r="J624" i="10"/>
  <c r="L624" i="10" s="1"/>
  <c r="J620" i="10"/>
  <c r="L620" i="10" s="1"/>
  <c r="J616" i="10"/>
  <c r="L616" i="10" s="1"/>
  <c r="J613" i="10"/>
  <c r="L613" i="10" s="1"/>
  <c r="J609" i="10"/>
  <c r="L609" i="10" s="1"/>
  <c r="J605" i="10"/>
  <c r="L605" i="10" s="1"/>
  <c r="J602" i="10"/>
  <c r="L602" i="10" s="1"/>
  <c r="J600" i="10"/>
  <c r="L600" i="10" s="1"/>
  <c r="J596" i="10"/>
  <c r="L596" i="10" s="1"/>
  <c r="J592" i="10"/>
  <c r="L592" i="10" s="1"/>
  <c r="J588" i="10"/>
  <c r="L588" i="10" s="1"/>
  <c r="J584" i="10"/>
  <c r="L584" i="10" s="1"/>
  <c r="J580" i="10"/>
  <c r="L580" i="10" s="1"/>
  <c r="J576" i="10"/>
  <c r="L576" i="10" s="1"/>
  <c r="J571" i="10"/>
  <c r="L571" i="10" s="1"/>
  <c r="J564" i="10"/>
  <c r="L564" i="10" s="1"/>
  <c r="J561" i="10"/>
  <c r="L561" i="10" s="1"/>
  <c r="J557" i="10"/>
  <c r="J555" i="10"/>
  <c r="J551" i="10"/>
  <c r="J547" i="10"/>
  <c r="J543" i="10"/>
  <c r="J540" i="10"/>
  <c r="L536" i="10"/>
  <c r="J525" i="10"/>
  <c r="J518" i="10"/>
  <c r="J507" i="10"/>
  <c r="L507" i="10" s="1"/>
  <c r="J672" i="10"/>
  <c r="L672" i="10" s="1"/>
  <c r="J668" i="10"/>
  <c r="L668" i="10" s="1"/>
  <c r="J665" i="10"/>
  <c r="L665" i="10" s="1"/>
  <c r="J661" i="10"/>
  <c r="L661" i="10" s="1"/>
  <c r="J655" i="10"/>
  <c r="L655" i="10" s="1"/>
  <c r="J652" i="10"/>
  <c r="L652" i="10" s="1"/>
  <c r="J649" i="10"/>
  <c r="L649" i="10" s="1"/>
  <c r="J646" i="10"/>
  <c r="L646" i="10" s="1"/>
  <c r="J642" i="10"/>
  <c r="L642" i="10" s="1"/>
  <c r="J638" i="10"/>
  <c r="L638" i="10" s="1"/>
  <c r="J634" i="10"/>
  <c r="L634" i="10" s="1"/>
  <c r="J630" i="10"/>
  <c r="L630" i="10" s="1"/>
  <c r="J627" i="10"/>
  <c r="L627" i="10" s="1"/>
  <c r="J623" i="10"/>
  <c r="L623" i="10" s="1"/>
  <c r="J619" i="10"/>
  <c r="L619" i="10" s="1"/>
  <c r="J612" i="10"/>
  <c r="L612" i="10" s="1"/>
  <c r="J608" i="10"/>
  <c r="L608" i="10" s="1"/>
  <c r="J599" i="10"/>
  <c r="L599" i="10" s="1"/>
  <c r="J595" i="10"/>
  <c r="L595" i="10" s="1"/>
  <c r="J591" i="10"/>
  <c r="L591" i="10" s="1"/>
  <c r="J587" i="10"/>
  <c r="L587" i="10" s="1"/>
  <c r="J583" i="10"/>
  <c r="L583" i="10" s="1"/>
  <c r="J579" i="10"/>
  <c r="L579" i="10" s="1"/>
  <c r="J575" i="10"/>
  <c r="L575" i="10" s="1"/>
  <c r="J570" i="10"/>
  <c r="L570" i="10" s="1"/>
  <c r="J567" i="10"/>
  <c r="L567" i="10" s="1"/>
  <c r="J563" i="10"/>
  <c r="L563" i="10" s="1"/>
  <c r="J560" i="10"/>
  <c r="L560" i="10" s="1"/>
  <c r="J556" i="10"/>
  <c r="J554" i="10"/>
  <c r="J550" i="10"/>
  <c r="J546" i="10"/>
  <c r="J542" i="10"/>
  <c r="J539" i="10"/>
  <c r="L535" i="10"/>
  <c r="L531" i="10"/>
  <c r="J527" i="10"/>
  <c r="J526" i="10"/>
  <c r="J522" i="10"/>
  <c r="J519" i="10"/>
  <c r="J514" i="10"/>
  <c r="J512" i="10"/>
  <c r="J394" i="10"/>
  <c r="L394" i="10" s="1"/>
  <c r="J390" i="10"/>
  <c r="L390" i="10" s="1"/>
  <c r="J511" i="10"/>
  <c r="J509" i="10"/>
  <c r="J503" i="10"/>
  <c r="L503" i="10" s="1"/>
  <c r="J451" i="10"/>
  <c r="L451" i="10" s="1"/>
  <c r="J501" i="10"/>
  <c r="L501" i="10" s="1"/>
  <c r="J482" i="10"/>
  <c r="L482" i="10" s="1"/>
  <c r="J499" i="10"/>
  <c r="L499" i="10" s="1"/>
  <c r="J389" i="10"/>
  <c r="L389" i="10" s="1"/>
  <c r="J388" i="10"/>
  <c r="L388" i="10" s="1"/>
  <c r="J387" i="10"/>
  <c r="L387" i="10" s="1"/>
  <c r="J380" i="10"/>
  <c r="L380" i="10" s="1"/>
  <c r="J467" i="10"/>
  <c r="L467" i="10" s="1"/>
  <c r="J465" i="10"/>
  <c r="L465" i="10" s="1"/>
  <c r="J460" i="10"/>
  <c r="L460" i="10" s="1"/>
  <c r="J468" i="10"/>
  <c r="L468" i="10" s="1"/>
  <c r="J466" i="10"/>
  <c r="L466" i="10" s="1"/>
  <c r="J65" i="10"/>
  <c r="J248" i="10"/>
  <c r="J93" i="10"/>
  <c r="J133" i="10"/>
  <c r="J124" i="10"/>
  <c r="J117" i="10"/>
  <c r="J134" i="10"/>
  <c r="J94" i="10"/>
  <c r="J71" i="10"/>
  <c r="J68" i="10"/>
  <c r="J98" i="10"/>
  <c r="J92" i="10"/>
  <c r="L546" i="10" l="1"/>
  <c r="L529" i="10"/>
  <c r="L541" i="10"/>
  <c r="L673" i="10"/>
  <c r="L557" i="10"/>
  <c r="L556" i="10"/>
  <c r="L513" i="10"/>
  <c r="L545" i="10"/>
  <c r="L523" i="10"/>
  <c r="L520" i="10"/>
  <c r="L525" i="10"/>
  <c r="L518" i="10"/>
  <c r="L514" i="10"/>
  <c r="L553" i="10"/>
  <c r="L509" i="10"/>
  <c r="L524" i="10"/>
  <c r="L542" i="10"/>
  <c r="L554" i="10"/>
  <c r="L547" i="10"/>
  <c r="L521" i="10"/>
  <c r="L516" i="10"/>
  <c r="L550" i="10"/>
  <c r="L527" i="10"/>
  <c r="L540" i="10"/>
  <c r="L551" i="10"/>
  <c r="L519" i="10"/>
  <c r="L522" i="10"/>
  <c r="L526" i="10"/>
  <c r="L539" i="10"/>
  <c r="L512" i="10"/>
  <c r="L534" i="10"/>
  <c r="L528" i="10"/>
  <c r="L515" i="10"/>
  <c r="L543" i="10"/>
  <c r="L555" i="10"/>
  <c r="L532" i="10"/>
  <c r="L511" i="10"/>
  <c r="L538" i="10"/>
  <c r="L549" i="10"/>
  <c r="L176" i="10"/>
  <c r="L220" i="10"/>
  <c r="L92" i="10"/>
  <c r="L117" i="10"/>
  <c r="L93" i="10"/>
  <c r="L214" i="10"/>
  <c r="L196" i="10"/>
  <c r="L98" i="10"/>
  <c r="L65" i="10"/>
  <c r="L248" i="10"/>
  <c r="L207" i="10"/>
  <c r="L133" i="10"/>
  <c r="L134" i="10"/>
  <c r="L124" i="10"/>
  <c r="L94" i="10"/>
  <c r="L76" i="10"/>
  <c r="L68" i="10"/>
  <c r="L72" i="10"/>
  <c r="L71" i="10"/>
  <c r="L66" i="10"/>
  <c r="L52" i="10"/>
  <c r="L61" i="10"/>
  <c r="K11" i="10"/>
  <c r="K12" i="10"/>
  <c r="K13" i="10"/>
  <c r="D107" i="10" l="1"/>
  <c r="D132" i="10"/>
  <c r="D364" i="10"/>
  <c r="D137" i="10"/>
  <c r="D379" i="10"/>
  <c r="D718" i="10"/>
  <c r="D729" i="10"/>
  <c r="D722" i="10"/>
  <c r="J729" i="10" l="1"/>
  <c r="L729" i="10" s="1"/>
  <c r="D16" i="10"/>
  <c r="D8" i="10"/>
  <c r="D226" i="10"/>
  <c r="D145" i="10"/>
  <c r="D48" i="10"/>
  <c r="D480" i="10"/>
  <c r="D473" i="10"/>
  <c r="D414" i="10"/>
  <c r="D446" i="10"/>
  <c r="D348" i="10"/>
  <c r="D178" i="10"/>
  <c r="D339" i="10"/>
  <c r="D259" i="10"/>
  <c r="D131" i="10"/>
  <c r="D22" i="10"/>
  <c r="D206" i="10"/>
  <c r="D195" i="10"/>
  <c r="D189" i="10"/>
  <c r="D32" i="10"/>
  <c r="D15" i="10"/>
  <c r="D5" i="10"/>
  <c r="D433" i="10"/>
  <c r="D39" i="10"/>
  <c r="D136" i="10"/>
  <c r="D428" i="10"/>
  <c r="D717" i="10"/>
  <c r="D329" i="10"/>
  <c r="J722" i="10"/>
  <c r="L722" i="10" s="1"/>
  <c r="J137" i="10"/>
  <c r="L137" i="10" s="1"/>
  <c r="J364" i="10"/>
  <c r="L364" i="10" s="1"/>
  <c r="J718" i="10"/>
  <c r="L718" i="10" s="1"/>
  <c r="J132" i="10"/>
  <c r="L132" i="10" s="1"/>
  <c r="J379" i="10"/>
  <c r="L379" i="10" s="1"/>
  <c r="J107" i="10"/>
  <c r="L107" i="10" s="1"/>
  <c r="K5" i="10"/>
  <c r="K6" i="10"/>
  <c r="D7" i="10"/>
  <c r="K7" i="10"/>
  <c r="K8" i="10"/>
  <c r="K15" i="10"/>
  <c r="K16" i="10"/>
  <c r="K18" i="10"/>
  <c r="D23" i="10"/>
  <c r="K23" i="10"/>
  <c r="K24" i="10"/>
  <c r="D25" i="10"/>
  <c r="K25" i="10"/>
  <c r="D26" i="10"/>
  <c r="K26" i="10"/>
  <c r="D27" i="10"/>
  <c r="K27" i="10"/>
  <c r="K28" i="10"/>
  <c r="K29" i="10"/>
  <c r="K30" i="10"/>
  <c r="K31" i="10"/>
  <c r="K32" i="10"/>
  <c r="K33" i="10"/>
  <c r="J717" i="10" l="1"/>
  <c r="L717" i="10" s="1"/>
  <c r="J433" i="10"/>
  <c r="L433" i="10" s="1"/>
  <c r="J189" i="10"/>
  <c r="L189" i="10" s="1"/>
  <c r="J131" i="10"/>
  <c r="L131" i="10" s="1"/>
  <c r="J348" i="10"/>
  <c r="L348" i="10" s="1"/>
  <c r="J480" i="10"/>
  <c r="L480" i="10" s="1"/>
  <c r="J428" i="10"/>
  <c r="L428" i="10" s="1"/>
  <c r="J195" i="10"/>
  <c r="L195" i="10" s="1"/>
  <c r="J259" i="10"/>
  <c r="L259" i="10" s="1"/>
  <c r="J446" i="10"/>
  <c r="L446" i="10" s="1"/>
  <c r="J48" i="10"/>
  <c r="L48" i="10" s="1"/>
  <c r="J136" i="10"/>
  <c r="L136" i="10" s="1"/>
  <c r="J206" i="10"/>
  <c r="L206" i="10" s="1"/>
  <c r="J339" i="10"/>
  <c r="L339" i="10" s="1"/>
  <c r="J414" i="10"/>
  <c r="L414" i="10" s="1"/>
  <c r="J145" i="10"/>
  <c r="L145" i="10" s="1"/>
  <c r="J329" i="10"/>
  <c r="L329" i="10" s="1"/>
  <c r="J39" i="10"/>
  <c r="L39" i="10" s="1"/>
  <c r="J178" i="10"/>
  <c r="L178" i="10" s="1"/>
  <c r="J473" i="10"/>
  <c r="L473" i="10" s="1"/>
  <c r="J226" i="10"/>
  <c r="L226" i="10" s="1"/>
  <c r="K34" i="10"/>
  <c r="K22" i="10"/>
  <c r="K21" i="10"/>
  <c r="K20" i="10"/>
  <c r="K19" i="10"/>
  <c r="K17" i="10"/>
  <c r="K14" i="10"/>
  <c r="K10" i="10"/>
  <c r="K9" i="10"/>
  <c r="K4" i="10"/>
  <c r="J8" i="10"/>
  <c r="L8" i="10" s="1"/>
  <c r="J16" i="10"/>
  <c r="L16" i="10" s="1"/>
  <c r="J23" i="10"/>
  <c r="L23" i="10" s="1"/>
  <c r="J27" i="10"/>
  <c r="L27" i="10" s="1"/>
  <c r="J22" i="10"/>
  <c r="J7" i="10"/>
  <c r="L7" i="10" s="1"/>
  <c r="J26" i="10"/>
  <c r="L26" i="10" s="1"/>
  <c r="J32" i="10"/>
  <c r="L32" i="10" s="1"/>
  <c r="J5" i="10"/>
  <c r="L5" i="10" s="1"/>
  <c r="J28" i="10"/>
  <c r="L28" i="10" s="1"/>
  <c r="J15" i="10"/>
  <c r="L15" i="10" s="1"/>
  <c r="J25" i="10"/>
  <c r="L25" i="10" s="1"/>
  <c r="L22" i="10" l="1"/>
  <c r="D213" i="10" l="1"/>
  <c r="J213" i="10" l="1"/>
  <c r="L213" i="10" s="1"/>
  <c r="D229" i="10" l="1"/>
  <c r="D412" i="10"/>
  <c r="J229" i="10" l="1"/>
  <c r="L229" i="10" s="1"/>
  <c r="J412" i="10"/>
  <c r="L412" i="10" s="1"/>
  <c r="D77" i="10" l="1"/>
  <c r="D188" i="10" l="1"/>
  <c r="D106" i="10"/>
  <c r="J77" i="10"/>
  <c r="L77" i="10" s="1"/>
  <c r="D128" i="10"/>
  <c r="D41" i="10"/>
  <c r="D109" i="10"/>
  <c r="D110" i="10"/>
  <c r="D111" i="10"/>
  <c r="D461" i="10"/>
  <c r="D112" i="10"/>
  <c r="D396" i="10"/>
  <c r="D236" i="10"/>
  <c r="D42" i="10"/>
  <c r="D43" i="10"/>
  <c r="D29" i="10"/>
  <c r="D102" i="10"/>
  <c r="D78" i="10"/>
  <c r="D44" i="10"/>
  <c r="D180" i="10"/>
  <c r="D197" i="10"/>
  <c r="D237" i="10"/>
  <c r="D170" i="10"/>
  <c r="D158" i="10"/>
  <c r="D238" i="10"/>
  <c r="D198" i="10"/>
  <c r="D181" i="10"/>
  <c r="D171" i="10"/>
  <c r="D159" i="10"/>
  <c r="D281" i="10"/>
  <c r="D79" i="10"/>
  <c r="D113" i="10"/>
  <c r="D161" i="10"/>
  <c r="D282" i="10"/>
  <c r="D283" i="10"/>
  <c r="D50" i="10"/>
  <c r="D51" i="10"/>
  <c r="D67" i="10"/>
  <c r="D200" i="10"/>
  <c r="D147" i="10"/>
  <c r="D254" i="10"/>
  <c r="D163" i="10"/>
  <c r="D174" i="10"/>
  <c r="D37" i="10"/>
  <c r="D192" i="10"/>
  <c r="D202" i="10"/>
  <c r="D81" i="10"/>
  <c r="D82" i="10"/>
  <c r="D83" i="10"/>
  <c r="D84" i="10"/>
  <c r="D203" i="10"/>
  <c r="D424" i="10"/>
  <c r="D270" i="10"/>
  <c r="D30" i="10"/>
  <c r="D164" i="10"/>
  <c r="D156" i="10"/>
  <c r="D165" i="10"/>
  <c r="D123" i="10"/>
  <c r="D418" i="10"/>
  <c r="D140" i="10"/>
  <c r="D141" i="10"/>
  <c r="D142" i="10"/>
  <c r="D271" i="10"/>
  <c r="D151" i="10"/>
  <c r="D55" i="10"/>
  <c r="D38" i="10"/>
  <c r="D413" i="10"/>
  <c r="D246" i="10"/>
  <c r="D386" i="10"/>
  <c r="D392" i="10"/>
  <c r="D402" i="10"/>
  <c r="D233" i="10"/>
  <c r="D464" i="10"/>
  <c r="D295" i="10"/>
  <c r="D144" i="10"/>
  <c r="D57" i="10"/>
  <c r="D126" i="10"/>
  <c r="D127" i="10"/>
  <c r="D416" i="10"/>
  <c r="D40" i="10"/>
  <c r="D33" i="10" l="1"/>
  <c r="D108" i="10"/>
  <c r="D455" i="10"/>
  <c r="D432" i="10"/>
  <c r="D445" i="10"/>
  <c r="D440" i="10"/>
  <c r="D427" i="10"/>
  <c r="J57" i="10"/>
  <c r="L57" i="10" s="1"/>
  <c r="D354" i="10"/>
  <c r="D346" i="10"/>
  <c r="D258" i="10"/>
  <c r="D70" i="10"/>
  <c r="D91" i="10"/>
  <c r="D24" i="10"/>
  <c r="J295" i="10"/>
  <c r="L295" i="10" s="1"/>
  <c r="D234" i="10"/>
  <c r="D443" i="10"/>
  <c r="J392" i="10"/>
  <c r="L392" i="10" s="1"/>
  <c r="J386" i="10"/>
  <c r="L386" i="10" s="1"/>
  <c r="D75" i="10"/>
  <c r="D88" i="10"/>
  <c r="D431" i="10"/>
  <c r="D143" i="10"/>
  <c r="D449" i="10"/>
  <c r="D293" i="10"/>
  <c r="D187" i="10"/>
  <c r="J55" i="10"/>
  <c r="L55" i="10" s="1"/>
  <c r="J140" i="10"/>
  <c r="L140" i="10" s="1"/>
  <c r="J418" i="10"/>
  <c r="L418" i="10" s="1"/>
  <c r="D116" i="10"/>
  <c r="D194" i="10"/>
  <c r="D361" i="10"/>
  <c r="D250" i="10"/>
  <c r="D382" i="10"/>
  <c r="D148" i="10"/>
  <c r="J156" i="10"/>
  <c r="L156" i="10" s="1"/>
  <c r="D211" i="10"/>
  <c r="D205" i="10"/>
  <c r="D204" i="10"/>
  <c r="D218" i="10"/>
  <c r="D327" i="10"/>
  <c r="D377" i="10"/>
  <c r="D303" i="10"/>
  <c r="D315" i="10"/>
  <c r="D358" i="10"/>
  <c r="D423" i="10"/>
  <c r="D99" i="10"/>
  <c r="J203" i="10"/>
  <c r="L203" i="10" s="1"/>
  <c r="J84" i="10"/>
  <c r="L84" i="10" s="1"/>
  <c r="D223" i="10"/>
  <c r="D312" i="10"/>
  <c r="J192" i="10"/>
  <c r="L192" i="10" s="1"/>
  <c r="D155" i="10"/>
  <c r="D201" i="10"/>
  <c r="D310" i="10"/>
  <c r="D370" i="10"/>
  <c r="D289" i="10"/>
  <c r="D103" i="10"/>
  <c r="D18" i="10"/>
  <c r="D96" i="10"/>
  <c r="D17" i="10"/>
  <c r="D185" i="10"/>
  <c r="D190" i="10"/>
  <c r="D452" i="10"/>
  <c r="D456" i="10"/>
  <c r="D114" i="10"/>
  <c r="D441" i="10"/>
  <c r="D138" i="10"/>
  <c r="D447" i="10"/>
  <c r="J147" i="10"/>
  <c r="L147" i="10" s="1"/>
  <c r="J67" i="10"/>
  <c r="L67" i="10" s="1"/>
  <c r="J161" i="10"/>
  <c r="L161" i="10" s="1"/>
  <c r="D252" i="10"/>
  <c r="D340" i="10"/>
  <c r="J171" i="10"/>
  <c r="L171" i="10" s="1"/>
  <c r="D199" i="10"/>
  <c r="D299" i="10"/>
  <c r="J158" i="10"/>
  <c r="L158" i="10" s="1"/>
  <c r="J180" i="10"/>
  <c r="L180" i="10" s="1"/>
  <c r="D169" i="10"/>
  <c r="D179" i="10"/>
  <c r="J102" i="10"/>
  <c r="L102" i="10" s="1"/>
  <c r="D227" i="10"/>
  <c r="D397" i="10"/>
  <c r="D235" i="10"/>
  <c r="D9" i="10"/>
  <c r="D368" i="10"/>
  <c r="J368" i="10" s="1"/>
  <c r="L368" i="10" s="1"/>
  <c r="D434" i="10"/>
  <c r="J41" i="10"/>
  <c r="L41" i="10" s="1"/>
  <c r="D395" i="10"/>
  <c r="J127" i="10"/>
  <c r="L127" i="10" s="1"/>
  <c r="J464" i="10"/>
  <c r="L464" i="10" s="1"/>
  <c r="D4" i="10"/>
  <c r="D64" i="10"/>
  <c r="D168" i="10"/>
  <c r="D454" i="10"/>
  <c r="D157" i="10"/>
  <c r="D266" i="10"/>
  <c r="D353" i="10"/>
  <c r="D459" i="10"/>
  <c r="D120" i="10"/>
  <c r="D257" i="10"/>
  <c r="D13" i="10"/>
  <c r="J233" i="10"/>
  <c r="L233" i="10" s="1"/>
  <c r="D471" i="10"/>
  <c r="D478" i="10"/>
  <c r="D463" i="10"/>
  <c r="D720" i="10"/>
  <c r="D224" i="10"/>
  <c r="D54" i="10"/>
  <c r="D87" i="10"/>
  <c r="D59" i="10"/>
  <c r="D118" i="10"/>
  <c r="D401" i="10"/>
  <c r="D391" i="10"/>
  <c r="D100" i="10"/>
  <c r="D53" i="10"/>
  <c r="D212" i="10"/>
  <c r="D265" i="10"/>
  <c r="J164" i="10"/>
  <c r="L164" i="10" s="1"/>
  <c r="D217" i="10"/>
  <c r="D376" i="10"/>
  <c r="D186" i="10"/>
  <c r="D324" i="10"/>
  <c r="D357" i="10"/>
  <c r="D314" i="10"/>
  <c r="D85" i="10"/>
  <c r="D457" i="10"/>
  <c r="D256" i="10"/>
  <c r="D276" i="10"/>
  <c r="D345" i="10"/>
  <c r="D352" i="10"/>
  <c r="J83" i="10"/>
  <c r="L83" i="10" s="1"/>
  <c r="D228" i="10"/>
  <c r="D311" i="10"/>
  <c r="D343" i="10"/>
  <c r="D175" i="10"/>
  <c r="D302" i="10"/>
  <c r="D191" i="10"/>
  <c r="D373" i="10"/>
  <c r="D309" i="10"/>
  <c r="D36" i="10"/>
  <c r="D410" i="10"/>
  <c r="D184" i="10"/>
  <c r="D153" i="10"/>
  <c r="D10" i="10"/>
  <c r="J10" i="10" s="1"/>
  <c r="L10" i="10" s="1"/>
  <c r="D209" i="10"/>
  <c r="D372" i="10"/>
  <c r="D308" i="10"/>
  <c r="D417" i="10"/>
  <c r="D369" i="10"/>
  <c r="D435" i="10"/>
  <c r="D122" i="10"/>
  <c r="D146" i="10"/>
  <c r="D398" i="10"/>
  <c r="J200" i="10"/>
  <c r="L200" i="10" s="1"/>
  <c r="J51" i="10"/>
  <c r="L51" i="10" s="1"/>
  <c r="D288" i="10"/>
  <c r="D284" i="10"/>
  <c r="D208" i="10"/>
  <c r="D307" i="10"/>
  <c r="J113" i="10"/>
  <c r="L113" i="10" s="1"/>
  <c r="J281" i="10"/>
  <c r="L281" i="10" s="1"/>
  <c r="J181" i="10"/>
  <c r="L181" i="10" s="1"/>
  <c r="J170" i="10"/>
  <c r="L170" i="10" s="1"/>
  <c r="J461" i="10"/>
  <c r="L461" i="10" s="1"/>
  <c r="J111" i="10"/>
  <c r="L111" i="10" s="1"/>
  <c r="J109" i="10"/>
  <c r="L109" i="10" s="1"/>
  <c r="J128" i="10"/>
  <c r="L128" i="10" s="1"/>
  <c r="J126" i="10"/>
  <c r="L126" i="10" s="1"/>
  <c r="D419" i="10"/>
  <c r="D426" i="10"/>
  <c r="D90" i="10"/>
  <c r="D21" i="10"/>
  <c r="D438" i="10"/>
  <c r="D403" i="10"/>
  <c r="D714" i="10"/>
  <c r="D104" i="10"/>
  <c r="J246" i="10"/>
  <c r="L246" i="10" s="1"/>
  <c r="D448" i="10"/>
  <c r="D292" i="10"/>
  <c r="D177" i="10"/>
  <c r="J38" i="10"/>
  <c r="L38" i="10" s="1"/>
  <c r="D462" i="10"/>
  <c r="D167" i="10"/>
  <c r="J151" i="10"/>
  <c r="L151" i="10" s="1"/>
  <c r="J142" i="10"/>
  <c r="L142" i="10" s="1"/>
  <c r="D73" i="10"/>
  <c r="D442" i="10"/>
  <c r="D727" i="10"/>
  <c r="D384" i="10"/>
  <c r="J123" i="10"/>
  <c r="L123" i="10" s="1"/>
  <c r="D360" i="10"/>
  <c r="D278" i="10"/>
  <c r="D193" i="10"/>
  <c r="D316" i="10"/>
  <c r="D400" i="10"/>
  <c r="D232" i="10"/>
  <c r="D20" i="10"/>
  <c r="D425" i="10"/>
  <c r="D277" i="10"/>
  <c r="D115" i="10"/>
  <c r="D245" i="10"/>
  <c r="D326" i="10"/>
  <c r="D375" i="10"/>
  <c r="J30" i="10"/>
  <c r="L30" i="10" s="1"/>
  <c r="D477" i="10"/>
  <c r="D243" i="10"/>
  <c r="D230" i="10"/>
  <c r="D249" i="10"/>
  <c r="D264" i="10"/>
  <c r="D351" i="10"/>
  <c r="D290" i="10"/>
  <c r="D337" i="10"/>
  <c r="D275" i="10"/>
  <c r="D242" i="10"/>
  <c r="D335" i="10"/>
  <c r="D399" i="10"/>
  <c r="J82" i="10"/>
  <c r="L82" i="10" s="1"/>
  <c r="D216" i="10"/>
  <c r="D437" i="10"/>
  <c r="D334" i="10"/>
  <c r="D286" i="10"/>
  <c r="D274" i="10"/>
  <c r="D262" i="10"/>
  <c r="D476" i="10"/>
  <c r="D411" i="10"/>
  <c r="D139" i="10"/>
  <c r="J174" i="10"/>
  <c r="L174" i="10" s="1"/>
  <c r="D63" i="10"/>
  <c r="D422" i="10"/>
  <c r="D154" i="10"/>
  <c r="D173" i="10"/>
  <c r="D11" i="10"/>
  <c r="D436" i="10"/>
  <c r="D162" i="10"/>
  <c r="D429" i="10"/>
  <c r="D183" i="10"/>
  <c r="D152" i="10"/>
  <c r="D240" i="10"/>
  <c r="D725" i="10"/>
  <c r="D323" i="10"/>
  <c r="D285" i="10"/>
  <c r="J50" i="10"/>
  <c r="L50" i="10" s="1"/>
  <c r="J283" i="10"/>
  <c r="L283" i="10" s="1"/>
  <c r="D333" i="10"/>
  <c r="D260" i="10"/>
  <c r="D222" i="10"/>
  <c r="D306" i="10"/>
  <c r="J79" i="10"/>
  <c r="L79" i="10" s="1"/>
  <c r="D160" i="10"/>
  <c r="D301" i="10"/>
  <c r="J159" i="10"/>
  <c r="L159" i="10" s="1"/>
  <c r="D182" i="10"/>
  <c r="D300" i="10"/>
  <c r="J300" i="10" s="1"/>
  <c r="J198" i="10"/>
  <c r="L198" i="10" s="1"/>
  <c r="J237" i="10"/>
  <c r="L237" i="10" s="1"/>
  <c r="J44" i="10"/>
  <c r="L44" i="10" s="1"/>
  <c r="D469" i="10"/>
  <c r="D35" i="10"/>
  <c r="D420" i="10"/>
  <c r="J43" i="10"/>
  <c r="L43" i="10" s="1"/>
  <c r="J42" i="10"/>
  <c r="L42" i="10" s="1"/>
  <c r="J236" i="10"/>
  <c r="L236" i="10" s="1"/>
  <c r="J396" i="10"/>
  <c r="L396" i="10" s="1"/>
  <c r="J110" i="10"/>
  <c r="L110" i="10" s="1"/>
  <c r="J106" i="10"/>
  <c r="L106" i="10" s="1"/>
  <c r="J416" i="10"/>
  <c r="L416" i="10" s="1"/>
  <c r="J144" i="10"/>
  <c r="L144" i="10" s="1"/>
  <c r="D317" i="10"/>
  <c r="D328" i="10"/>
  <c r="D347" i="10"/>
  <c r="D363" i="10"/>
  <c r="D728" i="10"/>
  <c r="D721" i="10"/>
  <c r="D716" i="10"/>
  <c r="D472" i="10"/>
  <c r="D479" i="10"/>
  <c r="D444" i="10"/>
  <c r="D439" i="10"/>
  <c r="D450" i="10"/>
  <c r="D338" i="10"/>
  <c r="D130" i="10"/>
  <c r="D135" i="10"/>
  <c r="D47" i="10"/>
  <c r="D31" i="10"/>
  <c r="D101" i="10"/>
  <c r="D6" i="10"/>
  <c r="D14" i="10"/>
  <c r="D225" i="10"/>
  <c r="D219" i="10"/>
  <c r="D60" i="10"/>
  <c r="D56" i="10"/>
  <c r="D393" i="10"/>
  <c r="D294" i="10"/>
  <c r="D89" i="10"/>
  <c r="D105" i="10"/>
  <c r="D715" i="10"/>
  <c r="D125" i="10"/>
  <c r="J402" i="10"/>
  <c r="L402" i="10" s="1"/>
  <c r="J413" i="10"/>
  <c r="L413" i="10" s="1"/>
  <c r="D119" i="10"/>
  <c r="D69" i="10"/>
  <c r="D458" i="10"/>
  <c r="D166" i="10"/>
  <c r="D430" i="10"/>
  <c r="D385" i="10"/>
  <c r="D86" i="10"/>
  <c r="D74" i="10"/>
  <c r="J141" i="10"/>
  <c r="L141" i="10" s="1"/>
  <c r="D150" i="10"/>
  <c r="D12" i="10"/>
  <c r="D378" i="10"/>
  <c r="D362" i="10"/>
  <c r="D291" i="10"/>
  <c r="D383" i="10"/>
  <c r="D149" i="10"/>
  <c r="J165" i="10"/>
  <c r="L165" i="10" s="1"/>
  <c r="D381" i="10"/>
  <c r="D231" i="10"/>
  <c r="D19" i="10"/>
  <c r="D244" i="10"/>
  <c r="D374" i="10"/>
  <c r="D325" i="10"/>
  <c r="D359" i="10"/>
  <c r="J270" i="10"/>
  <c r="L270" i="10" s="1"/>
  <c r="J424" i="10"/>
  <c r="L424" i="10" s="1"/>
  <c r="D263" i="10"/>
  <c r="D344" i="10"/>
  <c r="D336" i="10"/>
  <c r="J81" i="10"/>
  <c r="L81" i="10" s="1"/>
  <c r="D210" i="10"/>
  <c r="D313" i="10"/>
  <c r="D269" i="10"/>
  <c r="D255" i="10"/>
  <c r="D342" i="10"/>
  <c r="D58" i="10"/>
  <c r="D726" i="10"/>
  <c r="D268" i="10"/>
  <c r="D356" i="10"/>
  <c r="D719" i="10"/>
  <c r="J202" i="10"/>
  <c r="L202" i="10" s="1"/>
  <c r="J37" i="10"/>
  <c r="L37" i="10" s="1"/>
  <c r="J163" i="10"/>
  <c r="L163" i="10" s="1"/>
  <c r="J254" i="10"/>
  <c r="L254" i="10" s="1"/>
  <c r="D62" i="10"/>
  <c r="D453" i="10"/>
  <c r="D261" i="10"/>
  <c r="D95" i="10"/>
  <c r="D241" i="10"/>
  <c r="D80" i="10"/>
  <c r="D409" i="10"/>
  <c r="D421" i="10"/>
  <c r="D215" i="10"/>
  <c r="D724" i="10"/>
  <c r="D475" i="10"/>
  <c r="J282" i="10"/>
  <c r="L282" i="10" s="1"/>
  <c r="D267" i="10"/>
  <c r="D253" i="10"/>
  <c r="D341" i="10"/>
  <c r="D172" i="10"/>
  <c r="D322" i="10"/>
  <c r="D239" i="10"/>
  <c r="D321" i="10"/>
  <c r="D332" i="10"/>
  <c r="J238" i="10"/>
  <c r="L238" i="10" s="1"/>
  <c r="J197" i="10"/>
  <c r="L197" i="10" s="1"/>
  <c r="J78" i="10"/>
  <c r="L78" i="10" s="1"/>
  <c r="J29" i="10"/>
  <c r="L29" i="10" s="1"/>
  <c r="D121" i="10"/>
  <c r="D129" i="10"/>
  <c r="J112" i="10"/>
  <c r="L112" i="10" s="1"/>
  <c r="D221" i="10"/>
  <c r="D273" i="10"/>
  <c r="J188" i="10"/>
  <c r="L188" i="10" s="1"/>
  <c r="D97" i="10"/>
  <c r="D46" i="10"/>
  <c r="D251" i="10"/>
  <c r="D247" i="10"/>
  <c r="D34" i="10"/>
  <c r="J239" i="10" l="1"/>
  <c r="L239" i="10" s="1"/>
  <c r="J221" i="10"/>
  <c r="L221" i="10" s="1"/>
  <c r="J322" i="10"/>
  <c r="L322" i="10" s="1"/>
  <c r="J724" i="10"/>
  <c r="L724" i="10" s="1"/>
  <c r="J332" i="10"/>
  <c r="L332" i="10" s="1"/>
  <c r="J172" i="10"/>
  <c r="L172" i="10" s="1"/>
  <c r="J215" i="10"/>
  <c r="L215" i="10" s="1"/>
  <c r="J241" i="10"/>
  <c r="L241" i="10" s="1"/>
  <c r="J62" i="10"/>
  <c r="L62" i="10" s="1"/>
  <c r="J726" i="10"/>
  <c r="L726" i="10" s="1"/>
  <c r="J269" i="10"/>
  <c r="L269" i="10" s="1"/>
  <c r="J359" i="10"/>
  <c r="L359" i="10" s="1"/>
  <c r="J19" i="10"/>
  <c r="L19" i="10" s="1"/>
  <c r="J362" i="10"/>
  <c r="L362" i="10" s="1"/>
  <c r="J385" i="10"/>
  <c r="L385" i="10" s="1"/>
  <c r="J69" i="10"/>
  <c r="L69" i="10" s="1"/>
  <c r="J105" i="10"/>
  <c r="L105" i="10" s="1"/>
  <c r="J56" i="10"/>
  <c r="L56" i="10" s="1"/>
  <c r="J14" i="10"/>
  <c r="L14" i="10" s="1"/>
  <c r="J47" i="10"/>
  <c r="L47" i="10" s="1"/>
  <c r="J450" i="10"/>
  <c r="L450" i="10" s="1"/>
  <c r="J472" i="10"/>
  <c r="L472" i="10" s="1"/>
  <c r="J363" i="10"/>
  <c r="L363" i="10" s="1"/>
  <c r="J420" i="10"/>
  <c r="L420" i="10" s="1"/>
  <c r="J333" i="10"/>
  <c r="L333" i="10" s="1"/>
  <c r="J240" i="10"/>
  <c r="L240" i="10" s="1"/>
  <c r="J162" i="10"/>
  <c r="L162" i="10" s="1"/>
  <c r="J154" i="10"/>
  <c r="L154" i="10" s="1"/>
  <c r="J437" i="10"/>
  <c r="L437" i="10" s="1"/>
  <c r="J399" i="10"/>
  <c r="L399" i="10" s="1"/>
  <c r="J337" i="10"/>
  <c r="L337" i="10" s="1"/>
  <c r="J249" i="10"/>
  <c r="L249" i="10" s="1"/>
  <c r="J245" i="10"/>
  <c r="L245" i="10" s="1"/>
  <c r="J20" i="10"/>
  <c r="L20" i="10" s="1"/>
  <c r="J193" i="10"/>
  <c r="L193" i="10" s="1"/>
  <c r="J73" i="10"/>
  <c r="L73" i="10" s="1"/>
  <c r="J403" i="10"/>
  <c r="L403" i="10" s="1"/>
  <c r="J426" i="10"/>
  <c r="L426" i="10" s="1"/>
  <c r="J307" i="10"/>
  <c r="L307" i="10" s="1"/>
  <c r="J398" i="10"/>
  <c r="L398" i="10" s="1"/>
  <c r="J369" i="10"/>
  <c r="L369" i="10" s="1"/>
  <c r="J209" i="10"/>
  <c r="L209" i="10" s="1"/>
  <c r="J410" i="10"/>
  <c r="L410" i="10" s="1"/>
  <c r="J191" i="10"/>
  <c r="L191" i="10" s="1"/>
  <c r="J311" i="10"/>
  <c r="L311" i="10" s="1"/>
  <c r="J352" i="10"/>
  <c r="L352" i="10" s="1"/>
  <c r="J457" i="10"/>
  <c r="L457" i="10" s="1"/>
  <c r="J324" i="10"/>
  <c r="L324" i="10" s="1"/>
  <c r="J53" i="10"/>
  <c r="L53" i="10" s="1"/>
  <c r="J118" i="10"/>
  <c r="L118" i="10" s="1"/>
  <c r="J224" i="10"/>
  <c r="L224" i="10" s="1"/>
  <c r="J471" i="10"/>
  <c r="L471" i="10" s="1"/>
  <c r="J257" i="10"/>
  <c r="L257" i="10" s="1"/>
  <c r="J266" i="10"/>
  <c r="L266" i="10" s="1"/>
  <c r="J64" i="10"/>
  <c r="L64" i="10" s="1"/>
  <c r="J9" i="10"/>
  <c r="L9" i="10" s="1"/>
  <c r="J299" i="10"/>
  <c r="L299" i="10" s="1"/>
  <c r="J340" i="10"/>
  <c r="L340" i="10" s="1"/>
  <c r="J447" i="10"/>
  <c r="L447" i="10" s="1"/>
  <c r="J456" i="10"/>
  <c r="L456" i="10" s="1"/>
  <c r="J17" i="10"/>
  <c r="L17" i="10" s="1"/>
  <c r="J289" i="10"/>
  <c r="L289" i="10" s="1"/>
  <c r="J155" i="10"/>
  <c r="L155" i="10" s="1"/>
  <c r="J223" i="10"/>
  <c r="L223" i="10" s="1"/>
  <c r="J315" i="10"/>
  <c r="L315" i="10" s="1"/>
  <c r="J218" i="10"/>
  <c r="L218" i="10" s="1"/>
  <c r="J250" i="10"/>
  <c r="L250" i="10" s="1"/>
  <c r="J449" i="10"/>
  <c r="L449" i="10" s="1"/>
  <c r="J75" i="10"/>
  <c r="L75" i="10" s="1"/>
  <c r="J258" i="10"/>
  <c r="L258" i="10" s="1"/>
  <c r="J432" i="10"/>
  <c r="L432" i="10" s="1"/>
  <c r="J321" i="10"/>
  <c r="L321" i="10" s="1"/>
  <c r="J341" i="10"/>
  <c r="L341" i="10" s="1"/>
  <c r="J421" i="10"/>
  <c r="L421" i="10" s="1"/>
  <c r="J95" i="10"/>
  <c r="L95" i="10" s="1"/>
  <c r="J719" i="10"/>
  <c r="L719" i="10" s="1"/>
  <c r="J58" i="10"/>
  <c r="L58" i="10" s="1"/>
  <c r="J313" i="10"/>
  <c r="L313" i="10" s="1"/>
  <c r="J336" i="10"/>
  <c r="L336" i="10" s="1"/>
  <c r="J325" i="10"/>
  <c r="L325" i="10" s="1"/>
  <c r="J231" i="10"/>
  <c r="L231" i="10" s="1"/>
  <c r="J149" i="10"/>
  <c r="L149" i="10" s="1"/>
  <c r="J378" i="10"/>
  <c r="L378" i="10" s="1"/>
  <c r="J430" i="10"/>
  <c r="L430" i="10" s="1"/>
  <c r="J119" i="10"/>
  <c r="L119" i="10" s="1"/>
  <c r="J89" i="10"/>
  <c r="L89" i="10" s="1"/>
  <c r="J60" i="10"/>
  <c r="L60" i="10" s="1"/>
  <c r="J6" i="10"/>
  <c r="L6" i="10" s="1"/>
  <c r="J135" i="10"/>
  <c r="L135" i="10" s="1"/>
  <c r="J439" i="10"/>
  <c r="L439" i="10" s="1"/>
  <c r="J716" i="10"/>
  <c r="L716" i="10" s="1"/>
  <c r="J347" i="10"/>
  <c r="L347" i="10" s="1"/>
  <c r="J35" i="10"/>
  <c r="L35" i="10" s="1"/>
  <c r="J301" i="10"/>
  <c r="L301" i="10" s="1"/>
  <c r="J306" i="10"/>
  <c r="L306" i="10" s="1"/>
  <c r="J285" i="10"/>
  <c r="L285" i="10" s="1"/>
  <c r="J152" i="10"/>
  <c r="L152" i="10" s="1"/>
  <c r="J436" i="10"/>
  <c r="L436" i="10" s="1"/>
  <c r="J422" i="10"/>
  <c r="L422" i="10" s="1"/>
  <c r="J139" i="10"/>
  <c r="L139" i="10" s="1"/>
  <c r="J274" i="10"/>
  <c r="L274" i="10" s="1"/>
  <c r="J216" i="10"/>
  <c r="L216" i="10" s="1"/>
  <c r="J335" i="10"/>
  <c r="L335" i="10" s="1"/>
  <c r="J290" i="10"/>
  <c r="L290" i="10" s="1"/>
  <c r="J230" i="10"/>
  <c r="L230" i="10" s="1"/>
  <c r="J115" i="10"/>
  <c r="L115" i="10" s="1"/>
  <c r="J232" i="10"/>
  <c r="L232" i="10" s="1"/>
  <c r="J278" i="10"/>
  <c r="L278" i="10" s="1"/>
  <c r="J384" i="10"/>
  <c r="L384" i="10" s="1"/>
  <c r="J167" i="10"/>
  <c r="L167" i="10" s="1"/>
  <c r="J177" i="10"/>
  <c r="L177" i="10" s="1"/>
  <c r="J438" i="10"/>
  <c r="L438" i="10" s="1"/>
  <c r="J419" i="10"/>
  <c r="L419" i="10" s="1"/>
  <c r="J208" i="10"/>
  <c r="L208" i="10" s="1"/>
  <c r="J146" i="10"/>
  <c r="L146" i="10" s="1"/>
  <c r="J417" i="10"/>
  <c r="L417" i="10" s="1"/>
  <c r="J36" i="10"/>
  <c r="L36" i="10" s="1"/>
  <c r="J302" i="10"/>
  <c r="L302" i="10" s="1"/>
  <c r="J228" i="10"/>
  <c r="L228" i="10" s="1"/>
  <c r="J345" i="10"/>
  <c r="L345" i="10" s="1"/>
  <c r="J85" i="10"/>
  <c r="L85" i="10" s="1"/>
  <c r="J186" i="10"/>
  <c r="L186" i="10" s="1"/>
  <c r="J100" i="10"/>
  <c r="L100" i="10" s="1"/>
  <c r="J59" i="10"/>
  <c r="L59" i="10" s="1"/>
  <c r="J720" i="10"/>
  <c r="L720" i="10" s="1"/>
  <c r="J120" i="10"/>
  <c r="L120" i="10" s="1"/>
  <c r="J157" i="10"/>
  <c r="L157" i="10" s="1"/>
  <c r="J4" i="10"/>
  <c r="L4" i="10" s="1"/>
  <c r="J235" i="10"/>
  <c r="L235" i="10" s="1"/>
  <c r="J199" i="10"/>
  <c r="L199" i="10" s="1"/>
  <c r="J252" i="10"/>
  <c r="L252" i="10" s="1"/>
  <c r="J138" i="10"/>
  <c r="L138" i="10" s="1"/>
  <c r="J452" i="10"/>
  <c r="L452" i="10" s="1"/>
  <c r="J96" i="10"/>
  <c r="L96" i="10" s="1"/>
  <c r="J370" i="10"/>
  <c r="L370" i="10" s="1"/>
  <c r="J99" i="10"/>
  <c r="L99" i="10" s="1"/>
  <c r="J303" i="10"/>
  <c r="L303" i="10" s="1"/>
  <c r="J204" i="10"/>
  <c r="L204" i="10" s="1"/>
  <c r="J361" i="10"/>
  <c r="L361" i="10" s="1"/>
  <c r="J143" i="10"/>
  <c r="L143" i="10" s="1"/>
  <c r="J443" i="10"/>
  <c r="L443" i="10" s="1"/>
  <c r="J24" i="10"/>
  <c r="L24" i="10" s="1"/>
  <c r="J346" i="10"/>
  <c r="L346" i="10" s="1"/>
  <c r="J427" i="10"/>
  <c r="L427" i="10" s="1"/>
  <c r="J455" i="10"/>
  <c r="L455" i="10" s="1"/>
  <c r="J273" i="10"/>
  <c r="L273" i="10" s="1"/>
  <c r="J475" i="10"/>
  <c r="L475" i="10" s="1"/>
  <c r="J409" i="10"/>
  <c r="L409" i="10" s="1"/>
  <c r="J261" i="10"/>
  <c r="L261" i="10" s="1"/>
  <c r="J356" i="10"/>
  <c r="L356" i="10" s="1"/>
  <c r="J342" i="10"/>
  <c r="L342" i="10" s="1"/>
  <c r="J210" i="10"/>
  <c r="L210" i="10" s="1"/>
  <c r="J344" i="10"/>
  <c r="L344" i="10" s="1"/>
  <c r="J374" i="10"/>
  <c r="L374" i="10" s="1"/>
  <c r="J381" i="10"/>
  <c r="L381" i="10" s="1"/>
  <c r="J383" i="10"/>
  <c r="L383" i="10" s="1"/>
  <c r="J12" i="10"/>
  <c r="L12" i="10" s="1"/>
  <c r="J74" i="10"/>
  <c r="L74" i="10" s="1"/>
  <c r="J166" i="10"/>
  <c r="L166" i="10" s="1"/>
  <c r="J125" i="10"/>
  <c r="L125" i="10" s="1"/>
  <c r="J294" i="10"/>
  <c r="L294" i="10" s="1"/>
  <c r="J219" i="10"/>
  <c r="L219" i="10" s="1"/>
  <c r="J101" i="10"/>
  <c r="L101" i="10" s="1"/>
  <c r="J130" i="10"/>
  <c r="L130" i="10" s="1"/>
  <c r="J444" i="10"/>
  <c r="L444" i="10" s="1"/>
  <c r="J721" i="10"/>
  <c r="L721" i="10" s="1"/>
  <c r="J328" i="10"/>
  <c r="L328" i="10" s="1"/>
  <c r="J469" i="10"/>
  <c r="L469" i="10" s="1"/>
  <c r="J182" i="10"/>
  <c r="L182" i="10" s="1"/>
  <c r="J160" i="10"/>
  <c r="L160" i="10" s="1"/>
  <c r="J222" i="10"/>
  <c r="L222" i="10" s="1"/>
  <c r="J323" i="10"/>
  <c r="L323" i="10" s="1"/>
  <c r="J183" i="10"/>
  <c r="L183" i="10" s="1"/>
  <c r="J11" i="10"/>
  <c r="L11" i="10" s="1"/>
  <c r="J63" i="10"/>
  <c r="L63" i="10" s="1"/>
  <c r="J411" i="10"/>
  <c r="L411" i="10" s="1"/>
  <c r="J286" i="10"/>
  <c r="L286" i="10" s="1"/>
  <c r="J242" i="10"/>
  <c r="L242" i="10" s="1"/>
  <c r="J351" i="10"/>
  <c r="L351" i="10" s="1"/>
  <c r="J243" i="10"/>
  <c r="L243" i="10" s="1"/>
  <c r="J375" i="10"/>
  <c r="L375" i="10" s="1"/>
  <c r="J277" i="10"/>
  <c r="L277" i="10" s="1"/>
  <c r="J400" i="10"/>
  <c r="L400" i="10" s="1"/>
  <c r="J360" i="10"/>
  <c r="L360" i="10" s="1"/>
  <c r="J727" i="10"/>
  <c r="L727" i="10" s="1"/>
  <c r="J462" i="10"/>
  <c r="L462" i="10" s="1"/>
  <c r="J292" i="10"/>
  <c r="L292" i="10" s="1"/>
  <c r="J104" i="10"/>
  <c r="L104" i="10" s="1"/>
  <c r="J21" i="10"/>
  <c r="L21" i="10" s="1"/>
  <c r="J284" i="10"/>
  <c r="L284" i="10" s="1"/>
  <c r="J122" i="10"/>
  <c r="L122" i="10" s="1"/>
  <c r="J308" i="10"/>
  <c r="L308" i="10" s="1"/>
  <c r="J153" i="10"/>
  <c r="L153" i="10" s="1"/>
  <c r="J309" i="10"/>
  <c r="L309" i="10" s="1"/>
  <c r="J175" i="10"/>
  <c r="L175" i="10" s="1"/>
  <c r="J276" i="10"/>
  <c r="L276" i="10" s="1"/>
  <c r="J314" i="10"/>
  <c r="L314" i="10" s="1"/>
  <c r="J376" i="10"/>
  <c r="L376" i="10" s="1"/>
  <c r="J265" i="10"/>
  <c r="L265" i="10" s="1"/>
  <c r="J391" i="10"/>
  <c r="L391" i="10" s="1"/>
  <c r="J87" i="10"/>
  <c r="L87" i="10" s="1"/>
  <c r="J463" i="10"/>
  <c r="L463" i="10" s="1"/>
  <c r="J459" i="10"/>
  <c r="L459" i="10" s="1"/>
  <c r="J454" i="10"/>
  <c r="L454" i="10" s="1"/>
  <c r="J395" i="10"/>
  <c r="L395" i="10" s="1"/>
  <c r="J434" i="10"/>
  <c r="L434" i="10" s="1"/>
  <c r="J397" i="10"/>
  <c r="L397" i="10" s="1"/>
  <c r="J179" i="10"/>
  <c r="L179" i="10" s="1"/>
  <c r="J441" i="10"/>
  <c r="L441" i="10" s="1"/>
  <c r="J190" i="10"/>
  <c r="L190" i="10" s="1"/>
  <c r="J18" i="10"/>
  <c r="L18" i="10" s="1"/>
  <c r="J310" i="10"/>
  <c r="L310" i="10" s="1"/>
  <c r="J423" i="10"/>
  <c r="L423" i="10" s="1"/>
  <c r="J377" i="10"/>
  <c r="L377" i="10" s="1"/>
  <c r="J205" i="10"/>
  <c r="L205" i="10" s="1"/>
  <c r="J148" i="10"/>
  <c r="L148" i="10" s="1"/>
  <c r="J194" i="10"/>
  <c r="L194" i="10" s="1"/>
  <c r="J187" i="10"/>
  <c r="L187" i="10" s="1"/>
  <c r="J431" i="10"/>
  <c r="L431" i="10" s="1"/>
  <c r="J234" i="10"/>
  <c r="L234" i="10" s="1"/>
  <c r="J91" i="10"/>
  <c r="L91" i="10" s="1"/>
  <c r="J354" i="10"/>
  <c r="L354" i="10" s="1"/>
  <c r="J440" i="10"/>
  <c r="L440" i="10" s="1"/>
  <c r="J108" i="10"/>
  <c r="L108" i="10" s="1"/>
  <c r="J129" i="10"/>
  <c r="L129" i="10" s="1"/>
  <c r="J253" i="10"/>
  <c r="L253" i="10" s="1"/>
  <c r="J121" i="10"/>
  <c r="L121" i="10" s="1"/>
  <c r="J267" i="10"/>
  <c r="L267" i="10" s="1"/>
  <c r="J80" i="10"/>
  <c r="L80" i="10" s="1"/>
  <c r="J453" i="10"/>
  <c r="L453" i="10" s="1"/>
  <c r="J268" i="10"/>
  <c r="L268" i="10" s="1"/>
  <c r="J255" i="10"/>
  <c r="L255" i="10" s="1"/>
  <c r="J263" i="10"/>
  <c r="L263" i="10" s="1"/>
  <c r="J244" i="10"/>
  <c r="L244" i="10" s="1"/>
  <c r="J291" i="10"/>
  <c r="L291" i="10" s="1"/>
  <c r="J150" i="10"/>
  <c r="L150" i="10" s="1"/>
  <c r="J86" i="10"/>
  <c r="L86" i="10" s="1"/>
  <c r="J458" i="10"/>
  <c r="L458" i="10" s="1"/>
  <c r="J715" i="10"/>
  <c r="L715" i="10" s="1"/>
  <c r="J393" i="10"/>
  <c r="L393" i="10" s="1"/>
  <c r="J225" i="10"/>
  <c r="L225" i="10" s="1"/>
  <c r="J31" i="10"/>
  <c r="L31" i="10" s="1"/>
  <c r="J338" i="10"/>
  <c r="L338" i="10" s="1"/>
  <c r="J479" i="10"/>
  <c r="L479" i="10" s="1"/>
  <c r="J728" i="10"/>
  <c r="L728" i="10" s="1"/>
  <c r="J317" i="10"/>
  <c r="L317" i="10" s="1"/>
  <c r="J260" i="10"/>
  <c r="L260" i="10" s="1"/>
  <c r="J725" i="10"/>
  <c r="L725" i="10" s="1"/>
  <c r="J429" i="10"/>
  <c r="L429" i="10" s="1"/>
  <c r="J173" i="10"/>
  <c r="L173" i="10" s="1"/>
  <c r="J476" i="10"/>
  <c r="L476" i="10" s="1"/>
  <c r="J334" i="10"/>
  <c r="L334" i="10" s="1"/>
  <c r="J275" i="10"/>
  <c r="L275" i="10" s="1"/>
  <c r="J264" i="10"/>
  <c r="L264" i="10" s="1"/>
  <c r="J477" i="10"/>
  <c r="L477" i="10" s="1"/>
  <c r="J326" i="10"/>
  <c r="L326" i="10" s="1"/>
  <c r="J425" i="10"/>
  <c r="L425" i="10" s="1"/>
  <c r="J316" i="10"/>
  <c r="L316" i="10" s="1"/>
  <c r="J442" i="10"/>
  <c r="L442" i="10" s="1"/>
  <c r="J448" i="10"/>
  <c r="L448" i="10" s="1"/>
  <c r="J714" i="10"/>
  <c r="L714" i="10" s="1"/>
  <c r="J90" i="10"/>
  <c r="L90" i="10" s="1"/>
  <c r="J288" i="10"/>
  <c r="L288" i="10" s="1"/>
  <c r="J435" i="10"/>
  <c r="L435" i="10" s="1"/>
  <c r="J372" i="10"/>
  <c r="L372" i="10" s="1"/>
  <c r="J184" i="10"/>
  <c r="L184" i="10" s="1"/>
  <c r="J373" i="10"/>
  <c r="L373" i="10" s="1"/>
  <c r="J343" i="10"/>
  <c r="L343" i="10" s="1"/>
  <c r="J256" i="10"/>
  <c r="L256" i="10" s="1"/>
  <c r="J357" i="10"/>
  <c r="L357" i="10" s="1"/>
  <c r="J217" i="10"/>
  <c r="L217" i="10" s="1"/>
  <c r="J212" i="10"/>
  <c r="L212" i="10" s="1"/>
  <c r="J401" i="10"/>
  <c r="L401" i="10" s="1"/>
  <c r="J54" i="10"/>
  <c r="L54" i="10" s="1"/>
  <c r="J478" i="10"/>
  <c r="L478" i="10" s="1"/>
  <c r="J13" i="10"/>
  <c r="L13" i="10" s="1"/>
  <c r="J353" i="10"/>
  <c r="L353" i="10" s="1"/>
  <c r="J168" i="10"/>
  <c r="L168" i="10" s="1"/>
  <c r="J227" i="10"/>
  <c r="L227" i="10" s="1"/>
  <c r="J169" i="10"/>
  <c r="L169" i="10" s="1"/>
  <c r="J114" i="10"/>
  <c r="L114" i="10" s="1"/>
  <c r="J185" i="10"/>
  <c r="L185" i="10" s="1"/>
  <c r="J103" i="10"/>
  <c r="L103" i="10" s="1"/>
  <c r="J201" i="10"/>
  <c r="L201" i="10" s="1"/>
  <c r="J312" i="10"/>
  <c r="L312" i="10" s="1"/>
  <c r="J358" i="10"/>
  <c r="L358" i="10" s="1"/>
  <c r="J327" i="10"/>
  <c r="L327" i="10" s="1"/>
  <c r="J211" i="10"/>
  <c r="L211" i="10" s="1"/>
  <c r="J382" i="10"/>
  <c r="L382" i="10" s="1"/>
  <c r="J116" i="10"/>
  <c r="L116" i="10" s="1"/>
  <c r="J293" i="10"/>
  <c r="L293" i="10" s="1"/>
  <c r="J88" i="10"/>
  <c r="L88" i="10" s="1"/>
  <c r="J70" i="10"/>
  <c r="L70" i="10" s="1"/>
  <c r="J445" i="10"/>
  <c r="L445" i="10" s="1"/>
  <c r="J33" i="10"/>
  <c r="L33" i="10" s="1"/>
  <c r="J97" i="10"/>
  <c r="L97" i="10" s="1"/>
  <c r="J262" i="10"/>
  <c r="L262" i="10" s="1"/>
  <c r="J271" i="10"/>
  <c r="L271" i="10" s="1"/>
  <c r="J46" i="10"/>
  <c r="L46" i="10" s="1"/>
  <c r="J34" i="10"/>
  <c r="L34" i="10" s="1"/>
  <c r="J247" i="10"/>
  <c r="L247" i="10" s="1"/>
  <c r="J251" i="10"/>
  <c r="L251" i="10" s="1"/>
  <c r="J40" i="10"/>
  <c r="L40" i="10" s="1"/>
  <c r="K300" i="10"/>
  <c r="L300" i="10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695973-0CCE-4A4C-A0A6-D0549C310A85}" keepAlive="1" name="Requête - Annuel" description="Connexion à la requête « Annuel » dans le classeur." type="5" refreshedVersion="6" background="1" saveData="1">
    <dbPr connection="Provider=Microsoft.Mashup.OleDb.1;Data Source=$Workbook$;Location=Annuel;Extended Properties=&quot;&quot;" command="SELECT * FROM [Annuel]"/>
  </connection>
  <connection id="2" xr16:uid="{30BD4053-58BF-4E79-9994-F81913EDABF1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3" xr16:uid="{E2F43103-B12E-43F5-ACB2-2E8E7A23B2C4}" keepAlive="1" name="Requête - Grand total" description="Connexion à la requête « Grand total » dans le classeur." type="5" refreshedVersion="6" background="1" saveData="1">
    <dbPr connection="Provider=Microsoft.Mashup.OleDb.1;Data Source=$Workbook$;Location=&quot;Grand total&quot;;Extended Properties=&quot;&quot;" command="SELECT * FROM [Grand total]"/>
  </connection>
  <connection id="4" xr16:uid="{3327CC04-630C-4728-9562-18BE62F26DC1}" keepAlive="1" name="Requête - Unitaire" description="Connexion à la requête « Unitaire » dans le classeur." type="5" refreshedVersion="6" background="1" saveData="1">
    <dbPr connection="Provider=Microsoft.Mashup.OleDb.1;Data Source=$Workbook$;Location=Unitaire;Extended Properties=&quot;&quot;" command="SELECT * FROM [Unitaire]"/>
  </connection>
</connections>
</file>

<file path=xl/sharedStrings.xml><?xml version="1.0" encoding="utf-8"?>
<sst xmlns="http://schemas.openxmlformats.org/spreadsheetml/2006/main" count="10781" uniqueCount="2010">
  <si>
    <t>Code VIF</t>
  </si>
  <si>
    <t>Marge brute</t>
  </si>
  <si>
    <t>Théo</t>
  </si>
  <si>
    <t>Réel</t>
  </si>
  <si>
    <t xml:space="preserve">total produit en uv </t>
  </si>
  <si>
    <t>Coût de revient MP+MDC+EMB</t>
  </si>
  <si>
    <t>cout outillage /frais de dvlppement</t>
  </si>
  <si>
    <t xml:space="preserve">cout achat sillicone </t>
  </si>
  <si>
    <t>cout outillage /frais dvpt et achat rd</t>
  </si>
  <si>
    <t>V102480</t>
  </si>
  <si>
    <t>V102476</t>
  </si>
  <si>
    <t xml:space="preserve"> </t>
  </si>
  <si>
    <t>V011045</t>
  </si>
  <si>
    <t>V011061</t>
  </si>
  <si>
    <t>V011064</t>
  </si>
  <si>
    <t>V011065</t>
  </si>
  <si>
    <t>V011068</t>
  </si>
  <si>
    <t>V011069</t>
  </si>
  <si>
    <t>V011072</t>
  </si>
  <si>
    <t>V011073</t>
  </si>
  <si>
    <t>V011074</t>
  </si>
  <si>
    <t>V011075</t>
  </si>
  <si>
    <t>V011076</t>
  </si>
  <si>
    <t>V021038</t>
  </si>
  <si>
    <t>V041020</t>
  </si>
  <si>
    <t>V041062</t>
  </si>
  <si>
    <t>V041063</t>
  </si>
  <si>
    <t>V051008</t>
  </si>
  <si>
    <t>V051023</t>
  </si>
  <si>
    <t>V061004</t>
  </si>
  <si>
    <t>V061008</t>
  </si>
  <si>
    <t>V061034</t>
  </si>
  <si>
    <t>V061035</t>
  </si>
  <si>
    <t>V061036</t>
  </si>
  <si>
    <t>V061066</t>
  </si>
  <si>
    <t>V061073</t>
  </si>
  <si>
    <t>V061089</t>
  </si>
  <si>
    <t>V061091</t>
  </si>
  <si>
    <t>V061093</t>
  </si>
  <si>
    <t>V061098</t>
  </si>
  <si>
    <t>V061099</t>
  </si>
  <si>
    <t>V061102</t>
  </si>
  <si>
    <t>V061105</t>
  </si>
  <si>
    <t>V061106</t>
  </si>
  <si>
    <t>V061110</t>
  </si>
  <si>
    <t>V061111</t>
  </si>
  <si>
    <t>V061113</t>
  </si>
  <si>
    <t>V061117</t>
  </si>
  <si>
    <t>V061120</t>
  </si>
  <si>
    <t>V061123</t>
  </si>
  <si>
    <t>V061124</t>
  </si>
  <si>
    <t>V071009</t>
  </si>
  <si>
    <t>V071010</t>
  </si>
  <si>
    <t>V071011</t>
  </si>
  <si>
    <t>V071012</t>
  </si>
  <si>
    <t>V071013</t>
  </si>
  <si>
    <t>V071014</t>
  </si>
  <si>
    <t>V071015</t>
  </si>
  <si>
    <t>V071016</t>
  </si>
  <si>
    <t>V071017</t>
  </si>
  <si>
    <t>V071018</t>
  </si>
  <si>
    <t>V071019</t>
  </si>
  <si>
    <t>V071025</t>
  </si>
  <si>
    <t>V071026</t>
  </si>
  <si>
    <t>V071027</t>
  </si>
  <si>
    <t>V071035</t>
  </si>
  <si>
    <t>V071043</t>
  </si>
  <si>
    <t>V071056</t>
  </si>
  <si>
    <t>V071058</t>
  </si>
  <si>
    <t>V071064</t>
  </si>
  <si>
    <t>V071065</t>
  </si>
  <si>
    <t>V071066</t>
  </si>
  <si>
    <t>V071067</t>
  </si>
  <si>
    <t>V071068</t>
  </si>
  <si>
    <t>V071072</t>
  </si>
  <si>
    <t>V071074</t>
  </si>
  <si>
    <t>V071075</t>
  </si>
  <si>
    <t>V071082</t>
  </si>
  <si>
    <t>V071087</t>
  </si>
  <si>
    <t>V071088</t>
  </si>
  <si>
    <t>V071089</t>
  </si>
  <si>
    <t>V071091</t>
  </si>
  <si>
    <t>V081014</t>
  </si>
  <si>
    <t>V081018</t>
  </si>
  <si>
    <t>V091023</t>
  </si>
  <si>
    <t>V091024</t>
  </si>
  <si>
    <t>V101006</t>
  </si>
  <si>
    <t>V101007</t>
  </si>
  <si>
    <t>V101008</t>
  </si>
  <si>
    <t>V101009</t>
  </si>
  <si>
    <t>V101033</t>
  </si>
  <si>
    <t>V101106</t>
  </si>
  <si>
    <t>V101107</t>
  </si>
  <si>
    <t>V101168</t>
  </si>
  <si>
    <t>V101333</t>
  </si>
  <si>
    <t>V101334</t>
  </si>
  <si>
    <t>V101345</t>
  </si>
  <si>
    <t>V101347</t>
  </si>
  <si>
    <t>V101352</t>
  </si>
  <si>
    <t>V101357</t>
  </si>
  <si>
    <t>V101358</t>
  </si>
  <si>
    <t>V101359</t>
  </si>
  <si>
    <t>V101362</t>
  </si>
  <si>
    <t>V101363</t>
  </si>
  <si>
    <t>V101369</t>
  </si>
  <si>
    <t>V101370</t>
  </si>
  <si>
    <t>V101414</t>
  </si>
  <si>
    <t>V101415</t>
  </si>
  <si>
    <t>V101416</t>
  </si>
  <si>
    <t>V101417</t>
  </si>
  <si>
    <t>V101418</t>
  </si>
  <si>
    <t>V101420</t>
  </si>
  <si>
    <t>V101426</t>
  </si>
  <si>
    <t>V101427</t>
  </si>
  <si>
    <t>V101432</t>
  </si>
  <si>
    <t>V101446</t>
  </si>
  <si>
    <t>V101468</t>
  </si>
  <si>
    <t>V101469</t>
  </si>
  <si>
    <t>V101481</t>
  </si>
  <si>
    <t>V101482</t>
  </si>
  <si>
    <t>V101483</t>
  </si>
  <si>
    <t>V101484</t>
  </si>
  <si>
    <t>V101485</t>
  </si>
  <si>
    <t>V101490</t>
  </si>
  <si>
    <t>V101494</t>
  </si>
  <si>
    <t>V101495</t>
  </si>
  <si>
    <t>V101496</t>
  </si>
  <si>
    <t>V101497</t>
  </si>
  <si>
    <t>V101507</t>
  </si>
  <si>
    <t>V101572</t>
  </si>
  <si>
    <t>V101576</t>
  </si>
  <si>
    <t>V101580</t>
  </si>
  <si>
    <t>V101581</t>
  </si>
  <si>
    <t>V101602H</t>
  </si>
  <si>
    <t>V101603H</t>
  </si>
  <si>
    <t>V101604H</t>
  </si>
  <si>
    <t>V101614</t>
  </si>
  <si>
    <t>V101615</t>
  </si>
  <si>
    <t>V101616</t>
  </si>
  <si>
    <t>V101617</t>
  </si>
  <si>
    <t>V101624</t>
  </si>
  <si>
    <t>V101625</t>
  </si>
  <si>
    <t>V101674</t>
  </si>
  <si>
    <t>V101696</t>
  </si>
  <si>
    <t>V101713</t>
  </si>
  <si>
    <t>V101714</t>
  </si>
  <si>
    <t>V101715</t>
  </si>
  <si>
    <t>V101716</t>
  </si>
  <si>
    <t>V101717</t>
  </si>
  <si>
    <t>V101718</t>
  </si>
  <si>
    <t>V101749</t>
  </si>
  <si>
    <t>V101778</t>
  </si>
  <si>
    <t>V101794</t>
  </si>
  <si>
    <t>V101795</t>
  </si>
  <si>
    <t>V101811</t>
  </si>
  <si>
    <t>V101812</t>
  </si>
  <si>
    <t>V101813</t>
  </si>
  <si>
    <t>V101814</t>
  </si>
  <si>
    <t>V101947</t>
  </si>
  <si>
    <t>V101978</t>
  </si>
  <si>
    <t>V101979</t>
  </si>
  <si>
    <t>V101980</t>
  </si>
  <si>
    <t>V101981</t>
  </si>
  <si>
    <t>V102011</t>
  </si>
  <si>
    <t>V102013</t>
  </si>
  <si>
    <t>V102014</t>
  </si>
  <si>
    <t>V102015</t>
  </si>
  <si>
    <t>V102021</t>
  </si>
  <si>
    <t>V102029</t>
  </si>
  <si>
    <t>V102030</t>
  </si>
  <si>
    <t>V102039</t>
  </si>
  <si>
    <t>V102040</t>
  </si>
  <si>
    <t>V102045</t>
  </si>
  <si>
    <t>V102062</t>
  </si>
  <si>
    <t>V102094</t>
  </si>
  <si>
    <t>V102095</t>
  </si>
  <si>
    <t>V102096</t>
  </si>
  <si>
    <t>V102123</t>
  </si>
  <si>
    <t>V102126</t>
  </si>
  <si>
    <t>V102132</t>
  </si>
  <si>
    <t>V102138</t>
  </si>
  <si>
    <t>V102139</t>
  </si>
  <si>
    <t>V102157</t>
  </si>
  <si>
    <t>V102173</t>
  </si>
  <si>
    <t>V102174</t>
  </si>
  <si>
    <t>V102203</t>
  </si>
  <si>
    <t>V102204</t>
  </si>
  <si>
    <t>V102205</t>
  </si>
  <si>
    <t>V102208</t>
  </si>
  <si>
    <t>V102211</t>
  </si>
  <si>
    <t>V102223</t>
  </si>
  <si>
    <t>V102224</t>
  </si>
  <si>
    <t>V102275</t>
  </si>
  <si>
    <t>V102304</t>
  </si>
  <si>
    <t>V102307</t>
  </si>
  <si>
    <t>V102308</t>
  </si>
  <si>
    <t>V102320</t>
  </si>
  <si>
    <t>V102326</t>
  </si>
  <si>
    <t>V102328</t>
  </si>
  <si>
    <t>V102330</t>
  </si>
  <si>
    <t>V102331</t>
  </si>
  <si>
    <t>V102332</t>
  </si>
  <si>
    <t>V102341</t>
  </si>
  <si>
    <t>V102342</t>
  </si>
  <si>
    <t>V102343</t>
  </si>
  <si>
    <t>V102344</t>
  </si>
  <si>
    <t>V102345</t>
  </si>
  <si>
    <t>V102431</t>
  </si>
  <si>
    <t>V102432</t>
  </si>
  <si>
    <t>V102452</t>
  </si>
  <si>
    <t>V102456</t>
  </si>
  <si>
    <t>V102462</t>
  </si>
  <si>
    <t>V102463</t>
  </si>
  <si>
    <t>V102466</t>
  </si>
  <si>
    <t>V102467</t>
  </si>
  <si>
    <t>V102468</t>
  </si>
  <si>
    <t>V102469</t>
  </si>
  <si>
    <t>V102470</t>
  </si>
  <si>
    <t>V102477</t>
  </si>
  <si>
    <t>V111088</t>
  </si>
  <si>
    <t>V141002</t>
  </si>
  <si>
    <t>V141003</t>
  </si>
  <si>
    <t>V141005</t>
  </si>
  <si>
    <t>V141006</t>
  </si>
  <si>
    <t>V150011</t>
  </si>
  <si>
    <t>V150575</t>
  </si>
  <si>
    <t>V150606</t>
  </si>
  <si>
    <t>V170071</t>
  </si>
  <si>
    <t>V244073</t>
  </si>
  <si>
    <t>V244066</t>
  </si>
  <si>
    <t>V102447</t>
  </si>
  <si>
    <t>V244047</t>
  </si>
  <si>
    <t>V244053</t>
  </si>
  <si>
    <t>SF22165</t>
  </si>
  <si>
    <t>V011077</t>
  </si>
  <si>
    <t>V061037</t>
  </si>
  <si>
    <t>V071096</t>
  </si>
  <si>
    <t>V081015</t>
  </si>
  <si>
    <t>V081016</t>
  </si>
  <si>
    <t>V081017</t>
  </si>
  <si>
    <t>V081021</t>
  </si>
  <si>
    <t>V081043</t>
  </si>
  <si>
    <t>V081044</t>
  </si>
  <si>
    <t>V081045</t>
  </si>
  <si>
    <t>V081046</t>
  </si>
  <si>
    <t>V081094</t>
  </si>
  <si>
    <t>V081095</t>
  </si>
  <si>
    <t>V081097</t>
  </si>
  <si>
    <t>V081098</t>
  </si>
  <si>
    <t>V081100</t>
  </si>
  <si>
    <t>V081101</t>
  </si>
  <si>
    <t>V081103</t>
  </si>
  <si>
    <t>V081104</t>
  </si>
  <si>
    <t>V081155</t>
  </si>
  <si>
    <t>V081156</t>
  </si>
  <si>
    <t>V081163</t>
  </si>
  <si>
    <t>V081164</t>
  </si>
  <si>
    <t>V081165</t>
  </si>
  <si>
    <t>V081168</t>
  </si>
  <si>
    <t>V081169</t>
  </si>
  <si>
    <t>V081170</t>
  </si>
  <si>
    <t>V081186</t>
  </si>
  <si>
    <t>V081191</t>
  </si>
  <si>
    <t>V091026</t>
  </si>
  <si>
    <t>V091027</t>
  </si>
  <si>
    <t>V091053</t>
  </si>
  <si>
    <t>V091054</t>
  </si>
  <si>
    <t>V091055</t>
  </si>
  <si>
    <t>V091056</t>
  </si>
  <si>
    <t>V091057</t>
  </si>
  <si>
    <t>V091058</t>
  </si>
  <si>
    <t>V091059</t>
  </si>
  <si>
    <t>V091060</t>
  </si>
  <si>
    <t>V091061</t>
  </si>
  <si>
    <t>V091062</t>
  </si>
  <si>
    <t>V091063</t>
  </si>
  <si>
    <t>V091064</t>
  </si>
  <si>
    <t>V091065</t>
  </si>
  <si>
    <t>V091066</t>
  </si>
  <si>
    <t>V091067</t>
  </si>
  <si>
    <t>V091068</t>
  </si>
  <si>
    <t>V091069</t>
  </si>
  <si>
    <t>V091070</t>
  </si>
  <si>
    <t>V091072</t>
  </si>
  <si>
    <t>V091075</t>
  </si>
  <si>
    <t>V091076</t>
  </si>
  <si>
    <t>V091077</t>
  </si>
  <si>
    <t>V091078</t>
  </si>
  <si>
    <t>V091079</t>
  </si>
  <si>
    <t>V091080</t>
  </si>
  <si>
    <t>V091081</t>
  </si>
  <si>
    <t>V101055</t>
  </si>
  <si>
    <t>V101063</t>
  </si>
  <si>
    <t>V101064</t>
  </si>
  <si>
    <t>V101104</t>
  </si>
  <si>
    <t>V101117</t>
  </si>
  <si>
    <t>V101118</t>
  </si>
  <si>
    <t>V101119</t>
  </si>
  <si>
    <t>V101120</t>
  </si>
  <si>
    <t>V101122</t>
  </si>
  <si>
    <t>V101123</t>
  </si>
  <si>
    <t>V101124</t>
  </si>
  <si>
    <t>V101125</t>
  </si>
  <si>
    <t>V101131</t>
  </si>
  <si>
    <t>V101132</t>
  </si>
  <si>
    <t>V101133</t>
  </si>
  <si>
    <t>V101134</t>
  </si>
  <si>
    <t>V101248</t>
  </si>
  <si>
    <t>V101251</t>
  </si>
  <si>
    <t>V101258</t>
  </si>
  <si>
    <t>V101259</t>
  </si>
  <si>
    <t>V101260</t>
  </si>
  <si>
    <t>V101387</t>
  </si>
  <si>
    <t>V101388</t>
  </si>
  <si>
    <t>V101445</t>
  </si>
  <si>
    <t>V101523</t>
  </si>
  <si>
    <t>V101524</t>
  </si>
  <si>
    <t>V101525</t>
  </si>
  <si>
    <t>V101526</t>
  </si>
  <si>
    <t>V101527</t>
  </si>
  <si>
    <t>V101528</t>
  </si>
  <si>
    <t>V101529</t>
  </si>
  <si>
    <t>V101530</t>
  </si>
  <si>
    <t>V101547</t>
  </si>
  <si>
    <t>V101548</t>
  </si>
  <si>
    <t>V101549</t>
  </si>
  <si>
    <t>V101550</t>
  </si>
  <si>
    <t>V101552</t>
  </si>
  <si>
    <t>V101553</t>
  </si>
  <si>
    <t>V101554</t>
  </si>
  <si>
    <t>V101555</t>
  </si>
  <si>
    <t>V101557</t>
  </si>
  <si>
    <t>V101558</t>
  </si>
  <si>
    <t>V101559</t>
  </si>
  <si>
    <t>V101560</t>
  </si>
  <si>
    <t>V101635</t>
  </si>
  <si>
    <t>V101648</t>
  </si>
  <si>
    <t>V101649</t>
  </si>
  <si>
    <t>V101650</t>
  </si>
  <si>
    <t>V101651</t>
  </si>
  <si>
    <t>V101652</t>
  </si>
  <si>
    <t>V101729</t>
  </si>
  <si>
    <t>V101730</t>
  </si>
  <si>
    <t>V101731</t>
  </si>
  <si>
    <t>V101732</t>
  </si>
  <si>
    <t>V101733</t>
  </si>
  <si>
    <t>V101766</t>
  </si>
  <si>
    <t>V101823</t>
  </si>
  <si>
    <t>V101824</t>
  </si>
  <si>
    <t>V101825</t>
  </si>
  <si>
    <t>V101826</t>
  </si>
  <si>
    <t>V101827</t>
  </si>
  <si>
    <t>V101828</t>
  </si>
  <si>
    <t>V101829</t>
  </si>
  <si>
    <t>V101830</t>
  </si>
  <si>
    <t>V101831</t>
  </si>
  <si>
    <t>V101832</t>
  </si>
  <si>
    <t>V101833</t>
  </si>
  <si>
    <t>V101834</t>
  </si>
  <si>
    <t>V101835</t>
  </si>
  <si>
    <t>V101836</t>
  </si>
  <si>
    <t>V101837</t>
  </si>
  <si>
    <t>V101853</t>
  </si>
  <si>
    <t>V101863</t>
  </si>
  <si>
    <t>V101864</t>
  </si>
  <si>
    <t>V101915</t>
  </si>
  <si>
    <t>V101948</t>
  </si>
  <si>
    <t>V101949</t>
  </si>
  <si>
    <t>V101950</t>
  </si>
  <si>
    <t>V101951</t>
  </si>
  <si>
    <t>V101952</t>
  </si>
  <si>
    <t>V101953</t>
  </si>
  <si>
    <t>V101954</t>
  </si>
  <si>
    <t>V101955</t>
  </si>
  <si>
    <t>V101956</t>
  </si>
  <si>
    <t>V101957</t>
  </si>
  <si>
    <t>V101958</t>
  </si>
  <si>
    <t>V101959</t>
  </si>
  <si>
    <t>V101960</t>
  </si>
  <si>
    <t>V102025</t>
  </si>
  <si>
    <t>V102047</t>
  </si>
  <si>
    <t>V102049</t>
  </si>
  <si>
    <t>V102127</t>
  </si>
  <si>
    <t>V102128</t>
  </si>
  <si>
    <t>V102131</t>
  </si>
  <si>
    <t>V102137</t>
  </si>
  <si>
    <t>V102140</t>
  </si>
  <si>
    <t>V102141</t>
  </si>
  <si>
    <t>V102142</t>
  </si>
  <si>
    <t>V102241</t>
  </si>
  <si>
    <t>V102276</t>
  </si>
  <si>
    <t>V102280</t>
  </si>
  <si>
    <t>V102297</t>
  </si>
  <si>
    <t>V102299</t>
  </si>
  <si>
    <t>V102303</t>
  </si>
  <si>
    <t>V102305</t>
  </si>
  <si>
    <t>V102347</t>
  </si>
  <si>
    <t>V102348</t>
  </si>
  <si>
    <t>V102349</t>
  </si>
  <si>
    <t>V102350</t>
  </si>
  <si>
    <t>V102353</t>
  </si>
  <si>
    <t>V102354</t>
  </si>
  <si>
    <t>V102356</t>
  </si>
  <si>
    <t>V102357</t>
  </si>
  <si>
    <t>V102360</t>
  </si>
  <si>
    <t>V102361</t>
  </si>
  <si>
    <t>V102362</t>
  </si>
  <si>
    <t>V102363</t>
  </si>
  <si>
    <t>V102367</t>
  </si>
  <si>
    <t>V102371</t>
  </si>
  <si>
    <t>V102374</t>
  </si>
  <si>
    <t>V102375</t>
  </si>
  <si>
    <t>V102376</t>
  </si>
  <si>
    <t>V102377</t>
  </si>
  <si>
    <t>V102379</t>
  </si>
  <si>
    <t>V102384</t>
  </si>
  <si>
    <t>V102426</t>
  </si>
  <si>
    <t>V102437</t>
  </si>
  <si>
    <t>V102438</t>
  </si>
  <si>
    <t>V102451</t>
  </si>
  <si>
    <t>V102453</t>
  </si>
  <si>
    <t>V102458</t>
  </si>
  <si>
    <t>V102481</t>
  </si>
  <si>
    <t>V102482</t>
  </si>
  <si>
    <t>V244059</t>
  </si>
  <si>
    <t>V244067</t>
  </si>
  <si>
    <t>V244074</t>
  </si>
  <si>
    <t>V244076</t>
  </si>
  <si>
    <t xml:space="preserve">date de production </t>
  </si>
  <si>
    <t>ecart</t>
  </si>
  <si>
    <t>V102496</t>
  </si>
  <si>
    <t>V102497</t>
  </si>
  <si>
    <t>V102498</t>
  </si>
  <si>
    <t>V081206</t>
  </si>
  <si>
    <t>V102528</t>
  </si>
  <si>
    <t>V102518</t>
  </si>
  <si>
    <t>V102519</t>
  </si>
  <si>
    <t>V102538</t>
  </si>
  <si>
    <t>V102526</t>
  </si>
  <si>
    <t>V102527</t>
  </si>
  <si>
    <t>V102488</t>
  </si>
  <si>
    <t>V102489</t>
  </si>
  <si>
    <t>V102490</t>
  </si>
  <si>
    <t>V061133</t>
  </si>
  <si>
    <t>V102525</t>
  </si>
  <si>
    <t>V102536</t>
  </si>
  <si>
    <t>V102494</t>
  </si>
  <si>
    <t>V244002</t>
  </si>
  <si>
    <t>V244005</t>
  </si>
  <si>
    <t>V244008</t>
  </si>
  <si>
    <t>V244009</t>
  </si>
  <si>
    <t>V244019</t>
  </si>
  <si>
    <t>V244020</t>
  </si>
  <si>
    <t>V244041</t>
  </si>
  <si>
    <t>V102553</t>
  </si>
  <si>
    <t>V102552</t>
  </si>
  <si>
    <t>V102524</t>
  </si>
  <si>
    <t>V102523</t>
  </si>
  <si>
    <t>V102557</t>
  </si>
  <si>
    <t>V102563</t>
  </si>
  <si>
    <t>V102558</t>
  </si>
  <si>
    <t>V102559</t>
  </si>
  <si>
    <t>V102560</t>
  </si>
  <si>
    <t>V102561</t>
  </si>
  <si>
    <t>V102562</t>
  </si>
  <si>
    <t>V102550</t>
  </si>
  <si>
    <t>V102551</t>
  </si>
  <si>
    <t>V102554</t>
  </si>
  <si>
    <t>V102555</t>
  </si>
  <si>
    <t>V102556</t>
  </si>
  <si>
    <t>Prix
moyen
vente cumul 2018 au debut de mois</t>
  </si>
  <si>
    <t>V102565</t>
  </si>
  <si>
    <t>V041066</t>
  </si>
  <si>
    <t>V041067</t>
  </si>
  <si>
    <t>V041068</t>
  </si>
  <si>
    <t>V041069</t>
  </si>
  <si>
    <t>V061135</t>
  </si>
  <si>
    <t>V061136</t>
  </si>
  <si>
    <t>V102509</t>
  </si>
  <si>
    <t>V102510</t>
  </si>
  <si>
    <t>V102549</t>
  </si>
  <si>
    <t>V041070</t>
  </si>
  <si>
    <t>V071097</t>
  </si>
  <si>
    <t>V102567</t>
  </si>
  <si>
    <t>V102564</t>
  </si>
  <si>
    <t>Théo au 01/04/18</t>
  </si>
  <si>
    <t>V102566</t>
  </si>
  <si>
    <t>V102568</t>
  </si>
  <si>
    <t>V102569</t>
  </si>
  <si>
    <t>V102613</t>
  </si>
  <si>
    <t>V061138</t>
  </si>
  <si>
    <t>V102614</t>
  </si>
  <si>
    <t>V102615</t>
  </si>
  <si>
    <t>V102616</t>
  </si>
  <si>
    <t>V102618</t>
  </si>
  <si>
    <t>V102619</t>
  </si>
  <si>
    <t>V102617</t>
  </si>
  <si>
    <t>V102584</t>
  </si>
  <si>
    <t>V102585</t>
  </si>
  <si>
    <t>V102590</t>
  </si>
  <si>
    <t>V102596</t>
  </si>
  <si>
    <t>V102589</t>
  </si>
  <si>
    <t>V102592</t>
  </si>
  <si>
    <t>V102595</t>
  </si>
  <si>
    <t>V102600</t>
  </si>
  <si>
    <t>V102586</t>
  </si>
  <si>
    <t>V102591</t>
  </si>
  <si>
    <t>V102597</t>
  </si>
  <si>
    <t>V102601</t>
  </si>
  <si>
    <t>V061139</t>
  </si>
  <si>
    <t>V102587</t>
  </si>
  <si>
    <t>V102593</t>
  </si>
  <si>
    <t>V102607</t>
  </si>
  <si>
    <t>V102611</t>
  </si>
  <si>
    <t>V102608</t>
  </si>
  <si>
    <t>V102612</t>
  </si>
  <si>
    <t>V061137</t>
  </si>
  <si>
    <t>V081218</t>
  </si>
  <si>
    <t>V081234</t>
  </si>
  <si>
    <t>V081238</t>
  </si>
  <si>
    <t>V102598</t>
  </si>
  <si>
    <t>V102603</t>
  </si>
  <si>
    <t>V102604</t>
  </si>
  <si>
    <t>V102610</t>
  </si>
  <si>
    <t/>
  </si>
  <si>
    <t>CR réel</t>
  </si>
  <si>
    <t>CR théo</t>
  </si>
  <si>
    <t>MB Réel</t>
  </si>
  <si>
    <t>MB théo</t>
  </si>
  <si>
    <t>MB écart</t>
  </si>
  <si>
    <t>PMV</t>
  </si>
  <si>
    <t>Etat</t>
  </si>
  <si>
    <t>unitaire</t>
  </si>
  <si>
    <t>Annuel</t>
  </si>
  <si>
    <t>13/09/2018</t>
  </si>
  <si>
    <t>04/07/2018</t>
  </si>
  <si>
    <t>15/06/2018</t>
  </si>
  <si>
    <t>21/03/2018</t>
  </si>
  <si>
    <t>20/08/2018</t>
  </si>
  <si>
    <t>12/06/2018</t>
  </si>
  <si>
    <t>27/07/2018</t>
  </si>
  <si>
    <t>07/07/2018</t>
  </si>
  <si>
    <t>02/07/2018</t>
  </si>
  <si>
    <t>29/08/2018</t>
  </si>
  <si>
    <t>12/09/2018</t>
  </si>
  <si>
    <t>24/07/2018</t>
  </si>
  <si>
    <t>11/01/2018</t>
  </si>
  <si>
    <t>12/07/2018</t>
  </si>
  <si>
    <t>13/07/2018</t>
  </si>
  <si>
    <t>19/04/2018</t>
  </si>
  <si>
    <t>23/07/2018</t>
  </si>
  <si>
    <t>18/06/2018</t>
  </si>
  <si>
    <t>15/01/2018</t>
  </si>
  <si>
    <t>14/05/2018</t>
  </si>
  <si>
    <t>11/09/2018</t>
  </si>
  <si>
    <t>10/07/2018</t>
  </si>
  <si>
    <t>13/06/2018</t>
  </si>
  <si>
    <t>16/01/2018</t>
  </si>
  <si>
    <t>27/06/2018</t>
  </si>
  <si>
    <t>26/01/2018</t>
  </si>
  <si>
    <t>18/09/2018</t>
  </si>
  <si>
    <t>26/07/2018</t>
  </si>
  <si>
    <t>18/01/2018</t>
  </si>
  <si>
    <t>30/06/2018</t>
  </si>
  <si>
    <t>28/06/2018</t>
  </si>
  <si>
    <t>23/01/2018</t>
  </si>
  <si>
    <t>19/01/2018</t>
  </si>
  <si>
    <t>06/06/2018</t>
  </si>
  <si>
    <t>28/05/2018</t>
  </si>
  <si>
    <t>27/09/2018</t>
  </si>
  <si>
    <t>26/06/2018</t>
  </si>
  <si>
    <t>25/04/2018</t>
  </si>
  <si>
    <t>18/05/2018</t>
  </si>
  <si>
    <t>30/05/2018</t>
  </si>
  <si>
    <t>20/07/2018</t>
  </si>
  <si>
    <t>07/09/2018</t>
  </si>
  <si>
    <t>25/01/2018</t>
  </si>
  <si>
    <t>04/06/2018</t>
  </si>
  <si>
    <t>04/04/2018</t>
  </si>
  <si>
    <t>03/07/2018</t>
  </si>
  <si>
    <t>29/06/2018</t>
  </si>
  <si>
    <t>07/02/2018</t>
  </si>
  <si>
    <t>07/06/2018</t>
  </si>
  <si>
    <t>21/06/2018</t>
  </si>
  <si>
    <t>03/04/2018</t>
  </si>
  <si>
    <t>02/05/2018</t>
  </si>
  <si>
    <t>29/01/2018</t>
  </si>
  <si>
    <t>30/01/2018</t>
  </si>
  <si>
    <t>01/02/2018</t>
  </si>
  <si>
    <t>20/09/2018</t>
  </si>
  <si>
    <t>14/06/2018</t>
  </si>
  <si>
    <t>08/02/2018</t>
  </si>
  <si>
    <t>02/03/2018</t>
  </si>
  <si>
    <t>05/02/2018</t>
  </si>
  <si>
    <t>06/02/2018</t>
  </si>
  <si>
    <t>01/03/2018</t>
  </si>
  <si>
    <t>05/03/2018</t>
  </si>
  <si>
    <t>18/07/2018</t>
  </si>
  <si>
    <t>09/03/2018</t>
  </si>
  <si>
    <t>19/07/2018</t>
  </si>
  <si>
    <t>12/03/2018</t>
  </si>
  <si>
    <t>09/02/2018</t>
  </si>
  <si>
    <t>12/02/2018</t>
  </si>
  <si>
    <t>22/06/2018</t>
  </si>
  <si>
    <t>08/06/2018</t>
  </si>
  <si>
    <t>26/02/2018</t>
  </si>
  <si>
    <t>05/06/2018</t>
  </si>
  <si>
    <t>07/03/2018</t>
  </si>
  <si>
    <t>19/02/2018</t>
  </si>
  <si>
    <t>06/03/2018</t>
  </si>
  <si>
    <t>17/07/2018</t>
  </si>
  <si>
    <t>08/03/2018</t>
  </si>
  <si>
    <t>28/02/2018</t>
  </si>
  <si>
    <t>27/02/2018</t>
  </si>
  <si>
    <t>21/08/2018</t>
  </si>
  <si>
    <t>16/07/2018</t>
  </si>
  <si>
    <t>13/04/2018</t>
  </si>
  <si>
    <t>25/07/2018</t>
  </si>
  <si>
    <t>15/03/2018</t>
  </si>
  <si>
    <t>25/06/2018</t>
  </si>
  <si>
    <t>28/08/2018</t>
  </si>
  <si>
    <t>17/03/2018</t>
  </si>
  <si>
    <t>26/03/2018</t>
  </si>
  <si>
    <t>28/03/2018</t>
  </si>
  <si>
    <t>06/04/2018</t>
  </si>
  <si>
    <t>18/04/2018</t>
  </si>
  <si>
    <t>16/04/2018</t>
  </si>
  <si>
    <t>12/04/2018</t>
  </si>
  <si>
    <t>23/05/2018</t>
  </si>
  <si>
    <t>23/04/2018</t>
  </si>
  <si>
    <t>30/04/2018</t>
  </si>
  <si>
    <t>27/04/2018</t>
  </si>
  <si>
    <t>03/05/2018</t>
  </si>
  <si>
    <t>19/06/2018</t>
  </si>
  <si>
    <t>20/06/2018</t>
  </si>
  <si>
    <t>08/09/2018</t>
  </si>
  <si>
    <t>11/07/2018</t>
  </si>
  <si>
    <t>17/09/2018</t>
  </si>
  <si>
    <t>06/07/2018</t>
  </si>
  <si>
    <t>09/07/2018</t>
  </si>
  <si>
    <t>22/08/2018</t>
  </si>
  <si>
    <t>23/08/2018</t>
  </si>
  <si>
    <t>24/08/2018</t>
  </si>
  <si>
    <t>31/07/2018</t>
  </si>
  <si>
    <t>26/09/2018</t>
  </si>
  <si>
    <t>31/08/2018</t>
  </si>
  <si>
    <t>05/09/2018</t>
  </si>
  <si>
    <t>30/07/2018</t>
  </si>
  <si>
    <t>27/08/2018</t>
  </si>
  <si>
    <t>03/09/2018</t>
  </si>
  <si>
    <t>04/09/2018</t>
  </si>
  <si>
    <t>30/08/2018</t>
  </si>
  <si>
    <t>24/09/2018</t>
  </si>
  <si>
    <t>06/09/2018</t>
  </si>
  <si>
    <t>10/09/2018</t>
  </si>
  <si>
    <t>15/09/2018</t>
  </si>
  <si>
    <t>19/09/2018</t>
  </si>
  <si>
    <t>21/09/2018</t>
  </si>
  <si>
    <t>14/09/2018</t>
  </si>
  <si>
    <t>29/09/2018</t>
  </si>
  <si>
    <t>22/09/2018</t>
  </si>
  <si>
    <t>25/09/2018</t>
  </si>
  <si>
    <t>28/09/2018</t>
  </si>
  <si>
    <t xml:space="preserve">Date </t>
  </si>
  <si>
    <t>03/01/2018</t>
  </si>
  <si>
    <t>05/01/2018</t>
  </si>
  <si>
    <t>08/01/2018</t>
  </si>
  <si>
    <t>09/01/2018</t>
  </si>
  <si>
    <t>10/01/2018</t>
  </si>
  <si>
    <t>12/01/2018</t>
  </si>
  <si>
    <t>17/01/2018</t>
  </si>
  <si>
    <t>22/01/2018</t>
  </si>
  <si>
    <t>24/01/2018</t>
  </si>
  <si>
    <t>31/01/2018</t>
  </si>
  <si>
    <t>02/02/2018</t>
  </si>
  <si>
    <t>13/02/2018</t>
  </si>
  <si>
    <t>14/02/2018</t>
  </si>
  <si>
    <t>15/02/2018</t>
  </si>
  <si>
    <t>16/02/2018</t>
  </si>
  <si>
    <t>20/02/2018</t>
  </si>
  <si>
    <t>21/02/2018</t>
  </si>
  <si>
    <t>22/02/2018</t>
  </si>
  <si>
    <t>23/02/2018</t>
  </si>
  <si>
    <t>10/03/2018</t>
  </si>
  <si>
    <t>13/03/2018</t>
  </si>
  <si>
    <t>14/03/2018</t>
  </si>
  <si>
    <t>16/03/2018</t>
  </si>
  <si>
    <t>19/03/2018</t>
  </si>
  <si>
    <t>20/03/2018</t>
  </si>
  <si>
    <t>22/03/2018</t>
  </si>
  <si>
    <t>23/03/2018</t>
  </si>
  <si>
    <t>27/03/2018</t>
  </si>
  <si>
    <t>29/03/2018</t>
  </si>
  <si>
    <t>30/03/2018</t>
  </si>
  <si>
    <t>05/04/2018</t>
  </si>
  <si>
    <t>09/04/2018</t>
  </si>
  <si>
    <t>10/04/2018</t>
  </si>
  <si>
    <t>11/04/2018</t>
  </si>
  <si>
    <t>17/04/2018</t>
  </si>
  <si>
    <t>20/04/2018</t>
  </si>
  <si>
    <t>24/04/2018</t>
  </si>
  <si>
    <t>26/04/2018</t>
  </si>
  <si>
    <t>04/05/2018</t>
  </si>
  <si>
    <t>15/05/2018</t>
  </si>
  <si>
    <t>16/05/2018</t>
  </si>
  <si>
    <t>17/05/2018</t>
  </si>
  <si>
    <t>22/05/2018</t>
  </si>
  <si>
    <t>24/05/2018</t>
  </si>
  <si>
    <t>25/05/2018</t>
  </si>
  <si>
    <t>29/05/2018</t>
  </si>
  <si>
    <t>31/05/2018</t>
  </si>
  <si>
    <t>11/06/2018</t>
  </si>
  <si>
    <t>05/07/2018</t>
  </si>
  <si>
    <t>5898</t>
  </si>
  <si>
    <t>3500</t>
  </si>
  <si>
    <t>5640</t>
  </si>
  <si>
    <t>11380</t>
  </si>
  <si>
    <t>8316</t>
  </si>
  <si>
    <t>1176</t>
  </si>
  <si>
    <t>6504</t>
  </si>
  <si>
    <t>37584</t>
  </si>
  <si>
    <t>2024</t>
  </si>
  <si>
    <t>18936</t>
  </si>
  <si>
    <t>14160</t>
  </si>
  <si>
    <t>9970</t>
  </si>
  <si>
    <t>7692</t>
  </si>
  <si>
    <t>14574</t>
  </si>
  <si>
    <t>3258</t>
  </si>
  <si>
    <t>8100</t>
  </si>
  <si>
    <t>8256</t>
  </si>
  <si>
    <t>3480</t>
  </si>
  <si>
    <t>7520</t>
  </si>
  <si>
    <t>9348</t>
  </si>
  <si>
    <t>6702</t>
  </si>
  <si>
    <t>17420</t>
  </si>
  <si>
    <t>16002</t>
  </si>
  <si>
    <t>10362</t>
  </si>
  <si>
    <t>3804</t>
  </si>
  <si>
    <t>457</t>
  </si>
  <si>
    <t>3076</t>
  </si>
  <si>
    <t>13644</t>
  </si>
  <si>
    <t>17380</t>
  </si>
  <si>
    <t>581</t>
  </si>
  <si>
    <t>6160</t>
  </si>
  <si>
    <t>199</t>
  </si>
  <si>
    <t>3180</t>
  </si>
  <si>
    <t>3070</t>
  </si>
  <si>
    <t>4536</t>
  </si>
  <si>
    <t>16910</t>
  </si>
  <si>
    <t>6161</t>
  </si>
  <si>
    <t>948</t>
  </si>
  <si>
    <t>214</t>
  </si>
  <si>
    <t>167</t>
  </si>
  <si>
    <t>78</t>
  </si>
  <si>
    <t>15648</t>
  </si>
  <si>
    <t>8850</t>
  </si>
  <si>
    <t>10092</t>
  </si>
  <si>
    <t>15810</t>
  </si>
  <si>
    <t>34</t>
  </si>
  <si>
    <t>254</t>
  </si>
  <si>
    <t>191</t>
  </si>
  <si>
    <t>49536</t>
  </si>
  <si>
    <t>5736</t>
  </si>
  <si>
    <t>2700</t>
  </si>
  <si>
    <t>10680</t>
  </si>
  <si>
    <t>16872</t>
  </si>
  <si>
    <t>546</t>
  </si>
  <si>
    <t>3755</t>
  </si>
  <si>
    <t>7362</t>
  </si>
  <si>
    <t>17544</t>
  </si>
  <si>
    <t>10080</t>
  </si>
  <si>
    <t>6060</t>
  </si>
  <si>
    <t>1945</t>
  </si>
  <si>
    <t>16134</t>
  </si>
  <si>
    <t>10782</t>
  </si>
  <si>
    <t>12906</t>
  </si>
  <si>
    <t>329</t>
  </si>
  <si>
    <t>50256</t>
  </si>
  <si>
    <t>9858</t>
  </si>
  <si>
    <t>14760</t>
  </si>
  <si>
    <t>2568</t>
  </si>
  <si>
    <t>50904</t>
  </si>
  <si>
    <t>524</t>
  </si>
  <si>
    <t>2792</t>
  </si>
  <si>
    <t>15576</t>
  </si>
  <si>
    <t>2808</t>
  </si>
  <si>
    <t>1016</t>
  </si>
  <si>
    <t>832</t>
  </si>
  <si>
    <t>560</t>
  </si>
  <si>
    <t>706</t>
  </si>
  <si>
    <t>810</t>
  </si>
  <si>
    <t>1488</t>
  </si>
  <si>
    <t>54</t>
  </si>
  <si>
    <t>1824</t>
  </si>
  <si>
    <t>2214</t>
  </si>
  <si>
    <t>752</t>
  </si>
  <si>
    <t>240</t>
  </si>
  <si>
    <t>7332</t>
  </si>
  <si>
    <t>3488</t>
  </si>
  <si>
    <t>7152</t>
  </si>
  <si>
    <t>606</t>
  </si>
  <si>
    <t>852</t>
  </si>
  <si>
    <t>1422</t>
  </si>
  <si>
    <t>2022</t>
  </si>
  <si>
    <t>1575</t>
  </si>
  <si>
    <t>2382</t>
  </si>
  <si>
    <t>22536</t>
  </si>
  <si>
    <t>4464</t>
  </si>
  <si>
    <t>3264</t>
  </si>
  <si>
    <t>11568</t>
  </si>
  <si>
    <t>10164</t>
  </si>
  <si>
    <t>100</t>
  </si>
  <si>
    <t>6612</t>
  </si>
  <si>
    <t>2604</t>
  </si>
  <si>
    <t>8368</t>
  </si>
  <si>
    <t>858</t>
  </si>
  <si>
    <t>24438</t>
  </si>
  <si>
    <t>1185</t>
  </si>
  <si>
    <t>426</t>
  </si>
  <si>
    <t>186</t>
  </si>
  <si>
    <t>420</t>
  </si>
  <si>
    <t>112</t>
  </si>
  <si>
    <t>640</t>
  </si>
  <si>
    <t>11280</t>
  </si>
  <si>
    <t>6132</t>
  </si>
  <si>
    <t>483</t>
  </si>
  <si>
    <t>15896</t>
  </si>
  <si>
    <t>120</t>
  </si>
  <si>
    <t>594</t>
  </si>
  <si>
    <t>17052</t>
  </si>
  <si>
    <t>103</t>
  </si>
  <si>
    <t>2582</t>
  </si>
  <si>
    <t>2165</t>
  </si>
  <si>
    <t>20856</t>
  </si>
  <si>
    <t>5616</t>
  </si>
  <si>
    <t>1043</t>
  </si>
  <si>
    <t>1266</t>
  </si>
  <si>
    <t>600</t>
  </si>
  <si>
    <t>29</t>
  </si>
  <si>
    <t>9780</t>
  </si>
  <si>
    <t>15240</t>
  </si>
  <si>
    <t>25638</t>
  </si>
  <si>
    <t>4644</t>
  </si>
  <si>
    <t>8016</t>
  </si>
  <si>
    <t>10848</t>
  </si>
  <si>
    <t>14000</t>
  </si>
  <si>
    <t>26760</t>
  </si>
  <si>
    <t>30372</t>
  </si>
  <si>
    <t>3036</t>
  </si>
  <si>
    <t>1128</t>
  </si>
  <si>
    <t>1180</t>
  </si>
  <si>
    <t>972</t>
  </si>
  <si>
    <t>5192</t>
  </si>
  <si>
    <t>436</t>
  </si>
  <si>
    <t>6084</t>
  </si>
  <si>
    <t>435</t>
  </si>
  <si>
    <t>2460</t>
  </si>
  <si>
    <t>3930</t>
  </si>
  <si>
    <t>2368</t>
  </si>
  <si>
    <t>3320</t>
  </si>
  <si>
    <t>2472</t>
  </si>
  <si>
    <t>3714</t>
  </si>
  <si>
    <t>40536</t>
  </si>
  <si>
    <t>12000</t>
  </si>
  <si>
    <t>3060</t>
  </si>
  <si>
    <t>18558</t>
  </si>
  <si>
    <t>792</t>
  </si>
  <si>
    <t>3528</t>
  </si>
  <si>
    <t>126</t>
  </si>
  <si>
    <t>180</t>
  </si>
  <si>
    <t>41172</t>
  </si>
  <si>
    <t>7776</t>
  </si>
  <si>
    <t>2520</t>
  </si>
  <si>
    <t>2244</t>
  </si>
  <si>
    <t>2760</t>
  </si>
  <si>
    <t>3024</t>
  </si>
  <si>
    <t>17448</t>
  </si>
  <si>
    <t>98</t>
  </si>
  <si>
    <t>756</t>
  </si>
  <si>
    <t>654</t>
  </si>
  <si>
    <t>2880</t>
  </si>
  <si>
    <t>40680</t>
  </si>
  <si>
    <t>8076</t>
  </si>
  <si>
    <t>7572</t>
  </si>
  <si>
    <t>5352</t>
  </si>
  <si>
    <t>7074</t>
  </si>
  <si>
    <t>7368</t>
  </si>
  <si>
    <t>122</t>
  </si>
  <si>
    <t>900</t>
  </si>
  <si>
    <t>4032</t>
  </si>
  <si>
    <t>2292</t>
  </si>
  <si>
    <t>288</t>
  </si>
  <si>
    <t>16224</t>
  </si>
  <si>
    <t>5496</t>
  </si>
  <si>
    <t>6816</t>
  </si>
  <si>
    <t>3438</t>
  </si>
  <si>
    <t>7610</t>
  </si>
  <si>
    <t>7428</t>
  </si>
  <si>
    <t>145</t>
  </si>
  <si>
    <t>2988</t>
  </si>
  <si>
    <t>18</t>
  </si>
  <si>
    <t>18360</t>
  </si>
  <si>
    <t>2658</t>
  </si>
  <si>
    <t>888</t>
  </si>
  <si>
    <t>1254</t>
  </si>
  <si>
    <t>10800</t>
  </si>
  <si>
    <t>876</t>
  </si>
  <si>
    <t>172</t>
  </si>
  <si>
    <t>598</t>
  </si>
  <si>
    <t>5184</t>
  </si>
  <si>
    <t>5466</t>
  </si>
  <si>
    <t>17640</t>
  </si>
  <si>
    <t>2916</t>
  </si>
  <si>
    <t>1878</t>
  </si>
  <si>
    <t>4380</t>
  </si>
  <si>
    <t>7416</t>
  </si>
  <si>
    <t>4242</t>
  </si>
  <si>
    <t>6228</t>
  </si>
  <si>
    <t>4560</t>
  </si>
  <si>
    <t>3834</t>
  </si>
  <si>
    <t>473</t>
  </si>
  <si>
    <t>15456</t>
  </si>
  <si>
    <t>17280</t>
  </si>
  <si>
    <t>17130</t>
  </si>
  <si>
    <t>4584</t>
  </si>
  <si>
    <t>1944</t>
  </si>
  <si>
    <t>8424</t>
  </si>
  <si>
    <t>1532</t>
  </si>
  <si>
    <t>17772</t>
  </si>
  <si>
    <t>15372</t>
  </si>
  <si>
    <t>2016</t>
  </si>
  <si>
    <t>9270</t>
  </si>
  <si>
    <t>17928</t>
  </si>
  <si>
    <t>6400</t>
  </si>
  <si>
    <t>5136</t>
  </si>
  <si>
    <t>205</t>
  </si>
  <si>
    <t>552</t>
  </si>
  <si>
    <t>3312</t>
  </si>
  <si>
    <t>357</t>
  </si>
  <si>
    <t>1110</t>
  </si>
  <si>
    <t>775</t>
  </si>
  <si>
    <t>1284</t>
  </si>
  <si>
    <t>439</t>
  </si>
  <si>
    <t>3420</t>
  </si>
  <si>
    <t>10152</t>
  </si>
  <si>
    <t>9792</t>
  </si>
  <si>
    <t>95</t>
  </si>
  <si>
    <t>7392</t>
  </si>
  <si>
    <t>50760</t>
  </si>
  <si>
    <t>7132</t>
  </si>
  <si>
    <t>9960</t>
  </si>
  <si>
    <t>5983</t>
  </si>
  <si>
    <t>834</t>
  </si>
  <si>
    <t>1200</t>
  </si>
  <si>
    <t>1233</t>
  </si>
  <si>
    <t>4026</t>
  </si>
  <si>
    <t>19752</t>
  </si>
  <si>
    <t>8088</t>
  </si>
  <si>
    <t>17160</t>
  </si>
  <si>
    <t>2610</t>
  </si>
  <si>
    <t>607</t>
  </si>
  <si>
    <t>2771</t>
  </si>
  <si>
    <t>1530</t>
  </si>
  <si>
    <t>5586</t>
  </si>
  <si>
    <t>20010</t>
  </si>
  <si>
    <t>1470</t>
  </si>
  <si>
    <t>2034</t>
  </si>
  <si>
    <t>9664</t>
  </si>
  <si>
    <t>4932</t>
  </si>
  <si>
    <t>8916</t>
  </si>
  <si>
    <t>8640</t>
  </si>
  <si>
    <t>140</t>
  </si>
  <si>
    <t>3564</t>
  </si>
  <si>
    <t>396</t>
  </si>
  <si>
    <t>1398</t>
  </si>
  <si>
    <t>11784</t>
  </si>
  <si>
    <t>5574</t>
  </si>
  <si>
    <t>9120</t>
  </si>
  <si>
    <t>1170</t>
  </si>
  <si>
    <t>1148</t>
  </si>
  <si>
    <t>1240</t>
  </si>
  <si>
    <t>1956</t>
  </si>
  <si>
    <t>992</t>
  </si>
  <si>
    <t>5958</t>
  </si>
  <si>
    <t>7200</t>
  </si>
  <si>
    <t>3450</t>
  </si>
  <si>
    <t>3084</t>
  </si>
  <si>
    <t>807</t>
  </si>
  <si>
    <t>2766</t>
  </si>
  <si>
    <t>1854</t>
  </si>
  <si>
    <t>5632</t>
  </si>
  <si>
    <t>1050</t>
  </si>
  <si>
    <t>10218</t>
  </si>
  <si>
    <t>2424</t>
  </si>
  <si>
    <t>1440</t>
  </si>
  <si>
    <t>780</t>
  </si>
  <si>
    <t>72</t>
  </si>
  <si>
    <t>18000</t>
  </si>
  <si>
    <t>1260</t>
  </si>
  <si>
    <t>4384</t>
  </si>
  <si>
    <t>390</t>
  </si>
  <si>
    <t>5964</t>
  </si>
  <si>
    <t>3288</t>
  </si>
  <si>
    <t>48</t>
  </si>
  <si>
    <t>342</t>
  </si>
  <si>
    <t>2514</t>
  </si>
  <si>
    <t>1596</t>
  </si>
  <si>
    <t>3540</t>
  </si>
  <si>
    <t>4824</t>
  </si>
  <si>
    <t>3432</t>
  </si>
  <si>
    <t>1664</t>
  </si>
  <si>
    <t>3216</t>
  </si>
  <si>
    <t>3204</t>
  </si>
  <si>
    <t>2664</t>
  </si>
  <si>
    <t>2592</t>
  </si>
  <si>
    <t>768</t>
  </si>
  <si>
    <t>480</t>
  </si>
  <si>
    <t>1680</t>
  </si>
  <si>
    <t>19800</t>
  </si>
  <si>
    <t>3234</t>
  </si>
  <si>
    <t>20850</t>
  </si>
  <si>
    <t>3248</t>
  </si>
  <si>
    <t>6240</t>
  </si>
  <si>
    <t>2952</t>
  </si>
  <si>
    <t>1602</t>
  </si>
  <si>
    <t>4320</t>
  </si>
  <si>
    <t>1740</t>
  </si>
  <si>
    <t>3702</t>
  </si>
  <si>
    <t>1218</t>
  </si>
  <si>
    <t>4254</t>
  </si>
  <si>
    <t>13280</t>
  </si>
  <si>
    <t>1008</t>
  </si>
  <si>
    <t>1500</t>
  </si>
  <si>
    <t>1242</t>
  </si>
  <si>
    <t>1020</t>
  </si>
  <si>
    <t>4218</t>
  </si>
  <si>
    <t>210</t>
  </si>
  <si>
    <t>13878</t>
  </si>
  <si>
    <t>540</t>
  </si>
  <si>
    <t>13980</t>
  </si>
  <si>
    <t>1308</t>
  </si>
  <si>
    <t>204</t>
  </si>
  <si>
    <t>3756</t>
  </si>
  <si>
    <t>22368</t>
  </si>
  <si>
    <t>16794</t>
  </si>
  <si>
    <t>4800</t>
  </si>
  <si>
    <t>4421</t>
  </si>
  <si>
    <t>8628</t>
  </si>
  <si>
    <t>144</t>
  </si>
  <si>
    <t>8172</t>
  </si>
  <si>
    <t>4086</t>
  </si>
  <si>
    <t>4980</t>
  </si>
  <si>
    <t>2064</t>
  </si>
  <si>
    <t>1236</t>
  </si>
  <si>
    <t>10146</t>
  </si>
  <si>
    <t>624</t>
  </si>
  <si>
    <t>8700</t>
  </si>
  <si>
    <t>5256</t>
  </si>
  <si>
    <t>3576</t>
  </si>
  <si>
    <t>6150</t>
  </si>
  <si>
    <t>816</t>
  </si>
  <si>
    <t>9144</t>
  </si>
  <si>
    <t>7788</t>
  </si>
  <si>
    <t>5832</t>
  </si>
  <si>
    <t>2976</t>
  </si>
  <si>
    <t>24474</t>
  </si>
  <si>
    <t>17148</t>
  </si>
  <si>
    <t>2238</t>
  </si>
  <si>
    <t>6096</t>
  </si>
  <si>
    <t>567</t>
  </si>
  <si>
    <t>1400</t>
  </si>
  <si>
    <t>12432</t>
  </si>
  <si>
    <t>96</t>
  </si>
  <si>
    <t>4656</t>
  </si>
  <si>
    <t>11250</t>
  </si>
  <si>
    <t>9480</t>
  </si>
  <si>
    <t>15368</t>
  </si>
  <si>
    <t>3588</t>
  </si>
  <si>
    <t>984</t>
  </si>
  <si>
    <t>416</t>
  </si>
  <si>
    <t>779</t>
  </si>
  <si>
    <t>5868</t>
  </si>
  <si>
    <t>3630</t>
  </si>
  <si>
    <t>318</t>
  </si>
  <si>
    <t>1032</t>
  </si>
  <si>
    <t>978</t>
  </si>
  <si>
    <t>522</t>
  </si>
  <si>
    <t>750</t>
  </si>
  <si>
    <t>1026</t>
  </si>
  <si>
    <t>895</t>
  </si>
  <si>
    <t>3972</t>
  </si>
  <si>
    <t>3888</t>
  </si>
  <si>
    <t>16032</t>
  </si>
  <si>
    <t>115</t>
  </si>
  <si>
    <t>8388</t>
  </si>
  <si>
    <t>5520</t>
  </si>
  <si>
    <t>714</t>
  </si>
  <si>
    <t>6528</t>
  </si>
  <si>
    <t>1872</t>
  </si>
  <si>
    <t>1650</t>
  </si>
  <si>
    <t>28</t>
  </si>
  <si>
    <t>334</t>
  </si>
  <si>
    <t>1819</t>
  </si>
  <si>
    <t>4530</t>
  </si>
  <si>
    <t>6834</t>
  </si>
  <si>
    <t>306</t>
  </si>
  <si>
    <t>6588</t>
  </si>
  <si>
    <t>17530</t>
  </si>
  <si>
    <t>39180</t>
  </si>
  <si>
    <t>2048</t>
  </si>
  <si>
    <t>4176</t>
  </si>
  <si>
    <t>14700</t>
  </si>
  <si>
    <t>252</t>
  </si>
  <si>
    <t>40008</t>
  </si>
  <si>
    <t>906</t>
  </si>
  <si>
    <t>26</t>
  </si>
  <si>
    <t>11364</t>
  </si>
  <si>
    <t>8664</t>
  </si>
  <si>
    <t>29376</t>
  </si>
  <si>
    <t>86</t>
  </si>
  <si>
    <t>16</t>
  </si>
  <si>
    <t>9372</t>
  </si>
  <si>
    <t>8034</t>
  </si>
  <si>
    <t>10722</t>
  </si>
  <si>
    <t>29832</t>
  </si>
  <si>
    <t>2736</t>
  </si>
  <si>
    <t>2436</t>
  </si>
  <si>
    <t>9168</t>
  </si>
  <si>
    <t>3936</t>
  </si>
  <si>
    <t>7596</t>
  </si>
  <si>
    <t>6006</t>
  </si>
  <si>
    <t>18798</t>
  </si>
  <si>
    <t>7536</t>
  </si>
  <si>
    <t>12036</t>
  </si>
  <si>
    <t>2448</t>
  </si>
  <si>
    <t>4092</t>
  </si>
  <si>
    <t>19722</t>
  </si>
  <si>
    <t>2964</t>
  </si>
  <si>
    <t>42</t>
  </si>
  <si>
    <t>7044</t>
  </si>
  <si>
    <t>1434</t>
  </si>
  <si>
    <t>1122</t>
  </si>
  <si>
    <t>53</t>
  </si>
  <si>
    <t>37080</t>
  </si>
  <si>
    <t>9978</t>
  </si>
  <si>
    <t>11496</t>
  </si>
  <si>
    <t>3468</t>
  </si>
  <si>
    <t>1335</t>
  </si>
  <si>
    <t>1392</t>
  </si>
  <si>
    <t>558</t>
  </si>
  <si>
    <t>10140</t>
  </si>
  <si>
    <t>7086</t>
  </si>
  <si>
    <t>4182</t>
  </si>
  <si>
    <t>8616</t>
  </si>
  <si>
    <t>143</t>
  </si>
  <si>
    <t>4848</t>
  </si>
  <si>
    <t>1801</t>
  </si>
  <si>
    <t>6912</t>
  </si>
  <si>
    <t>9210</t>
  </si>
  <si>
    <t>22500</t>
  </si>
  <si>
    <t>3396</t>
  </si>
  <si>
    <t>823</t>
  </si>
  <si>
    <t>6654</t>
  </si>
  <si>
    <t>2412</t>
  </si>
  <si>
    <t>25938</t>
  </si>
  <si>
    <t>2052</t>
  </si>
  <si>
    <t>732</t>
  </si>
  <si>
    <t>918</t>
  </si>
  <si>
    <t>985</t>
  </si>
  <si>
    <t>843</t>
  </si>
  <si>
    <t>7002</t>
  </si>
  <si>
    <t>35320</t>
  </si>
  <si>
    <t>589</t>
  </si>
  <si>
    <t>4290</t>
  </si>
  <si>
    <t>3066</t>
  </si>
  <si>
    <t>1415</t>
  </si>
  <si>
    <t>384</t>
  </si>
  <si>
    <t>4944</t>
  </si>
  <si>
    <t>64</t>
  </si>
  <si>
    <t>2802</t>
  </si>
  <si>
    <t>4210</t>
  </si>
  <si>
    <t>3340</t>
  </si>
  <si>
    <t>3336</t>
  </si>
  <si>
    <t>3144</t>
  </si>
  <si>
    <t>14262</t>
  </si>
  <si>
    <t>6492</t>
  </si>
  <si>
    <t>3720</t>
  </si>
  <si>
    <t>15996</t>
  </si>
  <si>
    <t>3510</t>
  </si>
  <si>
    <t>4140</t>
  </si>
  <si>
    <t>4782</t>
  </si>
  <si>
    <t>882</t>
  </si>
  <si>
    <t>996</t>
  </si>
  <si>
    <t>492</t>
  </si>
  <si>
    <t>534</t>
  </si>
  <si>
    <t>6900</t>
  </si>
  <si>
    <t>6792</t>
  </si>
  <si>
    <t>3870</t>
  </si>
  <si>
    <t>3840</t>
  </si>
  <si>
    <t>4160</t>
  </si>
  <si>
    <t>5872</t>
  </si>
  <si>
    <t>10104</t>
  </si>
  <si>
    <t>7458</t>
  </si>
  <si>
    <t>8508</t>
  </si>
  <si>
    <t>1376</t>
  </si>
  <si>
    <t>3762</t>
  </si>
  <si>
    <t>2310</t>
  </si>
  <si>
    <t>20640</t>
  </si>
  <si>
    <t>1976</t>
  </si>
  <si>
    <t>7224</t>
  </si>
  <si>
    <t>15804</t>
  </si>
  <si>
    <t>2670</t>
  </si>
  <si>
    <t>41640</t>
  </si>
  <si>
    <t>51552</t>
  </si>
  <si>
    <t>804</t>
  </si>
  <si>
    <t>7542</t>
  </si>
  <si>
    <t>234</t>
  </si>
  <si>
    <t>452</t>
  </si>
  <si>
    <t>1471</t>
  </si>
  <si>
    <t>40956</t>
  </si>
  <si>
    <t>369</t>
  </si>
  <si>
    <t>7518</t>
  </si>
  <si>
    <t>1960</t>
  </si>
  <si>
    <t>16014</t>
  </si>
  <si>
    <t>6624</t>
  </si>
  <si>
    <t>2268</t>
  </si>
  <si>
    <t>500</t>
  </si>
  <si>
    <t>8040</t>
  </si>
  <si>
    <t>445</t>
  </si>
  <si>
    <t>1992</t>
  </si>
  <si>
    <t>6222</t>
  </si>
  <si>
    <t>7260</t>
  </si>
  <si>
    <t>1491</t>
  </si>
  <si>
    <t>7620</t>
  </si>
  <si>
    <t>1104</t>
  </si>
  <si>
    <t>17808</t>
  </si>
  <si>
    <t>3048</t>
  </si>
  <si>
    <t>2718</t>
  </si>
  <si>
    <t>2112</t>
  </si>
  <si>
    <t>181</t>
  </si>
  <si>
    <t>544</t>
  </si>
  <si>
    <t>128</t>
  </si>
  <si>
    <t>846</t>
  </si>
  <si>
    <t>8634</t>
  </si>
  <si>
    <t>18750</t>
  </si>
  <si>
    <t>568</t>
  </si>
  <si>
    <t>312</t>
  </si>
  <si>
    <t>5544</t>
  </si>
  <si>
    <t>8892</t>
  </si>
  <si>
    <t>20440</t>
  </si>
  <si>
    <t>3678</t>
  </si>
  <si>
    <t>6468</t>
  </si>
  <si>
    <t>8880</t>
  </si>
  <si>
    <t>19120</t>
  </si>
  <si>
    <t>7662</t>
  </si>
  <si>
    <t>961</t>
  </si>
  <si>
    <t>3080</t>
  </si>
  <si>
    <t>3684</t>
  </si>
  <si>
    <t>6140</t>
  </si>
  <si>
    <t>9630</t>
  </si>
  <si>
    <t>8292</t>
  </si>
  <si>
    <t>1686</t>
  </si>
  <si>
    <t>7998</t>
  </si>
  <si>
    <t>14772</t>
  </si>
  <si>
    <t>839</t>
  </si>
  <si>
    <t>1420</t>
  </si>
  <si>
    <t>1548</t>
  </si>
  <si>
    <t>3744</t>
  </si>
  <si>
    <t>6138</t>
  </si>
  <si>
    <t>11244</t>
  </si>
  <si>
    <t>232</t>
  </si>
  <si>
    <t>176</t>
  </si>
  <si>
    <t>926</t>
  </si>
  <si>
    <t>1094</t>
  </si>
  <si>
    <t>18030</t>
  </si>
  <si>
    <t>395</t>
  </si>
  <si>
    <t>1464</t>
  </si>
  <si>
    <t>9360</t>
  </si>
  <si>
    <t>13352</t>
  </si>
  <si>
    <t>9876</t>
  </si>
  <si>
    <t>9308</t>
  </si>
  <si>
    <t>113</t>
  </si>
  <si>
    <t>1526</t>
  </si>
  <si>
    <t>855</t>
  </si>
  <si>
    <t>15060</t>
  </si>
  <si>
    <t>18192</t>
  </si>
  <si>
    <t>9180</t>
  </si>
  <si>
    <t>1836</t>
  </si>
  <si>
    <t>29928</t>
  </si>
  <si>
    <t>6156</t>
  </si>
  <si>
    <t>16314</t>
  </si>
  <si>
    <t>2130</t>
  </si>
  <si>
    <t>11952</t>
  </si>
  <si>
    <t>31608</t>
  </si>
  <si>
    <t>14232</t>
  </si>
  <si>
    <t>2496</t>
  </si>
  <si>
    <t>10908</t>
  </si>
  <si>
    <t>14832</t>
  </si>
  <si>
    <t>23334</t>
  </si>
  <si>
    <t>3726</t>
  </si>
  <si>
    <t>9240</t>
  </si>
  <si>
    <t>188</t>
  </si>
  <si>
    <t>1536</t>
  </si>
  <si>
    <t>17010</t>
  </si>
  <si>
    <t>960</t>
  </si>
  <si>
    <t>1482</t>
  </si>
  <si>
    <t>942</t>
  </si>
  <si>
    <t>15966</t>
  </si>
  <si>
    <t>15780</t>
  </si>
  <si>
    <t>5802</t>
  </si>
  <si>
    <t>3780</t>
  </si>
  <si>
    <t>8652</t>
  </si>
  <si>
    <t>16416</t>
  </si>
  <si>
    <t>7608</t>
  </si>
  <si>
    <t>16140</t>
  </si>
  <si>
    <t>3618</t>
  </si>
  <si>
    <t>10620</t>
  </si>
  <si>
    <t>57168</t>
  </si>
  <si>
    <t>17214</t>
  </si>
  <si>
    <t>2050</t>
  </si>
  <si>
    <t>13218</t>
  </si>
  <si>
    <t>38664</t>
  </si>
  <si>
    <t>17520</t>
  </si>
  <si>
    <t>12720</t>
  </si>
  <si>
    <t>684</t>
  </si>
  <si>
    <t>40176</t>
  </si>
  <si>
    <t>7616</t>
  </si>
  <si>
    <t>9192</t>
  </si>
  <si>
    <t>14810</t>
  </si>
  <si>
    <t>40044</t>
  </si>
  <si>
    <t>6680</t>
  </si>
  <si>
    <t>1250</t>
  </si>
  <si>
    <t>12480</t>
  </si>
  <si>
    <t>830</t>
  </si>
  <si>
    <t>7176</t>
  </si>
  <si>
    <t>20844</t>
  </si>
  <si>
    <t>7412</t>
  </si>
  <si>
    <t>5004</t>
  </si>
  <si>
    <t>12010</t>
  </si>
  <si>
    <t>655</t>
  </si>
  <si>
    <t>15018</t>
  </si>
  <si>
    <t>8004</t>
  </si>
  <si>
    <t>11580</t>
  </si>
  <si>
    <t>5600</t>
  </si>
  <si>
    <t>2772</t>
  </si>
  <si>
    <t>7500</t>
  </si>
  <si>
    <t>9420</t>
  </si>
  <si>
    <t>6470</t>
  </si>
  <si>
    <t>20250</t>
  </si>
  <si>
    <t>4352</t>
  </si>
  <si>
    <t>1332</t>
  </si>
  <si>
    <t>8784</t>
  </si>
  <si>
    <t>25380</t>
  </si>
  <si>
    <t>6210</t>
  </si>
  <si>
    <t>1330</t>
  </si>
  <si>
    <t>1461</t>
  </si>
  <si>
    <t>3982</t>
  </si>
  <si>
    <t>51</t>
  </si>
  <si>
    <t>11712</t>
  </si>
  <si>
    <t>27090</t>
  </si>
  <si>
    <t>129</t>
  </si>
  <si>
    <t>5588</t>
  </si>
  <si>
    <t>13770</t>
  </si>
  <si>
    <t>9588</t>
  </si>
  <si>
    <t>27414</t>
  </si>
  <si>
    <t>474</t>
  </si>
  <si>
    <t>968</t>
  </si>
  <si>
    <t>9852</t>
  </si>
  <si>
    <t>27660</t>
  </si>
  <si>
    <t>2194</t>
  </si>
  <si>
    <t>14862</t>
  </si>
  <si>
    <t>13410</t>
  </si>
  <si>
    <t>17460</t>
  </si>
  <si>
    <t>39936</t>
  </si>
  <si>
    <t>9900</t>
  </si>
  <si>
    <t>9204</t>
  </si>
  <si>
    <t>1402</t>
  </si>
  <si>
    <t>12840</t>
  </si>
  <si>
    <t>8192</t>
  </si>
  <si>
    <t>440</t>
  </si>
  <si>
    <t>9564</t>
  </si>
  <si>
    <t>556</t>
  </si>
  <si>
    <t>4592</t>
  </si>
  <si>
    <t>35328</t>
  </si>
  <si>
    <t>16188</t>
  </si>
  <si>
    <t>9948</t>
  </si>
  <si>
    <t>510</t>
  </si>
  <si>
    <t>19440</t>
  </si>
  <si>
    <t>5100</t>
  </si>
  <si>
    <t>6640</t>
  </si>
  <si>
    <t>15732</t>
  </si>
  <si>
    <t>10500</t>
  </si>
  <si>
    <t>1160</t>
  </si>
  <si>
    <t>58</t>
  </si>
  <si>
    <t>18228</t>
  </si>
  <si>
    <t>218</t>
  </si>
  <si>
    <t>8080</t>
  </si>
  <si>
    <t>14364</t>
  </si>
  <si>
    <t>13260</t>
  </si>
  <si>
    <t>2330</t>
  </si>
  <si>
    <t>981</t>
  </si>
  <si>
    <t>7764</t>
  </si>
  <si>
    <t>13452</t>
  </si>
  <si>
    <t>430</t>
  </si>
  <si>
    <t>17508</t>
  </si>
  <si>
    <t>2778</t>
  </si>
  <si>
    <t>60</t>
  </si>
  <si>
    <t>3102</t>
  </si>
  <si>
    <t>1764</t>
  </si>
  <si>
    <t>484</t>
  </si>
  <si>
    <t>4044</t>
  </si>
  <si>
    <t>8400</t>
  </si>
  <si>
    <t>2142</t>
  </si>
  <si>
    <t>10410</t>
  </si>
  <si>
    <t>91</t>
  </si>
  <si>
    <t>1584</t>
  </si>
  <si>
    <t>2862</t>
  </si>
  <si>
    <t>5724</t>
  </si>
  <si>
    <t>3210</t>
  </si>
  <si>
    <t>10158</t>
  </si>
  <si>
    <t>15498</t>
  </si>
  <si>
    <t>300</t>
  </si>
  <si>
    <t>348</t>
  </si>
  <si>
    <t>2103</t>
  </si>
  <si>
    <t>7626</t>
  </si>
  <si>
    <t>16870</t>
  </si>
  <si>
    <t>2040</t>
  </si>
  <si>
    <t>3960</t>
  </si>
  <si>
    <t>11736</t>
  </si>
  <si>
    <t>162</t>
  </si>
  <si>
    <t>20570</t>
  </si>
  <si>
    <t>666</t>
  </si>
  <si>
    <t>1728</t>
  </si>
  <si>
    <t>2166</t>
  </si>
  <si>
    <t>2160</t>
  </si>
  <si>
    <t>9966</t>
  </si>
  <si>
    <t>20740</t>
  </si>
  <si>
    <t>3900</t>
  </si>
  <si>
    <t>4470</t>
  </si>
  <si>
    <t>1320</t>
  </si>
  <si>
    <t>585</t>
  </si>
  <si>
    <t>932</t>
  </si>
  <si>
    <t>468</t>
  </si>
  <si>
    <t>5328</t>
  </si>
  <si>
    <t>554</t>
  </si>
  <si>
    <t>10880</t>
  </si>
  <si>
    <t>2370</t>
  </si>
  <si>
    <t>276</t>
  </si>
  <si>
    <t>1572</t>
  </si>
  <si>
    <t>6372</t>
  </si>
  <si>
    <t>1342</t>
  </si>
  <si>
    <t>31104</t>
  </si>
  <si>
    <t>4476</t>
  </si>
  <si>
    <t>2124</t>
  </si>
  <si>
    <t>6408</t>
  </si>
  <si>
    <t>14076</t>
  </si>
  <si>
    <t>29844</t>
  </si>
  <si>
    <t>726</t>
  </si>
  <si>
    <t>7854</t>
  </si>
  <si>
    <t>5322</t>
  </si>
  <si>
    <t>340</t>
  </si>
  <si>
    <t>6204</t>
  </si>
  <si>
    <t>1272</t>
  </si>
  <si>
    <t>4506</t>
  </si>
  <si>
    <t>216</t>
  </si>
  <si>
    <t>27</t>
  </si>
  <si>
    <t>5652</t>
  </si>
  <si>
    <t>31456</t>
  </si>
  <si>
    <t>23004</t>
  </si>
  <si>
    <t>1782</t>
  </si>
  <si>
    <t>17046</t>
  </si>
  <si>
    <t>7914</t>
  </si>
  <si>
    <t>76</t>
  </si>
  <si>
    <t>5580</t>
  </si>
  <si>
    <t>1080</t>
  </si>
  <si>
    <t>366</t>
  </si>
  <si>
    <t>432</t>
  </si>
  <si>
    <t>222</t>
  </si>
  <si>
    <t>84</t>
  </si>
  <si>
    <t>12</t>
  </si>
  <si>
    <t>56</t>
  </si>
  <si>
    <t>1296</t>
  </si>
  <si>
    <t>3414</t>
  </si>
  <si>
    <t>7182</t>
  </si>
  <si>
    <t>1544</t>
  </si>
  <si>
    <t>1734</t>
  </si>
  <si>
    <t>10208</t>
  </si>
  <si>
    <t>68128</t>
  </si>
  <si>
    <t>5238</t>
  </si>
  <si>
    <t>24</t>
  </si>
  <si>
    <t>344</t>
  </si>
  <si>
    <t>8874</t>
  </si>
  <si>
    <t>4960</t>
  </si>
  <si>
    <t>10932</t>
  </si>
  <si>
    <t>29888</t>
  </si>
  <si>
    <t>25116</t>
  </si>
  <si>
    <t>20022</t>
  </si>
  <si>
    <t>1848</t>
  </si>
  <si>
    <t>82432</t>
  </si>
  <si>
    <t>519</t>
  </si>
  <si>
    <t>43992</t>
  </si>
  <si>
    <t>5934</t>
  </si>
  <si>
    <t>6630</t>
  </si>
  <si>
    <t>22020</t>
  </si>
  <si>
    <t>2724</t>
  </si>
  <si>
    <t>12504</t>
  </si>
  <si>
    <t>11538</t>
  </si>
  <si>
    <t>5152</t>
  </si>
  <si>
    <t>1410</t>
  </si>
  <si>
    <t>1455</t>
  </si>
  <si>
    <t>10518</t>
  </si>
  <si>
    <t>10488</t>
  </si>
  <si>
    <t>37600</t>
  </si>
  <si>
    <t>30468</t>
  </si>
  <si>
    <t>12810</t>
  </si>
  <si>
    <t>8928</t>
  </si>
  <si>
    <t>761</t>
  </si>
  <si>
    <t>828</t>
  </si>
  <si>
    <t>12402</t>
  </si>
  <si>
    <t>11604</t>
  </si>
  <si>
    <t>1277</t>
  </si>
  <si>
    <t>7328</t>
  </si>
  <si>
    <t>17216</t>
  </si>
  <si>
    <t>43140</t>
  </si>
  <si>
    <t>12552</t>
  </si>
  <si>
    <t>1932</t>
  </si>
  <si>
    <t>1512</t>
  </si>
  <si>
    <t>285</t>
  </si>
  <si>
    <t>550</t>
  </si>
  <si>
    <t>7980</t>
  </si>
  <si>
    <t>3696</t>
  </si>
  <si>
    <t>45552</t>
  </si>
  <si>
    <t>13128</t>
  </si>
  <si>
    <t>7212</t>
  </si>
  <si>
    <t>17838</t>
  </si>
  <si>
    <t>5320</t>
  </si>
  <si>
    <t>4080</t>
  </si>
  <si>
    <t>38752</t>
  </si>
  <si>
    <t>19404</t>
  </si>
  <si>
    <t>12032</t>
  </si>
  <si>
    <t>1056</t>
  </si>
  <si>
    <t>3968</t>
  </si>
  <si>
    <t>6252</t>
  </si>
  <si>
    <t>635</t>
  </si>
  <si>
    <t>21000</t>
  </si>
  <si>
    <t>2020</t>
  </si>
  <si>
    <t>7326</t>
  </si>
  <si>
    <t>7422</t>
  </si>
  <si>
    <t>8160</t>
  </si>
  <si>
    <t>42240</t>
  </si>
  <si>
    <t>26272</t>
  </si>
  <si>
    <t>486</t>
  </si>
  <si>
    <t>6354</t>
  </si>
  <si>
    <t>6720</t>
  </si>
  <si>
    <t>1914</t>
  </si>
  <si>
    <t>131</t>
  </si>
  <si>
    <t>10936</t>
  </si>
  <si>
    <t>2508</t>
  </si>
  <si>
    <t>2940</t>
  </si>
  <si>
    <t>465</t>
  </si>
  <si>
    <t>1086</t>
  </si>
  <si>
    <t>7488</t>
  </si>
  <si>
    <t>11016</t>
  </si>
  <si>
    <t>1770</t>
  </si>
  <si>
    <t>9184</t>
  </si>
  <si>
    <t>5814</t>
  </si>
  <si>
    <t>3270</t>
  </si>
  <si>
    <t>4690</t>
  </si>
  <si>
    <t>19008</t>
  </si>
  <si>
    <t>14400</t>
  </si>
  <si>
    <t>6234</t>
  </si>
  <si>
    <t>4668</t>
  </si>
  <si>
    <t>9198</t>
  </si>
  <si>
    <t>2796</t>
  </si>
  <si>
    <t>1896</t>
  </si>
  <si>
    <t>2912</t>
  </si>
  <si>
    <t>22632</t>
  </si>
  <si>
    <t>11544</t>
  </si>
  <si>
    <t>5124</t>
  </si>
  <si>
    <t>4422</t>
  </si>
  <si>
    <t>9696</t>
  </si>
  <si>
    <t>5016</t>
  </si>
  <si>
    <t>3504</t>
  </si>
  <si>
    <t>3750</t>
  </si>
  <si>
    <t>675</t>
  </si>
  <si>
    <t>696</t>
  </si>
  <si>
    <t>7704</t>
  </si>
  <si>
    <t>5088</t>
  </si>
  <si>
    <t>9720</t>
  </si>
  <si>
    <t>136</t>
  </si>
  <si>
    <t>156</t>
  </si>
  <si>
    <t>625</t>
  </si>
  <si>
    <t>2100</t>
  </si>
  <si>
    <t>23016</t>
  </si>
  <si>
    <t>6396</t>
  </si>
  <si>
    <t>10590</t>
  </si>
  <si>
    <t>8220</t>
  </si>
  <si>
    <t>253</t>
  </si>
  <si>
    <t>192</t>
  </si>
  <si>
    <t>324</t>
  </si>
  <si>
    <t>408</t>
  </si>
  <si>
    <t>618</t>
  </si>
  <si>
    <t>7800</t>
  </si>
  <si>
    <t>7254</t>
  </si>
  <si>
    <t>13902</t>
  </si>
  <si>
    <t>11184</t>
  </si>
  <si>
    <t>8796</t>
  </si>
  <si>
    <t>3300</t>
  </si>
  <si>
    <t>2616</t>
  </si>
  <si>
    <t>13872</t>
  </si>
  <si>
    <t>1974</t>
  </si>
  <si>
    <t>3120</t>
  </si>
  <si>
    <t>279</t>
  </si>
  <si>
    <t>5118</t>
  </si>
  <si>
    <t>275</t>
  </si>
  <si>
    <t>4596</t>
  </si>
  <si>
    <t>7032</t>
  </si>
  <si>
    <t>411</t>
  </si>
  <si>
    <t>11982</t>
  </si>
  <si>
    <t>2544</t>
  </si>
  <si>
    <t>2634</t>
  </si>
  <si>
    <t>7740</t>
  </si>
  <si>
    <t>150</t>
  </si>
  <si>
    <t>16452</t>
  </si>
  <si>
    <t>4014</t>
  </si>
  <si>
    <t>15684</t>
  </si>
  <si>
    <t>10266</t>
  </si>
  <si>
    <t>10950</t>
  </si>
  <si>
    <t>450</t>
  </si>
  <si>
    <t>15792</t>
  </si>
  <si>
    <t>294</t>
  </si>
  <si>
    <t>13890</t>
  </si>
  <si>
    <t>1038</t>
  </si>
  <si>
    <t>822</t>
  </si>
  <si>
    <t>207</t>
  </si>
  <si>
    <t>23832</t>
  </si>
  <si>
    <t>9504</t>
  </si>
  <si>
    <t>3984</t>
  </si>
  <si>
    <t>17314</t>
  </si>
  <si>
    <t>10794</t>
  </si>
  <si>
    <t>12708</t>
  </si>
  <si>
    <t>527</t>
  </si>
  <si>
    <t>4920</t>
  </si>
  <si>
    <t>15864</t>
  </si>
  <si>
    <t>138</t>
  </si>
  <si>
    <t>4122</t>
  </si>
  <si>
    <t>4812</t>
  </si>
  <si>
    <t>5012</t>
  </si>
  <si>
    <t>4512</t>
  </si>
  <si>
    <t>8142</t>
  </si>
  <si>
    <t>2007</t>
  </si>
  <si>
    <t>13752</t>
  </si>
  <si>
    <t>11376</t>
  </si>
  <si>
    <t>4768</t>
  </si>
  <si>
    <t>5310</t>
  </si>
  <si>
    <t>2532</t>
  </si>
  <si>
    <t>4760</t>
  </si>
  <si>
    <t>7956</t>
  </si>
  <si>
    <t>11778</t>
  </si>
  <si>
    <t>5312</t>
  </si>
  <si>
    <t>9056</t>
  </si>
  <si>
    <t>3012</t>
  </si>
  <si>
    <t>19096</t>
  </si>
  <si>
    <t>19254</t>
  </si>
  <si>
    <t>223</t>
  </si>
  <si>
    <t>10728</t>
  </si>
  <si>
    <t>9216</t>
  </si>
  <si>
    <t>158</t>
  </si>
  <si>
    <t>163</t>
  </si>
  <si>
    <t>4716</t>
  </si>
  <si>
    <t>5700</t>
  </si>
  <si>
    <t>6360</t>
  </si>
  <si>
    <t>5052</t>
  </si>
  <si>
    <t>6244</t>
  </si>
  <si>
    <t>672</t>
  </si>
  <si>
    <t>1521</t>
  </si>
  <si>
    <t>763</t>
  </si>
  <si>
    <t>1142</t>
  </si>
  <si>
    <t>1201</t>
  </si>
  <si>
    <t>3186</t>
  </si>
  <si>
    <t>6828</t>
  </si>
  <si>
    <t>2358</t>
  </si>
  <si>
    <t>2548</t>
  </si>
  <si>
    <t>4632</t>
  </si>
  <si>
    <t>3422</t>
  </si>
  <si>
    <t>2856</t>
  </si>
  <si>
    <t>2628</t>
  </si>
  <si>
    <t>15222</t>
  </si>
  <si>
    <t>1116</t>
  </si>
  <si>
    <t>1452</t>
  </si>
  <si>
    <t>936</t>
  </si>
  <si>
    <t>402</t>
  </si>
  <si>
    <t>2190</t>
  </si>
  <si>
    <t>14652</t>
  </si>
  <si>
    <t>3168</t>
  </si>
  <si>
    <t>2010</t>
  </si>
  <si>
    <t>2823</t>
  </si>
  <si>
    <t>2476</t>
  </si>
  <si>
    <t>570</t>
  </si>
  <si>
    <t>264</t>
  </si>
  <si>
    <t>16236</t>
  </si>
  <si>
    <t>2706</t>
  </si>
  <si>
    <t>2308</t>
  </si>
  <si>
    <t>2982</t>
  </si>
  <si>
    <t>148</t>
  </si>
  <si>
    <t>456</t>
  </si>
  <si>
    <t>14520</t>
  </si>
  <si>
    <t>1704</t>
  </si>
  <si>
    <t>1827</t>
  </si>
  <si>
    <t>1968</t>
  </si>
  <si>
    <t>372</t>
  </si>
  <si>
    <t>472</t>
  </si>
  <si>
    <t>1404</t>
  </si>
  <si>
    <t>462</t>
  </si>
  <si>
    <t>5948</t>
  </si>
  <si>
    <t>4836</t>
  </si>
  <si>
    <t>1380</t>
  </si>
  <si>
    <t>1892</t>
  </si>
  <si>
    <t>582</t>
  </si>
  <si>
    <t>1145</t>
  </si>
  <si>
    <t>4860</t>
  </si>
  <si>
    <t>10734</t>
  </si>
  <si>
    <t>1179</t>
  </si>
  <si>
    <t>82</t>
  </si>
  <si>
    <t>762</t>
  </si>
  <si>
    <t>13308</t>
  </si>
  <si>
    <t>9054</t>
  </si>
  <si>
    <t>1480</t>
  </si>
  <si>
    <t>2574</t>
  </si>
  <si>
    <t>429</t>
  </si>
  <si>
    <t>2250</t>
  </si>
  <si>
    <t>6288</t>
  </si>
  <si>
    <t>5164</t>
  </si>
  <si>
    <t>4896</t>
  </si>
  <si>
    <t>2970</t>
  </si>
  <si>
    <t>920</t>
  </si>
  <si>
    <t>5424</t>
  </si>
  <si>
    <t>3732</t>
  </si>
  <si>
    <t>6580</t>
  </si>
  <si>
    <t>3792</t>
  </si>
  <si>
    <t>5760</t>
  </si>
  <si>
    <t>4152</t>
  </si>
  <si>
    <t>10220</t>
  </si>
  <si>
    <t>3768</t>
  </si>
  <si>
    <t>5622</t>
  </si>
  <si>
    <t>3700</t>
  </si>
  <si>
    <t>392</t>
  </si>
  <si>
    <t>680</t>
  </si>
  <si>
    <t>1245</t>
  </si>
  <si>
    <t>1137</t>
  </si>
  <si>
    <t>3636</t>
  </si>
  <si>
    <t>1736</t>
  </si>
  <si>
    <t>1408</t>
  </si>
  <si>
    <t>2328</t>
  </si>
  <si>
    <t>3648</t>
  </si>
  <si>
    <t>336</t>
  </si>
  <si>
    <t>4752</t>
  </si>
  <si>
    <t>16608</t>
  </si>
  <si>
    <t>1068</t>
  </si>
  <si>
    <t>12942</t>
  </si>
  <si>
    <t>8500</t>
  </si>
  <si>
    <t>8970</t>
  </si>
  <si>
    <t>1851</t>
  </si>
  <si>
    <t>6102</t>
  </si>
  <si>
    <t>2632</t>
  </si>
  <si>
    <t>13464</t>
  </si>
  <si>
    <t>2826</t>
  </si>
  <si>
    <t>1248</t>
  </si>
  <si>
    <t>504</t>
  </si>
  <si>
    <t>1028</t>
  </si>
  <si>
    <t>9024</t>
  </si>
  <si>
    <t>26928</t>
  </si>
  <si>
    <t>6270</t>
  </si>
  <si>
    <t>1608</t>
  </si>
  <si>
    <t>8118</t>
  </si>
  <si>
    <t>1746</t>
  </si>
  <si>
    <t>1012</t>
  </si>
  <si>
    <t>1444</t>
  </si>
  <si>
    <t>908</t>
  </si>
  <si>
    <t>15858</t>
  </si>
  <si>
    <t>2070</t>
  </si>
  <si>
    <t>487</t>
  </si>
  <si>
    <t>4791</t>
  </si>
  <si>
    <t>512</t>
  </si>
  <si>
    <t>8298</t>
  </si>
  <si>
    <t>1356</t>
  </si>
  <si>
    <t>1516</t>
  </si>
  <si>
    <t>6012</t>
  </si>
  <si>
    <t>2240</t>
  </si>
  <si>
    <t>2996</t>
  </si>
  <si>
    <t>7968</t>
  </si>
  <si>
    <t>2644</t>
  </si>
  <si>
    <t>11340</t>
  </si>
  <si>
    <t>7464</t>
  </si>
  <si>
    <t>105</t>
  </si>
  <si>
    <t>121</t>
  </si>
  <si>
    <t>242</t>
  </si>
  <si>
    <t>1290</t>
  </si>
  <si>
    <t>516</t>
  </si>
  <si>
    <t>1044</t>
  </si>
  <si>
    <t>1620</t>
  </si>
  <si>
    <t>228</t>
  </si>
  <si>
    <t>8082</t>
  </si>
  <si>
    <t>16404</t>
  </si>
  <si>
    <t>3816</t>
  </si>
  <si>
    <t>3136</t>
  </si>
  <si>
    <t>588</t>
  </si>
  <si>
    <t>427948</t>
  </si>
  <si>
    <t>498850</t>
  </si>
  <si>
    <t>298134</t>
  </si>
  <si>
    <t>345510</t>
  </si>
  <si>
    <t>90540</t>
  </si>
  <si>
    <t>483396</t>
  </si>
  <si>
    <t>8936</t>
  </si>
  <si>
    <t>138948</t>
  </si>
  <si>
    <t>87090</t>
  </si>
  <si>
    <t>79248</t>
  </si>
  <si>
    <t>58584</t>
  </si>
  <si>
    <t>35874</t>
  </si>
  <si>
    <t>139128</t>
  </si>
  <si>
    <t>356346</t>
  </si>
  <si>
    <t>88134</t>
  </si>
  <si>
    <t>4360</t>
  </si>
  <si>
    <t>59884</t>
  </si>
  <si>
    <t>26256</t>
  </si>
  <si>
    <t>22370</t>
  </si>
  <si>
    <t>18702</t>
  </si>
  <si>
    <t>1926</t>
  </si>
  <si>
    <t>280</t>
  </si>
  <si>
    <t>160</t>
  </si>
  <si>
    <t>43968</t>
  </si>
  <si>
    <t>46593</t>
  </si>
  <si>
    <t>507096</t>
  </si>
  <si>
    <t>47412</t>
  </si>
  <si>
    <t>10422</t>
  </si>
  <si>
    <t>160536</t>
  </si>
  <si>
    <t>149176</t>
  </si>
  <si>
    <t>22986</t>
  </si>
  <si>
    <t>14148</t>
  </si>
  <si>
    <t>7082</t>
  </si>
  <si>
    <t>12804</t>
  </si>
  <si>
    <t>10452</t>
  </si>
  <si>
    <t>26070</t>
  </si>
  <si>
    <t>2917</t>
  </si>
  <si>
    <t>19408</t>
  </si>
  <si>
    <t>43614</t>
  </si>
  <si>
    <t>29100</t>
  </si>
  <si>
    <t>10288</t>
  </si>
  <si>
    <t>2946</t>
  </si>
  <si>
    <t>6786</t>
  </si>
  <si>
    <t>80576</t>
  </si>
  <si>
    <t>103878</t>
  </si>
  <si>
    <t>7320</t>
  </si>
  <si>
    <t>3606</t>
  </si>
  <si>
    <t>6708</t>
  </si>
  <si>
    <t>636</t>
  </si>
  <si>
    <t>192240</t>
  </si>
  <si>
    <t>86622</t>
  </si>
  <si>
    <t>1041</t>
  </si>
  <si>
    <t>42104</t>
  </si>
  <si>
    <t>261</t>
  </si>
  <si>
    <t>8389</t>
  </si>
  <si>
    <t>3966</t>
  </si>
  <si>
    <t>13116</t>
  </si>
  <si>
    <t>1882</t>
  </si>
  <si>
    <t>29856</t>
  </si>
  <si>
    <t>26920</t>
  </si>
  <si>
    <t>3996</t>
  </si>
  <si>
    <t>7386</t>
  </si>
  <si>
    <t>35592</t>
  </si>
  <si>
    <t>11248</t>
  </si>
  <si>
    <t>4764</t>
  </si>
  <si>
    <t>12924</t>
  </si>
  <si>
    <t>16914</t>
  </si>
  <si>
    <t>16338</t>
  </si>
  <si>
    <t>220</t>
  </si>
  <si>
    <t>5472</t>
  </si>
  <si>
    <t>7644</t>
  </si>
  <si>
    <t>22698</t>
  </si>
  <si>
    <t>18144</t>
  </si>
  <si>
    <t>24048</t>
  </si>
  <si>
    <t>11532</t>
  </si>
  <si>
    <t>7560</t>
  </si>
  <si>
    <t>1174</t>
  </si>
  <si>
    <t>48096</t>
  </si>
  <si>
    <t>9012</t>
  </si>
  <si>
    <t>10812</t>
  </si>
  <si>
    <t>17768</t>
  </si>
  <si>
    <t>11337</t>
  </si>
  <si>
    <t>2347</t>
  </si>
  <si>
    <t>23244</t>
  </si>
  <si>
    <t>700</t>
  </si>
  <si>
    <t>2334</t>
  </si>
  <si>
    <t>10938</t>
  </si>
  <si>
    <t>2864</t>
  </si>
  <si>
    <t>3632</t>
  </si>
  <si>
    <t>10632</t>
  </si>
  <si>
    <t>49344</t>
  </si>
  <si>
    <t>71016</t>
  </si>
  <si>
    <t>3652</t>
  </si>
  <si>
    <t>1109</t>
  </si>
  <si>
    <t>2891</t>
  </si>
  <si>
    <t>6410</t>
  </si>
  <si>
    <t>22764</t>
  </si>
  <si>
    <t>26136</t>
  </si>
  <si>
    <t>14940</t>
  </si>
  <si>
    <t>1842</t>
  </si>
  <si>
    <t>4170</t>
  </si>
  <si>
    <t>5437</t>
  </si>
  <si>
    <t>14710</t>
  </si>
  <si>
    <t>9390</t>
  </si>
  <si>
    <t>4212</t>
  </si>
  <si>
    <t>9450</t>
  </si>
  <si>
    <t>15924</t>
  </si>
  <si>
    <t>16660</t>
  </si>
  <si>
    <t>35178</t>
  </si>
  <si>
    <t>13842</t>
  </si>
  <si>
    <t>9660</t>
  </si>
  <si>
    <t>7696</t>
  </si>
  <si>
    <t>2196</t>
  </si>
  <si>
    <t>2648</t>
  </si>
  <si>
    <t>5847</t>
  </si>
  <si>
    <t>5040</t>
  </si>
  <si>
    <t>22968</t>
  </si>
  <si>
    <t>23166</t>
  </si>
  <si>
    <t>19992</t>
  </si>
  <si>
    <t>29256</t>
  </si>
  <si>
    <t>26664</t>
  </si>
  <si>
    <t>11730</t>
  </si>
  <si>
    <t>22224</t>
  </si>
  <si>
    <t>21570</t>
  </si>
  <si>
    <t>1710</t>
  </si>
  <si>
    <t>1134</t>
  </si>
  <si>
    <t>863</t>
  </si>
  <si>
    <t>8934</t>
  </si>
  <si>
    <t>6420</t>
  </si>
  <si>
    <t>6522</t>
  </si>
  <si>
    <t>6216</t>
  </si>
  <si>
    <t>693</t>
  </si>
  <si>
    <t>14898</t>
  </si>
  <si>
    <t>38910</t>
  </si>
  <si>
    <t>50970</t>
  </si>
  <si>
    <t>13950</t>
  </si>
  <si>
    <t>13404</t>
  </si>
  <si>
    <t>18420</t>
  </si>
  <si>
    <t>6104</t>
  </si>
  <si>
    <t>20646</t>
  </si>
  <si>
    <t>13338</t>
  </si>
  <si>
    <t>95076</t>
  </si>
  <si>
    <t>4062</t>
  </si>
  <si>
    <t>16632</t>
  </si>
  <si>
    <t>111616</t>
  </si>
  <si>
    <t>2028</t>
  </si>
  <si>
    <t>132411</t>
  </si>
  <si>
    <t>35472</t>
  </si>
  <si>
    <t>1264</t>
  </si>
  <si>
    <t>79956</t>
  </si>
  <si>
    <t>119648</t>
  </si>
  <si>
    <t>30060</t>
  </si>
  <si>
    <t>12064</t>
  </si>
  <si>
    <t>3681</t>
  </si>
  <si>
    <t>72864</t>
  </si>
  <si>
    <t>35052</t>
  </si>
  <si>
    <t>30216</t>
  </si>
  <si>
    <t>260</t>
  </si>
  <si>
    <t>48612</t>
  </si>
  <si>
    <t>10116</t>
  </si>
  <si>
    <t>26028</t>
  </si>
  <si>
    <t>57258</t>
  </si>
  <si>
    <t>18054</t>
  </si>
  <si>
    <t>17766</t>
  </si>
  <si>
    <t>16296</t>
  </si>
  <si>
    <t>4296</t>
  </si>
  <si>
    <t>898</t>
  </si>
  <si>
    <t>20034</t>
  </si>
  <si>
    <t>772</t>
  </si>
  <si>
    <t>386</t>
  </si>
  <si>
    <t>24846</t>
  </si>
  <si>
    <t>438</t>
  </si>
  <si>
    <t>25176</t>
  </si>
  <si>
    <t>12732</t>
  </si>
  <si>
    <t>835</t>
  </si>
  <si>
    <t>10866</t>
  </si>
  <si>
    <t>12450</t>
  </si>
  <si>
    <t>17340</t>
  </si>
  <si>
    <t>3162</t>
  </si>
  <si>
    <t>5158</t>
  </si>
  <si>
    <t>1875</t>
  </si>
  <si>
    <t>2997</t>
  </si>
  <si>
    <t>1374</t>
  </si>
  <si>
    <t>1432</t>
  </si>
  <si>
    <t>30786</t>
  </si>
  <si>
    <t>2264</t>
  </si>
  <si>
    <t>15570</t>
  </si>
  <si>
    <t>15558</t>
  </si>
  <si>
    <t>9060</t>
  </si>
  <si>
    <t>4820</t>
  </si>
  <si>
    <t>11940</t>
  </si>
  <si>
    <t>9296</t>
  </si>
  <si>
    <t>5718</t>
  </si>
  <si>
    <t>441</t>
  </si>
  <si>
    <t>14124</t>
  </si>
  <si>
    <t>35428</t>
  </si>
  <si>
    <t>59682</t>
  </si>
  <si>
    <t>11862</t>
  </si>
  <si>
    <t>4284</t>
  </si>
  <si>
    <t>15876</t>
  </si>
  <si>
    <t>608</t>
  </si>
  <si>
    <t>5261</t>
  </si>
  <si>
    <t>Total produit en uv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</si>
</sst>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"/>
    <numFmt numFmtId="165" formatCode="_-* #,##0.000\ [$€-40C]_-;\-* #,##0.000\ [$€-40C]_-;_-* &quot;-&quot;??\ [$€-40C]_-;_-@_-"/>
    <numFmt numFmtId="167" formatCode="#,##0.00\ &quot;€&quot;"/>
    <numFmt numFmtId="174" formatCode="&quot; &quot;#,##0.00&quot; &quot;[$€-40C]&quot; &quot;;&quot;-&quot;#,##0.00&quot; &quot;[$€-40C]&quot; &quot;;&quot; -&quot;00&quot; &quot;[$€-40C]&quot; &quot;;&quot; &quot;@&quot; &quot;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">
    <xf numFmtId="165" fontId="0" fillId="0" borderId="0"/>
    <xf numFmtId="165" fontId="1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/>
    <xf numFmtId="17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8" fillId="0" borderId="0" applyNumberFormat="0" applyBorder="0" applyProtection="0"/>
    <xf numFmtId="0" fontId="7" fillId="0" borderId="0" applyNumberFormat="0" applyFont="0" applyBorder="0" applyProtection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70">
    <xf numFmtId="165" fontId="0" fillId="0" borderId="0" xfId="0"/>
    <xf numFmtId="165" fontId="0" fillId="0" borderId="3" xfId="0" applyBorder="1" applyAlignment="1">
      <alignment horizontal="center" vertical="center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165" fontId="5" fillId="0" borderId="0" xfId="0" applyFont="1" applyAlignment="1">
      <alignment horizontal="center" vertical="center"/>
    </xf>
    <xf numFmtId="165" fontId="5" fillId="5" borderId="2" xfId="0" applyFont="1" applyFill="1" applyBorder="1" applyAlignment="1">
      <alignment horizontal="center" vertical="center" wrapText="1"/>
    </xf>
    <xf numFmtId="165" fontId="5" fillId="4" borderId="2" xfId="0" applyFont="1" applyFill="1" applyBorder="1" applyAlignment="1">
      <alignment horizontal="center" vertical="center" wrapText="1"/>
    </xf>
    <xf numFmtId="165" fontId="5" fillId="4" borderId="8" xfId="0" applyFont="1" applyFill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/>
    </xf>
    <xf numFmtId="165" fontId="5" fillId="0" borderId="3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0" fontId="5" fillId="0" borderId="3" xfId="0" applyNumberFormat="1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5" fillId="0" borderId="3" xfId="2" applyNumberFormat="1" applyFont="1" applyBorder="1" applyAlignment="1">
      <alignment horizontal="center" vertical="center"/>
    </xf>
    <xf numFmtId="165" fontId="0" fillId="0" borderId="0" xfId="0"/>
    <xf numFmtId="165" fontId="0" fillId="0" borderId="3" xfId="0" applyFont="1" applyBorder="1" applyAlignment="1">
      <alignment vertical="center"/>
    </xf>
    <xf numFmtId="165" fontId="2" fillId="0" borderId="3" xfId="0" applyFont="1" applyBorder="1" applyAlignment="1">
      <alignment horizontal="center" vertical="center"/>
    </xf>
    <xf numFmtId="165" fontId="0" fillId="0" borderId="3" xfId="0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center" vertical="center"/>
    </xf>
    <xf numFmtId="165" fontId="0" fillId="5" borderId="2" xfId="0" applyFont="1" applyFill="1" applyBorder="1" applyAlignment="1">
      <alignment horizontal="center" vertical="center" wrapText="1"/>
    </xf>
    <xf numFmtId="165" fontId="6" fillId="0" borderId="3" xfId="0" applyFont="1" applyBorder="1" applyAlignment="1">
      <alignment horizontal="center" vertical="center"/>
    </xf>
    <xf numFmtId="167" fontId="0" fillId="0" borderId="0" xfId="0" applyNumberFormat="1"/>
    <xf numFmtId="0" fontId="0" fillId="0" borderId="3" xfId="0" applyNumberFormat="1" applyBorder="1" applyAlignment="1">
      <alignment horizontal="center" vertical="center"/>
    </xf>
    <xf numFmtId="0" fontId="0" fillId="0" borderId="3" xfId="2" applyNumberFormat="1" applyFont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65" fontId="5" fillId="0" borderId="12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0" xfId="0" applyNumberFormat="1" applyAlignment="1">
      <alignment wrapText="1"/>
    </xf>
    <xf numFmtId="165" fontId="9" fillId="7" borderId="3" xfId="0" applyFont="1" applyFill="1" applyBorder="1" applyAlignment="1">
      <alignment horizontal="center" vertical="center"/>
    </xf>
    <xf numFmtId="0" fontId="9" fillId="7" borderId="3" xfId="0" applyNumberFormat="1" applyFont="1" applyFill="1" applyBorder="1" applyAlignment="1">
      <alignment horizontal="center" vertical="center"/>
    </xf>
    <xf numFmtId="167" fontId="9" fillId="7" borderId="3" xfId="0" applyNumberFormat="1" applyFont="1" applyFill="1" applyBorder="1" applyAlignment="1">
      <alignment horizontal="center" vertical="center"/>
    </xf>
    <xf numFmtId="164" fontId="9" fillId="7" borderId="3" xfId="0" applyNumberFormat="1" applyFont="1" applyFill="1" applyBorder="1" applyAlignment="1">
      <alignment horizontal="center" vertical="center"/>
    </xf>
    <xf numFmtId="10" fontId="9" fillId="7" borderId="3" xfId="0" applyNumberFormat="1" applyFont="1" applyFill="1" applyBorder="1" applyAlignment="1">
      <alignment horizontal="center" vertical="center"/>
    </xf>
    <xf numFmtId="0" fontId="0" fillId="0" borderId="3" xfId="0" applyNumberFormat="1" applyFill="1" applyBorder="1"/>
    <xf numFmtId="0" fontId="0" fillId="0" borderId="3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0" fontId="0" fillId="0" borderId="3" xfId="0" applyNumberFormat="1" applyFill="1" applyBorder="1" applyAlignment="1">
      <alignment horizontal="center" vertical="center"/>
    </xf>
    <xf numFmtId="165" fontId="0" fillId="0" borderId="3" xfId="0" applyFill="1" applyBorder="1" applyAlignment="1">
      <alignment horizontal="center" vertical="center"/>
    </xf>
    <xf numFmtId="165" fontId="0" fillId="0" borderId="3" xfId="0" applyFill="1" applyBorder="1"/>
    <xf numFmtId="0" fontId="9" fillId="6" borderId="3" xfId="0" applyNumberFormat="1" applyFont="1" applyFill="1" applyBorder="1" applyAlignment="1">
      <alignment horizontal="center" vertical="center"/>
    </xf>
    <xf numFmtId="164" fontId="9" fillId="6" borderId="3" xfId="0" applyNumberFormat="1" applyFont="1" applyFill="1" applyBorder="1" applyAlignment="1">
      <alignment horizontal="center" vertical="center"/>
    </xf>
    <xf numFmtId="10" fontId="9" fillId="6" borderId="3" xfId="0" applyNumberFormat="1" applyFont="1" applyFill="1" applyBorder="1" applyAlignment="1">
      <alignment horizontal="center" vertical="center"/>
    </xf>
    <xf numFmtId="165" fontId="9" fillId="6" borderId="3" xfId="0" applyFont="1" applyFill="1" applyBorder="1" applyAlignment="1">
      <alignment horizontal="center" vertical="center"/>
    </xf>
    <xf numFmtId="165" fontId="9" fillId="6" borderId="3" xfId="0" applyFont="1" applyFill="1" applyBorder="1"/>
    <xf numFmtId="14" fontId="9" fillId="6" borderId="3" xfId="0" applyNumberFormat="1" applyFont="1" applyFill="1" applyBorder="1" applyAlignment="1">
      <alignment horizontal="center" vertical="center"/>
    </xf>
    <xf numFmtId="1" fontId="9" fillId="6" borderId="3" xfId="0" applyNumberFormat="1" applyFont="1" applyFill="1" applyBorder="1" applyAlignment="1">
      <alignment horizontal="center" vertical="center"/>
    </xf>
    <xf numFmtId="167" fontId="9" fillId="6" borderId="3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14" fontId="3" fillId="2" borderId="4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65" fontId="3" fillId="2" borderId="5" xfId="0" applyFont="1" applyFill="1" applyBorder="1" applyAlignment="1">
      <alignment horizontal="center" vertical="center"/>
    </xf>
    <xf numFmtId="165" fontId="3" fillId="2" borderId="7" xfId="0" applyFont="1" applyFill="1" applyBorder="1" applyAlignment="1">
      <alignment horizontal="center" vertical="center"/>
    </xf>
    <xf numFmtId="165" fontId="3" fillId="2" borderId="6" xfId="0" applyFont="1" applyFill="1" applyBorder="1" applyAlignment="1">
      <alignment horizontal="center" vertical="center" wrapText="1"/>
    </xf>
    <xf numFmtId="165" fontId="3" fillId="2" borderId="2" xfId="0" applyFont="1" applyFill="1" applyBorder="1" applyAlignment="1">
      <alignment horizontal="center" vertical="center" wrapText="1"/>
    </xf>
    <xf numFmtId="165" fontId="3" fillId="2" borderId="5" xfId="0" applyFont="1" applyFill="1" applyBorder="1" applyAlignment="1">
      <alignment horizontal="center" vertical="center" wrapText="1"/>
    </xf>
    <xf numFmtId="165" fontId="3" fillId="2" borderId="7" xfId="0" applyFont="1" applyFill="1" applyBorder="1" applyAlignment="1">
      <alignment horizontal="center" vertical="center" wrapText="1"/>
    </xf>
    <xf numFmtId="165" fontId="4" fillId="3" borderId="6" xfId="0" applyFont="1" applyFill="1" applyBorder="1" applyAlignment="1">
      <alignment horizontal="center" vertical="center" wrapText="1"/>
    </xf>
    <xf numFmtId="165" fontId="4" fillId="3" borderId="2" xfId="0" applyFont="1" applyFill="1" applyBorder="1" applyAlignment="1">
      <alignment horizontal="center" vertical="center" wrapText="1"/>
    </xf>
    <xf numFmtId="165" fontId="4" fillId="3" borderId="1" xfId="0" applyFont="1" applyFill="1" applyBorder="1" applyAlignment="1">
      <alignment horizontal="center" vertical="center"/>
    </xf>
    <xf numFmtId="165" fontId="4" fillId="3" borderId="7" xfId="0" applyFont="1" applyFill="1" applyBorder="1" applyAlignment="1">
      <alignment horizontal="center" vertical="center"/>
    </xf>
    <xf numFmtId="165" fontId="4" fillId="3" borderId="9" xfId="0" applyFont="1" applyFill="1" applyBorder="1" applyAlignment="1">
      <alignment horizontal="center" vertical="center"/>
    </xf>
    <xf numFmtId="165" fontId="4" fillId="3" borderId="10" xfId="0" applyFont="1" applyFill="1" applyBorder="1" applyAlignment="1">
      <alignment horizontal="center" vertical="center"/>
    </xf>
    <xf numFmtId="165" fontId="4" fillId="3" borderId="0" xfId="0" applyFont="1" applyFill="1" applyBorder="1" applyAlignment="1">
      <alignment horizontal="center" vertical="center"/>
    </xf>
    <xf numFmtId="165" fontId="4" fillId="3" borderId="11" xfId="0" applyFont="1" applyFill="1" applyBorder="1" applyAlignment="1">
      <alignment horizontal="center" vertical="center"/>
    </xf>
  </cellXfs>
  <cellStyles count="28">
    <cellStyle name="Milliers 2" xfId="27" xr:uid="{00000000-0005-0000-0000-000001000000}"/>
    <cellStyle name="Monétaire" xfId="2" builtinId="4"/>
    <cellStyle name="Monétaire 2" xfId="3" xr:uid="{00000000-0005-0000-0000-000003000000}"/>
    <cellStyle name="Monétaire 2 2" xfId="6" xr:uid="{00000000-0005-0000-0000-000004000000}"/>
    <cellStyle name="Monétaire 2 2 2" xfId="22" xr:uid="{00000000-0005-0000-0000-000005000000}"/>
    <cellStyle name="Monétaire 2 3" xfId="9" xr:uid="{00000000-0005-0000-0000-000006000000}"/>
    <cellStyle name="Monétaire 2 3 2" xfId="25" xr:uid="{00000000-0005-0000-0000-000007000000}"/>
    <cellStyle name="Monétaire 2 4" xfId="19" xr:uid="{00000000-0005-0000-0000-000008000000}"/>
    <cellStyle name="Monétaire 3" xfId="4" xr:uid="{00000000-0005-0000-0000-000009000000}"/>
    <cellStyle name="Monétaire 3 2" xfId="7" xr:uid="{00000000-0005-0000-0000-00000A000000}"/>
    <cellStyle name="Monétaire 3 2 2" xfId="23" xr:uid="{00000000-0005-0000-0000-00000B000000}"/>
    <cellStyle name="Monétaire 3 3" xfId="10" xr:uid="{00000000-0005-0000-0000-00000C000000}"/>
    <cellStyle name="Monétaire 3 3 2" xfId="26" xr:uid="{00000000-0005-0000-0000-00000D000000}"/>
    <cellStyle name="Monétaire 3 4" xfId="20" xr:uid="{00000000-0005-0000-0000-00000E000000}"/>
    <cellStyle name="Monétaire 4" xfId="5" xr:uid="{00000000-0005-0000-0000-00000F000000}"/>
    <cellStyle name="Monétaire 4 2" xfId="21" xr:uid="{00000000-0005-0000-0000-000010000000}"/>
    <cellStyle name="Monétaire 5" xfId="8" xr:uid="{00000000-0005-0000-0000-000011000000}"/>
    <cellStyle name="Monétaire 5 2" xfId="24" xr:uid="{00000000-0005-0000-0000-000012000000}"/>
    <cellStyle name="Monétaire 6" xfId="12" xr:uid="{00000000-0005-0000-0000-000013000000}"/>
    <cellStyle name="Monétaire 7" xfId="18" xr:uid="{00000000-0005-0000-0000-000014000000}"/>
    <cellStyle name="Normal" xfId="0" builtinId="0"/>
    <cellStyle name="Normal 18 2" xfId="14" xr:uid="{00000000-0005-0000-0000-000016000000}"/>
    <cellStyle name="Normal 2" xfId="1" xr:uid="{00000000-0005-0000-0000-000017000000}"/>
    <cellStyle name="Normal 2 2" xfId="17" xr:uid="{00000000-0005-0000-0000-000018000000}"/>
    <cellStyle name="Normal 2 3" xfId="16" xr:uid="{00000000-0005-0000-0000-000019000000}"/>
    <cellStyle name="Normal 26" xfId="15" xr:uid="{00000000-0005-0000-0000-00001A000000}"/>
    <cellStyle name="Normal 3" xfId="11" xr:uid="{00000000-0005-0000-0000-00001B000000}"/>
    <cellStyle name="Pourcentage 2" xfId="13" xr:uid="{00000000-0005-0000-0000-00001D000000}"/>
  </cellStyles>
  <dxfs count="26"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7" formatCode="#,##0.00\ &quot;€&quot;"/>
    </dxf>
    <dxf>
      <numFmt numFmtId="167" formatCode="#,##0.00\ &quot;€&quot;"/>
    </dxf>
    <dxf>
      <numFmt numFmtId="2" formatCode="0.00"/>
    </dxf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518542-D695-4EE3-9935-CA5A7A1F6625}" name="PR_2018" displayName="PR_2018" ref="A1:I1603" totalsRowShown="0">
  <autoFilter ref="A1:I1603" xr:uid="{61923580-CBCD-4140-906F-9C5D0C102FE6}"/>
  <tableColumns count="9">
    <tableColumn id="30" xr3:uid="{58AB7100-8404-49B0-8FCE-72175900FC9B}" name="date de production " dataDxfId="25"/>
    <tableColumn id="3" xr3:uid="{5FF82DEF-16F3-40B0-8D13-02F8D702DF3C}" name="Code VIF" dataDxfId="24"/>
    <tableColumn id="5" xr3:uid="{D4534BB2-7217-4508-97D6-FB20E406E766}" name="total produit en uv " dataDxfId="23"/>
    <tableColumn id="6" xr3:uid="{3EECAEA0-8A1F-434C-A58E-4371357031A8}" name="CR théo" dataDxfId="22"/>
    <tableColumn id="7" xr3:uid="{725D4F68-D987-440B-BEA9-9319B9164B50}" name="CR réel" dataDxfId="21"/>
    <tableColumn id="11" xr3:uid="{E910D1A8-9702-492D-BD59-EC4EF6863E9B}" name="PMV"/>
    <tableColumn id="12" xr3:uid="{5E67983B-50DB-4549-9A6F-68FEEF0E939F}" name="MB théo"/>
    <tableColumn id="13" xr3:uid="{4585F349-833D-4BFC-BFCC-ACE0D68E30BD}" name="MB Réel"/>
    <tableColumn id="14" xr3:uid="{EAC56B31-749E-45DE-B7E8-FD27F05FD5D0}" name="MB écart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753889F-1854-4076-ABDC-AAA6F222F8FA}" name="Final" displayName="Final" ref="A1:J2115" totalsRowShown="0" headerRowDxfId="20" dataDxfId="19">
  <autoFilter ref="A1:J2115" xr:uid="{9BA87910-B396-4697-BE60-A78A303D10B0}"/>
  <tableColumns count="10">
    <tableColumn id="17" xr3:uid="{05DB5EFD-D696-4AB6-8A45-1CF0C051ED70}" name="Date " dataDxfId="18"/>
    <tableColumn id="3" xr3:uid="{DE578A63-8111-4678-A485-52F3537FE8DB}" name="Code VIF" dataDxfId="17"/>
    <tableColumn id="19" xr3:uid="{B3BEDF0F-1CF3-46FF-A3AE-DF6F17436B37}" name="Total produit en uv" dataDxfId="16"/>
    <tableColumn id="6" xr3:uid="{48F80DDD-BB54-4E15-BE63-EAF237FDD84D}" name="CR théo" dataDxfId="15"/>
    <tableColumn id="7" xr3:uid="{FAC9A9DC-95FF-40BD-AEBA-BC433B2DE2D6}" name="CR réel" dataDxfId="14"/>
    <tableColumn id="8" xr3:uid="{F40F7D7D-3837-4845-AC49-F1CC1826961C}" name="PMV" dataDxfId="13"/>
    <tableColumn id="9" xr3:uid="{E25D0F18-A8CC-42D9-A454-B77E5D978FAB}" name="MB théo" dataDxfId="12"/>
    <tableColumn id="10" xr3:uid="{6695F6BB-6D99-417D-BC94-33A1998A2AF0}" name="MB Réel" dataDxfId="11"/>
    <tableColumn id="11" xr3:uid="{62FF0DC2-3813-4BBA-95F0-F789715C0B2E}" name="MB écart" dataDxfId="10"/>
    <tableColumn id="12" xr3:uid="{462165D8-116E-49CA-8A3E-01E8DC7AE304}" name="Etat" dataDxfId="9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 tint="-0.249977111117893"/>
    <pageSetUpPr fitToPage="1"/>
  </sheetPr>
  <dimension ref="A1:L1604"/>
  <sheetViews>
    <sheetView tabSelected="1" zoomScaleNormal="100" workbookViewId="0">
      <pane xSplit="2" ySplit="3" topLeftCell="C67" activePane="bottomRight" state="frozen"/>
      <selection activeCell="B7" sqref="B7"/>
      <selection pane="topRight" activeCell="B7" sqref="B7"/>
      <selection pane="bottomLeft" activeCell="B7" sqref="B7"/>
      <selection pane="bottomRight" activeCell="M4" sqref="M4"/>
    </sheetView>
  </sheetViews>
  <sheetFormatPr baseColWidth="10" defaultColWidth="11.42578125" defaultRowHeight="24" customHeight="1" x14ac:dyDescent="0.25"/>
  <cols>
    <col min="1" max="1" width="13.5703125" style="5" customWidth="1"/>
    <col min="2" max="2" width="13.85546875" style="5" customWidth="1"/>
    <col min="3" max="3" width="20.7109375" style="29" customWidth="1"/>
    <col min="4" max="4" width="11.42578125" style="5" customWidth="1"/>
    <col min="5" max="5" width="10.7109375" style="5" customWidth="1"/>
    <col min="6" max="6" width="4" style="5" hidden="1" customWidth="1"/>
    <col min="7" max="7" width="5.42578125" style="5" hidden="1" customWidth="1"/>
    <col min="8" max="8" width="5" style="5" hidden="1" customWidth="1"/>
    <col min="9" max="9" width="13.28515625" style="5" customWidth="1"/>
    <col min="10" max="11" width="9.28515625" style="5" customWidth="1"/>
    <col min="12" max="12" width="12.5703125" style="5" customWidth="1"/>
    <col min="13" max="13" width="19.140625" style="5" customWidth="1"/>
    <col min="14" max="16384" width="11.42578125" style="5"/>
  </cols>
  <sheetData>
    <row r="1" spans="1:12" ht="18" customHeight="1" thickBot="1" x14ac:dyDescent="0.3">
      <c r="A1" s="54" t="s">
        <v>428</v>
      </c>
      <c r="B1" s="56" t="s">
        <v>0</v>
      </c>
      <c r="C1" s="52" t="s">
        <v>4</v>
      </c>
      <c r="D1" s="58" t="s">
        <v>5</v>
      </c>
      <c r="E1" s="58"/>
      <c r="F1" s="60" t="s">
        <v>8</v>
      </c>
      <c r="G1" s="58" t="s">
        <v>6</v>
      </c>
      <c r="H1" s="60" t="s">
        <v>7</v>
      </c>
      <c r="I1" s="62" t="s">
        <v>470</v>
      </c>
      <c r="J1" s="64" t="s">
        <v>1</v>
      </c>
      <c r="K1" s="65"/>
      <c r="L1" s="66"/>
    </row>
    <row r="2" spans="1:12" ht="15.75" customHeight="1" thickBot="1" x14ac:dyDescent="0.3">
      <c r="A2" s="54"/>
      <c r="B2" s="56"/>
      <c r="C2" s="52"/>
      <c r="D2" s="58"/>
      <c r="E2" s="58"/>
      <c r="F2" s="60"/>
      <c r="G2" s="58"/>
      <c r="H2" s="60"/>
      <c r="I2" s="62"/>
      <c r="J2" s="67"/>
      <c r="K2" s="68"/>
      <c r="L2" s="69"/>
    </row>
    <row r="3" spans="1:12" ht="14.25" customHeight="1" x14ac:dyDescent="0.25">
      <c r="A3" s="55"/>
      <c r="B3" s="57"/>
      <c r="C3" s="53"/>
      <c r="D3" s="24" t="s">
        <v>485</v>
      </c>
      <c r="E3" s="7" t="s">
        <v>3</v>
      </c>
      <c r="F3" s="61"/>
      <c r="G3" s="59"/>
      <c r="H3" s="61"/>
      <c r="I3" s="63"/>
      <c r="J3" s="6" t="s">
        <v>2</v>
      </c>
      <c r="K3" s="7" t="s">
        <v>3</v>
      </c>
      <c r="L3" s="8" t="s">
        <v>429</v>
      </c>
    </row>
    <row r="4" spans="1:12" ht="24" customHeight="1" x14ac:dyDescent="0.25">
      <c r="A4" s="9">
        <v>43103</v>
      </c>
      <c r="B4" s="10" t="s">
        <v>230</v>
      </c>
      <c r="C4" s="27">
        <v>5898</v>
      </c>
      <c r="D4" s="11" t="e">
        <f>+VLOOKUP(B4,#REF!,6,FALSE)</f>
        <v>#REF!</v>
      </c>
      <c r="E4" s="10">
        <f>3.2974/6</f>
        <v>0.54956666666666665</v>
      </c>
      <c r="F4" s="10"/>
      <c r="G4" s="10"/>
      <c r="H4" s="10"/>
      <c r="I4" s="11" t="e">
        <f>+VLOOKUP(B4,#REF!,7,FALSE)</f>
        <v>#REF!</v>
      </c>
      <c r="J4" s="12" t="str">
        <f t="shared" ref="J4:J67" si="0">IFERROR((I4-(D4+F4))/I4,"")</f>
        <v/>
      </c>
      <c r="K4" s="12" t="str">
        <f t="shared" ref="K4:K67" si="1">IF(E4="","",IFERROR((I4-(E4+G4+H4))/I4,""))</f>
        <v/>
      </c>
      <c r="L4" s="12" t="e">
        <f t="shared" ref="L4:L67" si="2">J4-K4</f>
        <v>#VALUE!</v>
      </c>
    </row>
    <row r="5" spans="1:12" ht="24" customHeight="1" x14ac:dyDescent="0.25">
      <c r="A5" s="9">
        <v>43103</v>
      </c>
      <c r="B5" s="10" t="s">
        <v>440</v>
      </c>
      <c r="C5" s="17">
        <v>3500</v>
      </c>
      <c r="D5" s="11" t="e">
        <f>+VLOOKUP(B5,#REF!,6,FALSE)</f>
        <v>#REF!</v>
      </c>
      <c r="E5" s="10">
        <v>0.61970000000000003</v>
      </c>
      <c r="F5" s="10"/>
      <c r="G5" s="10"/>
      <c r="H5" s="10"/>
      <c r="I5" s="11" t="e">
        <f>+VLOOKUP(B5,#REF!,7,FALSE)</f>
        <v>#REF!</v>
      </c>
      <c r="J5" s="12" t="str">
        <f t="shared" si="0"/>
        <v/>
      </c>
      <c r="K5" s="12" t="str">
        <f t="shared" si="1"/>
        <v/>
      </c>
      <c r="L5" s="12" t="e">
        <f t="shared" si="2"/>
        <v>#VALUE!</v>
      </c>
    </row>
    <row r="6" spans="1:12" ht="24" customHeight="1" x14ac:dyDescent="0.25">
      <c r="A6" s="9">
        <v>43105</v>
      </c>
      <c r="B6" s="21" t="s">
        <v>214</v>
      </c>
      <c r="C6" s="17">
        <v>5640</v>
      </c>
      <c r="D6" s="11" t="e">
        <f>+VLOOKUP(B6,#REF!,6,FALSE)/12</f>
        <v>#REF!</v>
      </c>
      <c r="E6" s="10">
        <f>9.2263/12</f>
        <v>0.76885833333333331</v>
      </c>
      <c r="F6" s="10"/>
      <c r="G6" s="10"/>
      <c r="H6" s="10"/>
      <c r="I6" s="11" t="e">
        <f>+VLOOKUP(B6,#REF!,7,FALSE)</f>
        <v>#REF!</v>
      </c>
      <c r="J6" s="12" t="str">
        <f t="shared" si="0"/>
        <v/>
      </c>
      <c r="K6" s="12" t="str">
        <f t="shared" si="1"/>
        <v/>
      </c>
      <c r="L6" s="12" t="e">
        <f t="shared" si="2"/>
        <v>#VALUE!</v>
      </c>
    </row>
    <row r="7" spans="1:12" ht="24" customHeight="1" x14ac:dyDescent="0.25">
      <c r="A7" s="9">
        <v>43105</v>
      </c>
      <c r="B7" s="10" t="s">
        <v>440</v>
      </c>
      <c r="C7" s="17">
        <v>11380</v>
      </c>
      <c r="D7" s="11" t="e">
        <f>+VLOOKUP(B7,#REF!,6,FALSE)</f>
        <v>#REF!</v>
      </c>
      <c r="E7" s="10">
        <v>0.58809999999999996</v>
      </c>
      <c r="F7" s="10"/>
      <c r="G7" s="10"/>
      <c r="H7" s="10"/>
      <c r="I7" s="11" t="e">
        <f>+VLOOKUP(B7,#REF!,7,FALSE)</f>
        <v>#REF!</v>
      </c>
      <c r="J7" s="12" t="str">
        <f t="shared" si="0"/>
        <v/>
      </c>
      <c r="K7" s="12" t="str">
        <f t="shared" si="1"/>
        <v/>
      </c>
      <c r="L7" s="12" t="e">
        <f t="shared" si="2"/>
        <v>#VALUE!</v>
      </c>
    </row>
    <row r="8" spans="1:12" ht="24" customHeight="1" x14ac:dyDescent="0.25">
      <c r="A8" s="9">
        <v>43105</v>
      </c>
      <c r="B8" s="10" t="s">
        <v>441</v>
      </c>
      <c r="C8" s="17">
        <v>8316</v>
      </c>
      <c r="D8" s="11" t="e">
        <f>+VLOOKUP(B8,#REF!,6,FALSE)</f>
        <v>#REF!</v>
      </c>
      <c r="E8" s="21">
        <v>0.61439999999999995</v>
      </c>
      <c r="F8" s="10"/>
      <c r="G8" s="10"/>
      <c r="H8" s="10"/>
      <c r="I8" s="11" t="e">
        <f>+VLOOKUP(B8,#REF!,7,FALSE)</f>
        <v>#REF!</v>
      </c>
      <c r="J8" s="12" t="str">
        <f t="shared" si="0"/>
        <v/>
      </c>
      <c r="K8" s="12" t="str">
        <f t="shared" si="1"/>
        <v/>
      </c>
      <c r="L8" s="12" t="e">
        <f t="shared" si="2"/>
        <v>#VALUE!</v>
      </c>
    </row>
    <row r="9" spans="1:12" ht="24" customHeight="1" x14ac:dyDescent="0.25">
      <c r="A9" s="9">
        <v>43108</v>
      </c>
      <c r="B9" s="10" t="s">
        <v>27</v>
      </c>
      <c r="C9" s="17">
        <v>1176</v>
      </c>
      <c r="D9" s="11" t="e">
        <f>+VLOOKUP(B9,#REF!,6,FALSE)</f>
        <v>#REF!</v>
      </c>
      <c r="E9" s="10">
        <f>13.9577/6</f>
        <v>2.3262833333333335</v>
      </c>
      <c r="F9" s="10"/>
      <c r="G9" s="10"/>
      <c r="H9" s="10"/>
      <c r="I9" s="11" t="e">
        <f>+VLOOKUP(B9,#REF!,7,FALSE)</f>
        <v>#REF!</v>
      </c>
      <c r="J9" s="12" t="str">
        <f t="shared" si="0"/>
        <v/>
      </c>
      <c r="K9" s="12" t="str">
        <f t="shared" si="1"/>
        <v/>
      </c>
      <c r="L9" s="12" t="e">
        <f t="shared" si="2"/>
        <v>#VALUE!</v>
      </c>
    </row>
    <row r="10" spans="1:12" ht="24" customHeight="1" x14ac:dyDescent="0.25">
      <c r="A10" s="9">
        <v>43108</v>
      </c>
      <c r="B10" s="10" t="s">
        <v>90</v>
      </c>
      <c r="C10" s="17">
        <v>6504</v>
      </c>
      <c r="D10" s="11" t="e">
        <f>+VLOOKUP(B10,#REF!,6,FALSE)</f>
        <v>#REF!</v>
      </c>
      <c r="E10" s="25">
        <f>7.7754/12</f>
        <v>0.64795000000000003</v>
      </c>
      <c r="F10" s="10"/>
      <c r="G10" s="10"/>
      <c r="H10" s="10"/>
      <c r="I10" s="11" t="e">
        <f>+VLOOKUP(B10,#REF!,7,FALSE)</f>
        <v>#REF!</v>
      </c>
      <c r="J10" s="12" t="str">
        <f t="shared" si="0"/>
        <v/>
      </c>
      <c r="K10" s="12" t="str">
        <f t="shared" si="1"/>
        <v/>
      </c>
      <c r="L10" s="12" t="e">
        <f t="shared" si="2"/>
        <v>#VALUE!</v>
      </c>
    </row>
    <row r="11" spans="1:12" ht="24" customHeight="1" x14ac:dyDescent="0.25">
      <c r="A11" s="9">
        <v>43108</v>
      </c>
      <c r="B11" s="10" t="s">
        <v>101</v>
      </c>
      <c r="C11" s="17">
        <v>37584</v>
      </c>
      <c r="D11" s="13" t="e">
        <f>+VLOOKUP(B11,#REF!,6,FALSE)</f>
        <v>#REF!</v>
      </c>
      <c r="E11" s="25">
        <v>0.69720000000000004</v>
      </c>
      <c r="F11" s="10"/>
      <c r="G11" s="10"/>
      <c r="H11" s="10"/>
      <c r="I11" s="11" t="e">
        <f>+VLOOKUP(B11,#REF!,7,FALSE)</f>
        <v>#REF!</v>
      </c>
      <c r="J11" s="12" t="str">
        <f t="shared" si="0"/>
        <v/>
      </c>
      <c r="K11" s="12" t="str">
        <f t="shared" si="1"/>
        <v/>
      </c>
      <c r="L11" s="12" t="e">
        <f t="shared" si="2"/>
        <v>#VALUE!</v>
      </c>
    </row>
    <row r="12" spans="1:12" ht="24" customHeight="1" x14ac:dyDescent="0.25">
      <c r="A12" s="9">
        <v>43108</v>
      </c>
      <c r="B12" s="10" t="s">
        <v>172</v>
      </c>
      <c r="C12" s="17">
        <v>2024</v>
      </c>
      <c r="D12" s="11" t="e">
        <f>+VLOOKUP(B12,#REF!,6,FALSE)/4</f>
        <v>#REF!</v>
      </c>
      <c r="E12" s="10">
        <v>2.9331999999999998</v>
      </c>
      <c r="F12" s="10"/>
      <c r="G12" s="10"/>
      <c r="H12" s="10"/>
      <c r="I12" s="11" t="e">
        <f>+VLOOKUP(B12,#REF!,7,FALSE)</f>
        <v>#REF!</v>
      </c>
      <c r="J12" s="12" t="str">
        <f t="shared" si="0"/>
        <v/>
      </c>
      <c r="K12" s="12" t="str">
        <f t="shared" si="1"/>
        <v/>
      </c>
      <c r="L12" s="12" t="e">
        <f t="shared" si="2"/>
        <v>#VALUE!</v>
      </c>
    </row>
    <row r="13" spans="1:12" ht="24" customHeight="1" x14ac:dyDescent="0.25">
      <c r="A13" s="9">
        <v>43108</v>
      </c>
      <c r="B13" s="10" t="s">
        <v>230</v>
      </c>
      <c r="C13" s="17">
        <v>18936</v>
      </c>
      <c r="D13" s="11" t="e">
        <f>+VLOOKUP(B13,#REF!,6,FALSE)</f>
        <v>#REF!</v>
      </c>
      <c r="E13" s="10">
        <f>3.6124/6</f>
        <v>0.60206666666666664</v>
      </c>
      <c r="F13" s="10"/>
      <c r="G13" s="10"/>
      <c r="H13" s="10"/>
      <c r="I13" s="11" t="e">
        <f>+VLOOKUP(B13,#REF!,7,FALSE)</f>
        <v>#REF!</v>
      </c>
      <c r="J13" s="12" t="str">
        <f t="shared" si="0"/>
        <v/>
      </c>
      <c r="K13" s="12" t="str">
        <f t="shared" si="1"/>
        <v/>
      </c>
      <c r="L13" s="12" t="e">
        <f t="shared" si="2"/>
        <v>#VALUE!</v>
      </c>
    </row>
    <row r="14" spans="1:12" ht="24" customHeight="1" x14ac:dyDescent="0.25">
      <c r="A14" s="9">
        <v>43108</v>
      </c>
      <c r="B14" s="10" t="s">
        <v>214</v>
      </c>
      <c r="C14" s="17">
        <v>14160</v>
      </c>
      <c r="D14" s="11" t="e">
        <f>+VLOOKUP(B14,#REF!,6,FALSE)/12</f>
        <v>#REF!</v>
      </c>
      <c r="E14" s="10">
        <f>7.9652/12</f>
        <v>0.66376666666666673</v>
      </c>
      <c r="F14" s="10"/>
      <c r="G14" s="10"/>
      <c r="H14" s="10"/>
      <c r="I14" s="11" t="e">
        <f>+VLOOKUP(B14,#REF!,7,FALSE)</f>
        <v>#REF!</v>
      </c>
      <c r="J14" s="12" t="str">
        <f t="shared" si="0"/>
        <v/>
      </c>
      <c r="K14" s="12" t="str">
        <f t="shared" si="1"/>
        <v/>
      </c>
      <c r="L14" s="12" t="e">
        <f t="shared" si="2"/>
        <v>#VALUE!</v>
      </c>
    </row>
    <row r="15" spans="1:12" ht="24" customHeight="1" x14ac:dyDescent="0.25">
      <c r="A15" s="9">
        <v>43108</v>
      </c>
      <c r="B15" s="10" t="s">
        <v>440</v>
      </c>
      <c r="C15" s="17">
        <v>9970</v>
      </c>
      <c r="D15" s="11" t="e">
        <f>+VLOOKUP(B15,#REF!,6,FALSE)</f>
        <v>#REF!</v>
      </c>
      <c r="E15" s="10">
        <v>0.57179999999999997</v>
      </c>
      <c r="F15" s="10"/>
      <c r="G15" s="10"/>
      <c r="H15" s="10"/>
      <c r="I15" s="11" t="e">
        <f>+VLOOKUP(B15,#REF!,7,FALSE)</f>
        <v>#REF!</v>
      </c>
      <c r="J15" s="12" t="str">
        <f t="shared" si="0"/>
        <v/>
      </c>
      <c r="K15" s="12" t="str">
        <f t="shared" si="1"/>
        <v/>
      </c>
      <c r="L15" s="12" t="e">
        <f t="shared" si="2"/>
        <v>#VALUE!</v>
      </c>
    </row>
    <row r="16" spans="1:12" ht="24" customHeight="1" x14ac:dyDescent="0.25">
      <c r="A16" s="9">
        <v>43108</v>
      </c>
      <c r="B16" s="10" t="s">
        <v>441</v>
      </c>
      <c r="C16" s="17">
        <v>7692</v>
      </c>
      <c r="D16" s="11" t="e">
        <f>+VLOOKUP(B16,#REF!,6,FALSE)</f>
        <v>#REF!</v>
      </c>
      <c r="E16" s="10">
        <v>0.63370000000000004</v>
      </c>
      <c r="F16" s="10"/>
      <c r="G16" s="10"/>
      <c r="H16" s="10"/>
      <c r="I16" s="11" t="e">
        <f>+VLOOKUP(B16,#REF!,7,FALSE)</f>
        <v>#REF!</v>
      </c>
      <c r="J16" s="12" t="str">
        <f t="shared" si="0"/>
        <v/>
      </c>
      <c r="K16" s="12" t="str">
        <f t="shared" si="1"/>
        <v/>
      </c>
      <c r="L16" s="12" t="e">
        <f t="shared" si="2"/>
        <v>#VALUE!</v>
      </c>
    </row>
    <row r="17" spans="1:12" ht="24" customHeight="1" x14ac:dyDescent="0.25">
      <c r="A17" s="9">
        <v>43109</v>
      </c>
      <c r="B17" s="10" t="s">
        <v>99</v>
      </c>
      <c r="C17" s="17">
        <v>14574</v>
      </c>
      <c r="D17" s="11" t="e">
        <f>+VLOOKUP(B17,#REF!,6,FALSE)</f>
        <v>#REF!</v>
      </c>
      <c r="E17" s="10">
        <v>2.6326999999999998</v>
      </c>
      <c r="F17" s="10"/>
      <c r="G17" s="10"/>
      <c r="H17" s="10"/>
      <c r="I17" s="11" t="e">
        <f>+VLOOKUP(B17,#REF!,7,FALSE)</f>
        <v>#REF!</v>
      </c>
      <c r="J17" s="12" t="str">
        <f t="shared" si="0"/>
        <v/>
      </c>
      <c r="K17" s="12" t="str">
        <f t="shared" si="1"/>
        <v/>
      </c>
      <c r="L17" s="12" t="e">
        <f t="shared" si="2"/>
        <v>#VALUE!</v>
      </c>
    </row>
    <row r="18" spans="1:12" ht="24" customHeight="1" x14ac:dyDescent="0.25">
      <c r="A18" s="9">
        <v>43109</v>
      </c>
      <c r="B18" s="10" t="s">
        <v>103</v>
      </c>
      <c r="C18" s="17">
        <v>3258</v>
      </c>
      <c r="D18" s="11" t="e">
        <f>+VLOOKUP(B18,#REF!,6,FALSE)/6</f>
        <v>#REF!</v>
      </c>
      <c r="E18" s="10">
        <v>1.7692000000000001</v>
      </c>
      <c r="F18" s="10"/>
      <c r="G18" s="10"/>
      <c r="H18" s="10"/>
      <c r="I18" s="11" t="e">
        <f>+VLOOKUP(B18,#REF!,7,FALSE)</f>
        <v>#REF!</v>
      </c>
      <c r="J18" s="12" t="str">
        <f t="shared" si="0"/>
        <v/>
      </c>
      <c r="K18" s="12" t="str">
        <f t="shared" si="1"/>
        <v/>
      </c>
      <c r="L18" s="12" t="e">
        <f t="shared" si="2"/>
        <v>#VALUE!</v>
      </c>
    </row>
    <row r="19" spans="1:12" ht="24" customHeight="1" x14ac:dyDescent="0.25">
      <c r="A19" s="9">
        <v>43109</v>
      </c>
      <c r="B19" s="10" t="s">
        <v>152</v>
      </c>
      <c r="C19" s="17">
        <v>8100</v>
      </c>
      <c r="D19" s="11" t="e">
        <f>+VLOOKUP(B19,#REF!,6,FALSE)/12</f>
        <v>#REF!</v>
      </c>
      <c r="E19" s="10">
        <v>0.5998</v>
      </c>
      <c r="F19" s="10"/>
      <c r="G19" s="10"/>
      <c r="H19" s="10"/>
      <c r="I19" s="11" t="e">
        <f>+VLOOKUP(B19,#REF!,7,FALSE)</f>
        <v>#REF!</v>
      </c>
      <c r="J19" s="12" t="str">
        <f t="shared" si="0"/>
        <v/>
      </c>
      <c r="K19" s="12" t="str">
        <f t="shared" si="1"/>
        <v/>
      </c>
      <c r="L19" s="12" t="e">
        <f t="shared" si="2"/>
        <v>#VALUE!</v>
      </c>
    </row>
    <row r="20" spans="1:12" ht="24" customHeight="1" x14ac:dyDescent="0.25">
      <c r="A20" s="9">
        <v>43109</v>
      </c>
      <c r="B20" s="10" t="s">
        <v>153</v>
      </c>
      <c r="C20" s="17">
        <v>8256</v>
      </c>
      <c r="D20" s="11" t="e">
        <f>+VLOOKUP(B20,#REF!,6,FALSE)/12</f>
        <v>#REF!</v>
      </c>
      <c r="E20" s="10">
        <v>0.51839999999999997</v>
      </c>
      <c r="F20" s="10"/>
      <c r="G20" s="10"/>
      <c r="H20" s="10"/>
      <c r="I20" s="11" t="e">
        <f>+VLOOKUP(B20,#REF!,7,FALSE)</f>
        <v>#REF!</v>
      </c>
      <c r="J20" s="12" t="str">
        <f t="shared" si="0"/>
        <v/>
      </c>
      <c r="K20" s="12" t="str">
        <f t="shared" si="1"/>
        <v/>
      </c>
      <c r="L20" s="12" t="e">
        <f t="shared" si="2"/>
        <v>#VALUE!</v>
      </c>
    </row>
    <row r="21" spans="1:12" ht="24" customHeight="1" x14ac:dyDescent="0.25">
      <c r="A21" s="9">
        <v>43109</v>
      </c>
      <c r="B21" s="10" t="s">
        <v>208</v>
      </c>
      <c r="C21" s="17">
        <v>3480</v>
      </c>
      <c r="D21" s="11" t="e">
        <f>+VLOOKUP(B21,#REF!,6,FALSE)/6</f>
        <v>#REF!</v>
      </c>
      <c r="E21" s="10">
        <v>1.9612000000000001</v>
      </c>
      <c r="F21" s="10"/>
      <c r="G21" s="10"/>
      <c r="H21" s="10"/>
      <c r="I21" s="11" t="e">
        <f>+VLOOKUP(B21,#REF!,7,FALSE)</f>
        <v>#REF!</v>
      </c>
      <c r="J21" s="12" t="str">
        <f t="shared" si="0"/>
        <v/>
      </c>
      <c r="K21" s="12" t="str">
        <f t="shared" si="1"/>
        <v/>
      </c>
      <c r="L21" s="12" t="e">
        <f t="shared" si="2"/>
        <v>#VALUE!</v>
      </c>
    </row>
    <row r="22" spans="1:12" ht="24" customHeight="1" x14ac:dyDescent="0.25">
      <c r="A22" s="9">
        <v>43109</v>
      </c>
      <c r="B22" s="10" t="s">
        <v>440</v>
      </c>
      <c r="C22" s="17">
        <v>7520</v>
      </c>
      <c r="D22" s="11" t="e">
        <f>+VLOOKUP(B22,#REF!,6,FALSE)</f>
        <v>#REF!</v>
      </c>
      <c r="E22" s="10">
        <v>0.55220000000000002</v>
      </c>
      <c r="F22" s="10"/>
      <c r="G22" s="10"/>
      <c r="H22" s="10"/>
      <c r="I22" s="11" t="e">
        <f>+VLOOKUP(B22,#REF!,7,FALSE)</f>
        <v>#REF!</v>
      </c>
      <c r="J22" s="12" t="str">
        <f t="shared" si="0"/>
        <v/>
      </c>
      <c r="K22" s="12" t="str">
        <f t="shared" si="1"/>
        <v/>
      </c>
      <c r="L22" s="12" t="e">
        <f t="shared" si="2"/>
        <v>#VALUE!</v>
      </c>
    </row>
    <row r="23" spans="1:12" ht="24" customHeight="1" x14ac:dyDescent="0.25">
      <c r="A23" s="9">
        <v>43109</v>
      </c>
      <c r="B23" s="14" t="s">
        <v>441</v>
      </c>
      <c r="C23" s="17">
        <v>9348</v>
      </c>
      <c r="D23" s="11" t="e">
        <f>+VLOOKUP(B23,#REF!,6,FALSE)</f>
        <v>#REF!</v>
      </c>
      <c r="E23" s="10">
        <v>0.51680000000000004</v>
      </c>
      <c r="F23" s="10"/>
      <c r="G23" s="10"/>
      <c r="H23" s="10"/>
      <c r="I23" s="11" t="e">
        <f>+VLOOKUP(B23,#REF!,7,FALSE)</f>
        <v>#REF!</v>
      </c>
      <c r="J23" s="12" t="str">
        <f t="shared" si="0"/>
        <v/>
      </c>
      <c r="K23" s="12" t="str">
        <f t="shared" si="1"/>
        <v/>
      </c>
      <c r="L23" s="12" t="e">
        <f t="shared" si="2"/>
        <v>#VALUE!</v>
      </c>
    </row>
    <row r="24" spans="1:12" ht="24" customHeight="1" x14ac:dyDescent="0.25">
      <c r="A24" s="9">
        <v>43110</v>
      </c>
      <c r="B24" s="19" t="s">
        <v>211</v>
      </c>
      <c r="C24" s="17">
        <v>6702</v>
      </c>
      <c r="D24" s="11" t="e">
        <f>+VLOOKUP(B24,#REF!,6,FALSE)/6</f>
        <v>#REF!</v>
      </c>
      <c r="E24" s="10">
        <v>1.3720000000000001</v>
      </c>
      <c r="F24" s="10"/>
      <c r="G24" s="10"/>
      <c r="H24" s="10"/>
      <c r="I24" s="11" t="e">
        <f>+VLOOKUP(B24,#REF!,7,FALSE)</f>
        <v>#REF!</v>
      </c>
      <c r="J24" s="12" t="str">
        <f t="shared" si="0"/>
        <v/>
      </c>
      <c r="K24" s="12" t="str">
        <f t="shared" si="1"/>
        <v/>
      </c>
      <c r="L24" s="12" t="e">
        <f t="shared" si="2"/>
        <v>#VALUE!</v>
      </c>
    </row>
    <row r="25" spans="1:12" ht="24" customHeight="1" x14ac:dyDescent="0.25">
      <c r="A25" s="9">
        <v>43110</v>
      </c>
      <c r="B25" s="10" t="s">
        <v>440</v>
      </c>
      <c r="C25" s="17">
        <v>17420</v>
      </c>
      <c r="D25" s="11" t="e">
        <f>+VLOOKUP(B25,#REF!,6,FALSE)</f>
        <v>#REF!</v>
      </c>
      <c r="E25" s="10">
        <v>0.67149999999999999</v>
      </c>
      <c r="F25" s="10"/>
      <c r="G25" s="10"/>
      <c r="H25" s="10"/>
      <c r="I25" s="11" t="e">
        <f>+VLOOKUP(B25,#REF!,7,FALSE)</f>
        <v>#REF!</v>
      </c>
      <c r="J25" s="12" t="str">
        <f t="shared" si="0"/>
        <v/>
      </c>
      <c r="K25" s="12" t="str">
        <f t="shared" si="1"/>
        <v/>
      </c>
      <c r="L25" s="12" t="e">
        <f t="shared" si="2"/>
        <v>#VALUE!</v>
      </c>
    </row>
    <row r="26" spans="1:12" ht="24" customHeight="1" x14ac:dyDescent="0.25">
      <c r="A26" s="9">
        <v>43110</v>
      </c>
      <c r="B26" s="20" t="s">
        <v>441</v>
      </c>
      <c r="C26" s="17">
        <v>16002</v>
      </c>
      <c r="D26" s="11" t="e">
        <f>+VLOOKUP(B26,#REF!,6,FALSE)</f>
        <v>#REF!</v>
      </c>
      <c r="E26" s="10">
        <v>0.53449999999999998</v>
      </c>
      <c r="F26" s="10"/>
      <c r="G26" s="10"/>
      <c r="H26" s="10"/>
      <c r="I26" s="11" t="e">
        <f>+VLOOKUP(B26,#REF!,7,FALSE)</f>
        <v>#REF!</v>
      </c>
      <c r="J26" s="12" t="str">
        <f t="shared" si="0"/>
        <v/>
      </c>
      <c r="K26" s="12" t="str">
        <f t="shared" si="1"/>
        <v/>
      </c>
      <c r="L26" s="12" t="e">
        <f t="shared" si="2"/>
        <v>#VALUE!</v>
      </c>
    </row>
    <row r="27" spans="1:12" ht="24" customHeight="1" x14ac:dyDescent="0.25">
      <c r="A27" s="9">
        <v>43110</v>
      </c>
      <c r="B27" s="20" t="s">
        <v>442</v>
      </c>
      <c r="C27" s="17">
        <v>10362</v>
      </c>
      <c r="D27" s="11" t="e">
        <f>+VLOOKUP(B27,#REF!,6,FALSE)</f>
        <v>#REF!</v>
      </c>
      <c r="E27" s="10">
        <v>0.52769999999999995</v>
      </c>
      <c r="F27" s="10"/>
      <c r="G27" s="10"/>
      <c r="H27" s="10"/>
      <c r="I27" s="11" t="e">
        <f>+VLOOKUP(B27,#REF!,7,FALSE)</f>
        <v>#REF!</v>
      </c>
      <c r="J27" s="12" t="str">
        <f t="shared" si="0"/>
        <v/>
      </c>
      <c r="K27" s="12" t="str">
        <f t="shared" si="1"/>
        <v/>
      </c>
      <c r="L27" s="12" t="e">
        <f t="shared" si="2"/>
        <v>#VALUE!</v>
      </c>
    </row>
    <row r="28" spans="1:12" ht="24" customHeight="1" x14ac:dyDescent="0.25">
      <c r="A28" s="9">
        <v>43110</v>
      </c>
      <c r="B28" s="10" t="s">
        <v>430</v>
      </c>
      <c r="C28" s="17">
        <v>3804</v>
      </c>
      <c r="D28" s="11" t="e">
        <f>+VLOOKUP(B28,#REF!,6,FALSE)</f>
        <v>#REF!</v>
      </c>
      <c r="E28" s="10">
        <v>3.2827999999999999</v>
      </c>
      <c r="F28" s="10"/>
      <c r="G28" s="10"/>
      <c r="H28" s="10"/>
      <c r="I28" s="11" t="e">
        <f>+VLOOKUP(B28,#REF!,7,FALSE)</f>
        <v>#REF!</v>
      </c>
      <c r="J28" s="12" t="str">
        <f t="shared" si="0"/>
        <v/>
      </c>
      <c r="K28" s="12" t="str">
        <f t="shared" si="1"/>
        <v/>
      </c>
      <c r="L28" s="12" t="e">
        <f t="shared" si="2"/>
        <v>#VALUE!</v>
      </c>
    </row>
    <row r="29" spans="1:12" ht="24" customHeight="1" x14ac:dyDescent="0.25">
      <c r="A29" s="9">
        <v>43111</v>
      </c>
      <c r="B29" s="10" t="s">
        <v>41</v>
      </c>
      <c r="C29" s="17">
        <v>457</v>
      </c>
      <c r="D29" s="11" t="e">
        <f>+VLOOKUP(B29,#REF!,6,FALSE)</f>
        <v>#REF!</v>
      </c>
      <c r="E29" s="10">
        <v>4.1961000000000004</v>
      </c>
      <c r="F29" s="10"/>
      <c r="G29" s="10"/>
      <c r="H29" s="10"/>
      <c r="I29" s="11" t="e">
        <f>+VLOOKUP(B29,#REF!,7,FALSE)</f>
        <v>#REF!</v>
      </c>
      <c r="J29" s="12" t="str">
        <f t="shared" si="0"/>
        <v/>
      </c>
      <c r="K29" s="12" t="str">
        <f t="shared" si="1"/>
        <v/>
      </c>
      <c r="L29" s="12" t="e">
        <f t="shared" si="2"/>
        <v>#VALUE!</v>
      </c>
    </row>
    <row r="30" spans="1:12" ht="24" customHeight="1" x14ac:dyDescent="0.25">
      <c r="A30" s="9">
        <v>43111</v>
      </c>
      <c r="B30" s="10" t="s">
        <v>141</v>
      </c>
      <c r="C30" s="17">
        <v>3076</v>
      </c>
      <c r="D30" s="11" t="e">
        <f>+VLOOKUP(B30,#REF!,6,FALSE)</f>
        <v>#REF!</v>
      </c>
      <c r="E30" s="10">
        <v>3.6690999999999998</v>
      </c>
      <c r="F30" s="10"/>
      <c r="G30" s="10"/>
      <c r="H30" s="10"/>
      <c r="I30" s="11" t="e">
        <f>+VLOOKUP(B30,#REF!,7,FALSE)</f>
        <v>#REF!</v>
      </c>
      <c r="J30" s="12" t="str">
        <f t="shared" si="0"/>
        <v/>
      </c>
      <c r="K30" s="12" t="str">
        <f t="shared" si="1"/>
        <v/>
      </c>
      <c r="L30" s="12" t="e">
        <f t="shared" si="2"/>
        <v>#VALUE!</v>
      </c>
    </row>
    <row r="31" spans="1:12" ht="24" customHeight="1" x14ac:dyDescent="0.25">
      <c r="A31" s="9">
        <v>43111</v>
      </c>
      <c r="B31" s="10" t="s">
        <v>214</v>
      </c>
      <c r="C31" s="17">
        <v>13644</v>
      </c>
      <c r="D31" s="11" t="e">
        <f>+VLOOKUP(B31,#REF!,6,FALSE)/12</f>
        <v>#REF!</v>
      </c>
      <c r="E31" s="10">
        <f>8.3535/12</f>
        <v>0.69612499999999999</v>
      </c>
      <c r="F31" s="10"/>
      <c r="G31" s="10"/>
      <c r="H31" s="10"/>
      <c r="I31" s="11" t="e">
        <f>+VLOOKUP(B31,#REF!,7,FALSE)</f>
        <v>#REF!</v>
      </c>
      <c r="J31" s="12" t="str">
        <f t="shared" si="0"/>
        <v/>
      </c>
      <c r="K31" s="12" t="str">
        <f t="shared" si="1"/>
        <v/>
      </c>
      <c r="L31" s="12" t="e">
        <f t="shared" si="2"/>
        <v>#VALUE!</v>
      </c>
    </row>
    <row r="32" spans="1:12" ht="24" customHeight="1" x14ac:dyDescent="0.25">
      <c r="A32" s="9">
        <v>43111</v>
      </c>
      <c r="B32" s="10" t="s">
        <v>440</v>
      </c>
      <c r="C32" s="17">
        <v>17380</v>
      </c>
      <c r="D32" s="11" t="e">
        <f>+VLOOKUP(B32,#REF!,6,FALSE)</f>
        <v>#REF!</v>
      </c>
      <c r="E32" s="10">
        <v>0.63549999999999995</v>
      </c>
      <c r="F32" s="10"/>
      <c r="G32" s="10"/>
      <c r="H32" s="10"/>
      <c r="I32" s="11" t="e">
        <f>+VLOOKUP(B32,#REF!,7,FALSE)</f>
        <v>#REF!</v>
      </c>
      <c r="J32" s="12" t="str">
        <f t="shared" si="0"/>
        <v/>
      </c>
      <c r="K32" s="12" t="str">
        <f t="shared" si="1"/>
        <v/>
      </c>
      <c r="L32" s="12" t="e">
        <f t="shared" si="2"/>
        <v>#VALUE!</v>
      </c>
    </row>
    <row r="33" spans="1:12" ht="24" customHeight="1" x14ac:dyDescent="0.25">
      <c r="A33" s="9">
        <v>43111</v>
      </c>
      <c r="B33" s="21" t="s">
        <v>224</v>
      </c>
      <c r="C33" s="17">
        <v>581</v>
      </c>
      <c r="D33" s="11" t="e">
        <f>+VLOOKUP(B33,#REF!,6,FALSE)</f>
        <v>#REF!</v>
      </c>
      <c r="E33" s="10">
        <v>7.6791</v>
      </c>
      <c r="F33" s="10"/>
      <c r="G33" s="10"/>
      <c r="H33" s="10"/>
      <c r="I33" s="11" t="e">
        <f>+VLOOKUP(B33,#REF!,7,FALSE)</f>
        <v>#REF!</v>
      </c>
      <c r="J33" s="12" t="str">
        <f t="shared" si="0"/>
        <v/>
      </c>
      <c r="K33" s="12" t="str">
        <f t="shared" si="1"/>
        <v/>
      </c>
      <c r="L33" s="12" t="e">
        <f t="shared" si="2"/>
        <v>#VALUE!</v>
      </c>
    </row>
    <row r="34" spans="1:12" ht="24" customHeight="1" x14ac:dyDescent="0.25">
      <c r="A34" s="9">
        <v>43111</v>
      </c>
      <c r="B34" s="21" t="s">
        <v>226</v>
      </c>
      <c r="C34" s="17">
        <v>6160</v>
      </c>
      <c r="D34" s="11" t="e">
        <f>+VLOOKUP(B34,#REF!,6,FALSE)</f>
        <v>#REF!</v>
      </c>
      <c r="E34" s="10">
        <v>1.6405000000000001</v>
      </c>
      <c r="F34" s="10"/>
      <c r="G34" s="10"/>
      <c r="H34" s="10"/>
      <c r="I34" s="11" t="e">
        <f>+VLOOKUP(B34,#REF!,7,FALSE)</f>
        <v>#REF!</v>
      </c>
      <c r="J34" s="12" t="str">
        <f t="shared" si="0"/>
        <v/>
      </c>
      <c r="K34" s="12" t="str">
        <f t="shared" si="1"/>
        <v/>
      </c>
      <c r="L34" s="12" t="e">
        <f t="shared" si="2"/>
        <v>#VALUE!</v>
      </c>
    </row>
    <row r="35" spans="1:12" ht="24" customHeight="1" x14ac:dyDescent="0.25">
      <c r="A35" s="9">
        <v>43112</v>
      </c>
      <c r="B35" s="10" t="s">
        <v>45</v>
      </c>
      <c r="C35" s="17">
        <v>199</v>
      </c>
      <c r="D35" s="11" t="e">
        <f>+VLOOKUP(B35,#REF!,6,FALSE)</f>
        <v>#REF!</v>
      </c>
      <c r="E35" s="10">
        <v>15.3005</v>
      </c>
      <c r="F35" s="10"/>
      <c r="G35" s="10"/>
      <c r="H35" s="10"/>
      <c r="I35" s="11" t="e">
        <f>+VLOOKUP(B35,#REF!,7,FALSE)</f>
        <v>#REF!</v>
      </c>
      <c r="J35" s="12" t="str">
        <f t="shared" si="0"/>
        <v/>
      </c>
      <c r="K35" s="12" t="str">
        <f t="shared" si="1"/>
        <v/>
      </c>
      <c r="L35" s="12" t="e">
        <f t="shared" si="2"/>
        <v>#VALUE!</v>
      </c>
    </row>
    <row r="36" spans="1:12" ht="24" customHeight="1" x14ac:dyDescent="0.25">
      <c r="A36" s="9">
        <v>43112</v>
      </c>
      <c r="B36" s="21" t="s">
        <v>102</v>
      </c>
      <c r="C36" s="17">
        <v>3180</v>
      </c>
      <c r="D36" s="11" t="e">
        <f>+VLOOKUP(B36,#REF!,6,FALSE)</f>
        <v>#REF!</v>
      </c>
      <c r="E36" s="10">
        <v>2.2829000000000002</v>
      </c>
      <c r="F36" s="10"/>
      <c r="G36" s="10"/>
      <c r="H36" s="10"/>
      <c r="I36" s="11" t="e">
        <f>+VLOOKUP(B36,#REF!,7,FALSE)</f>
        <v>#REF!</v>
      </c>
      <c r="J36" s="12" t="str">
        <f t="shared" si="0"/>
        <v/>
      </c>
      <c r="K36" s="12" t="str">
        <f t="shared" si="1"/>
        <v/>
      </c>
      <c r="L36" s="12" t="e">
        <f t="shared" si="2"/>
        <v>#VALUE!</v>
      </c>
    </row>
    <row r="37" spans="1:12" ht="24" customHeight="1" x14ac:dyDescent="0.25">
      <c r="A37" s="9">
        <v>43112</v>
      </c>
      <c r="B37" s="10" t="s">
        <v>111</v>
      </c>
      <c r="C37" s="17">
        <v>3070</v>
      </c>
      <c r="D37" s="11" t="e">
        <f>+VLOOKUP(B37,#REF!,6,FALSE)/10</f>
        <v>#REF!</v>
      </c>
      <c r="E37" s="10">
        <v>1.4059999999999999</v>
      </c>
      <c r="F37" s="10"/>
      <c r="G37" s="10"/>
      <c r="H37" s="10"/>
      <c r="I37" s="11" t="e">
        <f>+VLOOKUP(B37,#REF!,7,FALSE)</f>
        <v>#REF!</v>
      </c>
      <c r="J37" s="12" t="str">
        <f t="shared" si="0"/>
        <v/>
      </c>
      <c r="K37" s="12" t="str">
        <f t="shared" si="1"/>
        <v/>
      </c>
      <c r="L37" s="12" t="e">
        <f t="shared" si="2"/>
        <v>#VALUE!</v>
      </c>
    </row>
    <row r="38" spans="1:12" ht="24" customHeight="1" x14ac:dyDescent="0.25">
      <c r="A38" s="9">
        <v>43112</v>
      </c>
      <c r="B38" s="10" t="s">
        <v>189</v>
      </c>
      <c r="C38" s="17">
        <v>4536</v>
      </c>
      <c r="D38" s="11" t="e">
        <f>+VLOOKUP(B38,#REF!,6,FALSE)</f>
        <v>#REF!</v>
      </c>
      <c r="E38" s="10">
        <v>1.2677</v>
      </c>
      <c r="F38" s="10"/>
      <c r="G38" s="10"/>
      <c r="H38" s="10"/>
      <c r="I38" s="11" t="e">
        <f>+VLOOKUP(B38,#REF!,7,FALSE)</f>
        <v>#REF!</v>
      </c>
      <c r="J38" s="12" t="str">
        <f t="shared" si="0"/>
        <v/>
      </c>
      <c r="K38" s="12" t="str">
        <f t="shared" si="1"/>
        <v/>
      </c>
      <c r="L38" s="12" t="e">
        <f t="shared" si="2"/>
        <v>#VALUE!</v>
      </c>
    </row>
    <row r="39" spans="1:12" ht="24" customHeight="1" x14ac:dyDescent="0.25">
      <c r="A39" s="9">
        <v>43112</v>
      </c>
      <c r="B39" s="10" t="s">
        <v>440</v>
      </c>
      <c r="C39" s="17">
        <v>16910</v>
      </c>
      <c r="D39" s="11" t="e">
        <f>+VLOOKUP(B39,#REF!,6,FALSE)</f>
        <v>#REF!</v>
      </c>
      <c r="E39" s="10">
        <v>0.56279999999999997</v>
      </c>
      <c r="F39" s="10"/>
      <c r="G39" s="10"/>
      <c r="H39" s="10"/>
      <c r="I39" s="11" t="e">
        <f>+VLOOKUP(B39,#REF!,7,FALSE)</f>
        <v>#REF!</v>
      </c>
      <c r="J39" s="12" t="str">
        <f t="shared" si="0"/>
        <v/>
      </c>
      <c r="K39" s="12" t="str">
        <f t="shared" si="1"/>
        <v/>
      </c>
      <c r="L39" s="12" t="e">
        <f t="shared" si="2"/>
        <v>#VALUE!</v>
      </c>
    </row>
    <row r="40" spans="1:12" ht="24" customHeight="1" x14ac:dyDescent="0.25">
      <c r="A40" s="9">
        <v>43112</v>
      </c>
      <c r="B40" s="10" t="s">
        <v>226</v>
      </c>
      <c r="C40" s="17">
        <v>6161</v>
      </c>
      <c r="D40" s="11" t="e">
        <f>+VLOOKUP(B40,#REF!,6,FALSE)</f>
        <v>#REF!</v>
      </c>
      <c r="E40" s="10">
        <v>1.6547000000000001</v>
      </c>
      <c r="F40" s="10"/>
      <c r="G40" s="10"/>
      <c r="H40" s="10"/>
      <c r="I40" s="11" t="e">
        <f>+VLOOKUP(B40,#REF!,7,FALSE)</f>
        <v>#REF!</v>
      </c>
      <c r="J40" s="12" t="str">
        <f t="shared" si="0"/>
        <v/>
      </c>
      <c r="K40" s="12" t="str">
        <f t="shared" si="1"/>
        <v/>
      </c>
      <c r="L40" s="12" t="e">
        <f t="shared" si="2"/>
        <v>#VALUE!</v>
      </c>
    </row>
    <row r="41" spans="1:12" ht="24" customHeight="1" x14ac:dyDescent="0.25">
      <c r="A41" s="9">
        <v>43115</v>
      </c>
      <c r="B41" s="10" t="s">
        <v>15</v>
      </c>
      <c r="C41" s="17">
        <v>948</v>
      </c>
      <c r="D41" s="11" t="e">
        <f>+VLOOKUP(B41,#REF!,6,FALSE)</f>
        <v>#REF!</v>
      </c>
      <c r="E41" s="10">
        <v>3.5619999999999998</v>
      </c>
      <c r="F41" s="10"/>
      <c r="G41" s="10"/>
      <c r="H41" s="10"/>
      <c r="I41" s="11" t="e">
        <f>+VLOOKUP(B41,#REF!,7,FALSE)</f>
        <v>#REF!</v>
      </c>
      <c r="J41" s="12" t="str">
        <f t="shared" si="0"/>
        <v/>
      </c>
      <c r="K41" s="12" t="str">
        <f t="shared" si="1"/>
        <v/>
      </c>
      <c r="L41" s="12" t="e">
        <f t="shared" si="2"/>
        <v>#VALUE!</v>
      </c>
    </row>
    <row r="42" spans="1:12" ht="24" customHeight="1" x14ac:dyDescent="0.25">
      <c r="A42" s="9">
        <v>43115</v>
      </c>
      <c r="B42" s="10" t="s">
        <v>37</v>
      </c>
      <c r="C42" s="17">
        <v>214</v>
      </c>
      <c r="D42" s="11" t="e">
        <f>+VLOOKUP(B42,#REF!,6,FALSE)</f>
        <v>#REF!</v>
      </c>
      <c r="E42" s="10">
        <v>5.3109999999999999</v>
      </c>
      <c r="F42" s="10"/>
      <c r="G42" s="10"/>
      <c r="H42" s="10"/>
      <c r="I42" s="11" t="e">
        <f>+VLOOKUP(B42,#REF!,7,FALSE)</f>
        <v>#REF!</v>
      </c>
      <c r="J42" s="12" t="str">
        <f t="shared" si="0"/>
        <v/>
      </c>
      <c r="K42" s="12" t="str">
        <f t="shared" si="1"/>
        <v/>
      </c>
      <c r="L42" s="12" t="e">
        <f t="shared" si="2"/>
        <v>#VALUE!</v>
      </c>
    </row>
    <row r="43" spans="1:12" ht="24" customHeight="1" x14ac:dyDescent="0.25">
      <c r="A43" s="9">
        <v>43115</v>
      </c>
      <c r="B43" s="10" t="s">
        <v>40</v>
      </c>
      <c r="C43" s="17">
        <v>167</v>
      </c>
      <c r="D43" s="11" t="e">
        <f>+VLOOKUP(B43,#REF!,6,FALSE)</f>
        <v>#REF!</v>
      </c>
      <c r="E43" s="10">
        <v>7.1959</v>
      </c>
      <c r="F43" s="10"/>
      <c r="G43" s="10"/>
      <c r="H43" s="10"/>
      <c r="I43" s="11" t="e">
        <f>+VLOOKUP(B43,#REF!,7,FALSE)</f>
        <v>#REF!</v>
      </c>
      <c r="J43" s="12" t="str">
        <f t="shared" si="0"/>
        <v/>
      </c>
      <c r="K43" s="12" t="str">
        <f t="shared" si="1"/>
        <v/>
      </c>
      <c r="L43" s="12" t="e">
        <f t="shared" si="2"/>
        <v>#VALUE!</v>
      </c>
    </row>
    <row r="44" spans="1:12" ht="24" customHeight="1" x14ac:dyDescent="0.25">
      <c r="A44" s="16">
        <v>43115</v>
      </c>
      <c r="B44" s="10" t="s">
        <v>47</v>
      </c>
      <c r="C44" s="17">
        <v>78</v>
      </c>
      <c r="D44" s="11" t="e">
        <f>+VLOOKUP(B44,#REF!,6,FALSE)</f>
        <v>#REF!</v>
      </c>
      <c r="E44" s="10">
        <v>6.2872000000000003</v>
      </c>
      <c r="F44" s="10"/>
      <c r="G44" s="10"/>
      <c r="H44" s="10"/>
      <c r="I44" s="11" t="e">
        <f>+VLOOKUP(B44,#REF!,7,FALSE)</f>
        <v>#REF!</v>
      </c>
      <c r="J44" s="12" t="str">
        <f t="shared" si="0"/>
        <v/>
      </c>
      <c r="K44" s="12" t="str">
        <f t="shared" si="1"/>
        <v/>
      </c>
      <c r="L44" s="12" t="e">
        <f t="shared" si="2"/>
        <v>#VALUE!</v>
      </c>
    </row>
    <row r="45" spans="1:12" ht="24" customHeight="1" x14ac:dyDescent="0.25">
      <c r="A45" s="9">
        <v>43115</v>
      </c>
      <c r="B45" s="21" t="s">
        <v>159</v>
      </c>
      <c r="C45" s="17">
        <v>15648</v>
      </c>
      <c r="D45" s="11" t="e">
        <f>+VLOOKUP(B45,#REF!,6,FALSE)</f>
        <v>#REF!</v>
      </c>
      <c r="E45" s="10">
        <v>0.68140000000000001</v>
      </c>
      <c r="F45" s="10"/>
      <c r="G45" s="10"/>
      <c r="H45" s="10"/>
      <c r="I45" s="11" t="e">
        <f>+VLOOKUP(B45,#REF!,7,FALSE)</f>
        <v>#REF!</v>
      </c>
      <c r="J45" s="12" t="str">
        <f t="shared" si="0"/>
        <v/>
      </c>
      <c r="K45" s="12" t="str">
        <f t="shared" si="1"/>
        <v/>
      </c>
      <c r="L45" s="12" t="e">
        <f t="shared" si="2"/>
        <v>#VALUE!</v>
      </c>
    </row>
    <row r="46" spans="1:12" ht="24" customHeight="1" x14ac:dyDescent="0.25">
      <c r="A46" s="9">
        <v>43115</v>
      </c>
      <c r="B46" s="10" t="s">
        <v>178</v>
      </c>
      <c r="C46" s="17">
        <v>8850</v>
      </c>
      <c r="D46" s="11" t="e">
        <f>+VLOOKUP(B46,#REF!,6,FALSE)/6</f>
        <v>#REF!</v>
      </c>
      <c r="E46" s="10">
        <v>0.61280000000000001</v>
      </c>
      <c r="F46" s="10"/>
      <c r="G46" s="10"/>
      <c r="H46" s="10"/>
      <c r="I46" s="11" t="e">
        <f>+VLOOKUP(B46,#REF!,7,FALSE)</f>
        <v>#REF!</v>
      </c>
      <c r="J46" s="12" t="str">
        <f t="shared" si="0"/>
        <v/>
      </c>
      <c r="K46" s="12" t="str">
        <f t="shared" si="1"/>
        <v/>
      </c>
      <c r="L46" s="12" t="e">
        <f t="shared" si="2"/>
        <v>#VALUE!</v>
      </c>
    </row>
    <row r="47" spans="1:12" ht="24" customHeight="1" x14ac:dyDescent="0.25">
      <c r="A47" s="9">
        <v>43115</v>
      </c>
      <c r="B47" s="10" t="s">
        <v>214</v>
      </c>
      <c r="C47" s="17">
        <v>10092</v>
      </c>
      <c r="D47" s="11" t="e">
        <f>+VLOOKUP(B47,#REF!,6,FALSE)/12</f>
        <v>#REF!</v>
      </c>
      <c r="E47" s="10">
        <f>7.7994/12</f>
        <v>0.64995000000000003</v>
      </c>
      <c r="F47" s="10"/>
      <c r="G47" s="10"/>
      <c r="H47" s="10"/>
      <c r="I47" s="11" t="e">
        <f>+VLOOKUP(B47,#REF!,7,FALSE)</f>
        <v>#REF!</v>
      </c>
      <c r="J47" s="12" t="str">
        <f t="shared" si="0"/>
        <v/>
      </c>
      <c r="K47" s="12" t="str">
        <f t="shared" si="1"/>
        <v/>
      </c>
      <c r="L47" s="12" t="e">
        <f t="shared" si="2"/>
        <v>#VALUE!</v>
      </c>
    </row>
    <row r="48" spans="1:12" ht="24" customHeight="1" x14ac:dyDescent="0.25">
      <c r="A48" s="9">
        <v>43115</v>
      </c>
      <c r="B48" s="10" t="s">
        <v>441</v>
      </c>
      <c r="C48" s="17">
        <v>15810</v>
      </c>
      <c r="D48" s="11" t="e">
        <f>+VLOOKUP(B48,#REF!,6,FALSE)</f>
        <v>#REF!</v>
      </c>
      <c r="E48" s="10">
        <v>0.58709999999999996</v>
      </c>
      <c r="F48" s="10"/>
      <c r="G48" s="10"/>
      <c r="H48" s="10"/>
      <c r="I48" s="11" t="e">
        <f>+VLOOKUP(B48,#REF!,7,FALSE)</f>
        <v>#REF!</v>
      </c>
      <c r="J48" s="12" t="str">
        <f t="shared" si="0"/>
        <v/>
      </c>
      <c r="K48" s="12" t="str">
        <f t="shared" si="1"/>
        <v/>
      </c>
      <c r="L48" s="12" t="e">
        <f t="shared" si="2"/>
        <v>#VALUE!</v>
      </c>
    </row>
    <row r="49" spans="1:12" ht="24" customHeight="1" x14ac:dyDescent="0.25">
      <c r="A49" s="9">
        <v>43116</v>
      </c>
      <c r="B49" s="10" t="s">
        <v>443</v>
      </c>
      <c r="C49" s="17">
        <v>34</v>
      </c>
      <c r="D49" s="11" t="e">
        <f>+VLOOKUP(B49,#REF!,6,FALSE)</f>
        <v>#REF!</v>
      </c>
      <c r="E49" s="10">
        <v>15.4039</v>
      </c>
      <c r="F49" s="10"/>
      <c r="G49" s="10"/>
      <c r="H49" s="10"/>
      <c r="I49" s="11" t="e">
        <f>+VLOOKUP(B49,#REF!,7,FALSE)</f>
        <v>#REF!</v>
      </c>
      <c r="J49" s="12" t="str">
        <f t="shared" si="0"/>
        <v/>
      </c>
      <c r="K49" s="12" t="str">
        <f t="shared" si="1"/>
        <v/>
      </c>
      <c r="L49" s="12" t="e">
        <f t="shared" si="2"/>
        <v>#VALUE!</v>
      </c>
    </row>
    <row r="50" spans="1:12" ht="24" customHeight="1" x14ac:dyDescent="0.25">
      <c r="A50" s="9">
        <v>43116</v>
      </c>
      <c r="B50" s="21" t="s">
        <v>78</v>
      </c>
      <c r="C50" s="17">
        <f>4064/16</f>
        <v>254</v>
      </c>
      <c r="D50" s="11" t="e">
        <f>+VLOOKUP(B50,#REF!,6,FALSE)</f>
        <v>#REF!</v>
      </c>
      <c r="E50" s="10">
        <f>0.4157*16</f>
        <v>6.6512000000000002</v>
      </c>
      <c r="F50" s="10"/>
      <c r="G50" s="10"/>
      <c r="H50" s="10"/>
      <c r="I50" s="11" t="e">
        <f>+VLOOKUP(B50,#REF!,7,FALSE)</f>
        <v>#REF!</v>
      </c>
      <c r="J50" s="12" t="str">
        <f t="shared" si="0"/>
        <v/>
      </c>
      <c r="K50" s="12" t="str">
        <f t="shared" si="1"/>
        <v/>
      </c>
      <c r="L50" s="12" t="e">
        <f t="shared" si="2"/>
        <v>#VALUE!</v>
      </c>
    </row>
    <row r="51" spans="1:12" ht="24" customHeight="1" x14ac:dyDescent="0.25">
      <c r="A51" s="9">
        <v>43116</v>
      </c>
      <c r="B51" s="10" t="s">
        <v>79</v>
      </c>
      <c r="C51" s="17">
        <f>3056/16</f>
        <v>191</v>
      </c>
      <c r="D51" s="11" t="e">
        <f>+VLOOKUP(B51,#REF!,6,FALSE)</f>
        <v>#REF!</v>
      </c>
      <c r="E51" s="10">
        <f>16*0.2286</f>
        <v>3.6576</v>
      </c>
      <c r="F51" s="10"/>
      <c r="G51" s="10"/>
      <c r="H51" s="10"/>
      <c r="I51" s="11" t="e">
        <f>+VLOOKUP(B51,#REF!,7,FALSE)</f>
        <v>#REF!</v>
      </c>
      <c r="J51" s="12" t="str">
        <f t="shared" si="0"/>
        <v/>
      </c>
      <c r="K51" s="12" t="str">
        <f t="shared" si="1"/>
        <v/>
      </c>
      <c r="L51" s="12" t="e">
        <f t="shared" si="2"/>
        <v>#VALUE!</v>
      </c>
    </row>
    <row r="52" spans="1:12" ht="24" customHeight="1" x14ac:dyDescent="0.25">
      <c r="A52" s="9">
        <v>43116</v>
      </c>
      <c r="B52" s="10" t="s">
        <v>128</v>
      </c>
      <c r="C52" s="17">
        <v>49536</v>
      </c>
      <c r="D52" s="11" t="e">
        <f>+VLOOKUP(B52,#REF!,6,FALSE)</f>
        <v>#REF!</v>
      </c>
      <c r="E52" s="10">
        <f>18.113/72</f>
        <v>0.25156944444444446</v>
      </c>
      <c r="F52" s="10"/>
      <c r="G52" s="10"/>
      <c r="H52" s="10"/>
      <c r="I52" s="11" t="e">
        <f>+VLOOKUP(B52,#REF!,7,FALSE)</f>
        <v>#REF!</v>
      </c>
      <c r="J52" s="12" t="str">
        <f t="shared" si="0"/>
        <v/>
      </c>
      <c r="K52" s="12" t="str">
        <f t="shared" si="1"/>
        <v/>
      </c>
      <c r="L52" s="12" t="e">
        <f t="shared" si="2"/>
        <v>#VALUE!</v>
      </c>
    </row>
    <row r="53" spans="1:12" ht="24" customHeight="1" x14ac:dyDescent="0.25">
      <c r="A53" s="9">
        <v>43116</v>
      </c>
      <c r="B53" s="10" t="s">
        <v>177</v>
      </c>
      <c r="C53" s="17">
        <v>5736</v>
      </c>
      <c r="D53" s="11" t="e">
        <f>+VLOOKUP(B53,#REF!,6,FALSE)/6</f>
        <v>#REF!</v>
      </c>
      <c r="E53" s="10">
        <f>6.089/6</f>
        <v>1.0148333333333335</v>
      </c>
      <c r="F53" s="10"/>
      <c r="G53" s="10"/>
      <c r="H53" s="10"/>
      <c r="I53" s="11" t="e">
        <f>+VLOOKUP(B53,#REF!,7,FALSE)</f>
        <v>#REF!</v>
      </c>
      <c r="J53" s="12" t="str">
        <f t="shared" si="0"/>
        <v/>
      </c>
      <c r="K53" s="12" t="str">
        <f t="shared" si="1"/>
        <v/>
      </c>
      <c r="L53" s="12" t="e">
        <f t="shared" si="2"/>
        <v>#VALUE!</v>
      </c>
    </row>
    <row r="54" spans="1:12" ht="24" customHeight="1" x14ac:dyDescent="0.25">
      <c r="A54" s="9">
        <v>43116</v>
      </c>
      <c r="B54" s="10" t="s">
        <v>185</v>
      </c>
      <c r="C54" s="17">
        <v>2700</v>
      </c>
      <c r="D54" s="11" t="e">
        <f>+VLOOKUP(B54,#REF!,6,FALSE)/6</f>
        <v>#REF!</v>
      </c>
      <c r="E54" s="10">
        <v>0.74780000000000002</v>
      </c>
      <c r="F54" s="10"/>
      <c r="G54" s="10"/>
      <c r="H54" s="10"/>
      <c r="I54" s="11" t="e">
        <f>+VLOOKUP(B54,#REF!,7,FALSE)</f>
        <v>#REF!</v>
      </c>
      <c r="J54" s="12" t="str">
        <f t="shared" si="0"/>
        <v/>
      </c>
      <c r="K54" s="12" t="str">
        <f t="shared" si="1"/>
        <v/>
      </c>
      <c r="L54" s="12" t="e">
        <f t="shared" si="2"/>
        <v>#VALUE!</v>
      </c>
    </row>
    <row r="55" spans="1:12" ht="24" customHeight="1" x14ac:dyDescent="0.25">
      <c r="A55" s="9">
        <v>43116</v>
      </c>
      <c r="B55" s="10" t="s">
        <v>186</v>
      </c>
      <c r="C55" s="17">
        <v>10680</v>
      </c>
      <c r="D55" s="11" t="e">
        <f>+VLOOKUP(B55,#REF!,6,FALSE)/6</f>
        <v>#REF!</v>
      </c>
      <c r="E55" s="10">
        <v>0.59719999999999995</v>
      </c>
      <c r="F55" s="10"/>
      <c r="G55" s="10"/>
      <c r="H55" s="10"/>
      <c r="I55" s="11" t="e">
        <f>+VLOOKUP(B55,#REF!,7,FALSE)</f>
        <v>#REF!</v>
      </c>
      <c r="J55" s="12" t="str">
        <f t="shared" si="0"/>
        <v/>
      </c>
      <c r="K55" s="12" t="str">
        <f t="shared" si="1"/>
        <v/>
      </c>
      <c r="L55" s="12" t="e">
        <f t="shared" si="2"/>
        <v>#VALUE!</v>
      </c>
    </row>
    <row r="56" spans="1:12" ht="24" customHeight="1" x14ac:dyDescent="0.25">
      <c r="A56" s="9">
        <v>43116</v>
      </c>
      <c r="B56" s="10" t="s">
        <v>212</v>
      </c>
      <c r="C56" s="17">
        <v>16872</v>
      </c>
      <c r="D56" s="11" t="e">
        <f>+VLOOKUP(B56,#REF!,6,FALSE)/6</f>
        <v>#REF!</v>
      </c>
      <c r="E56" s="21">
        <v>1.5918000000000001</v>
      </c>
      <c r="F56" s="10"/>
      <c r="G56" s="10"/>
      <c r="H56" s="10"/>
      <c r="I56" s="11" t="e">
        <f>+VLOOKUP(B56,#REF!,7,FALSE)</f>
        <v>#REF!</v>
      </c>
      <c r="J56" s="12" t="str">
        <f t="shared" si="0"/>
        <v/>
      </c>
      <c r="K56" s="12" t="str">
        <f t="shared" si="1"/>
        <v/>
      </c>
      <c r="L56" s="12" t="e">
        <f t="shared" si="2"/>
        <v>#VALUE!</v>
      </c>
    </row>
    <row r="57" spans="1:12" ht="24" customHeight="1" x14ac:dyDescent="0.25">
      <c r="A57" s="9">
        <v>43116</v>
      </c>
      <c r="B57" s="10" t="s">
        <v>213</v>
      </c>
      <c r="C57" s="17">
        <v>546</v>
      </c>
      <c r="D57" s="11" t="e">
        <f>+VLOOKUP(B57,#REF!,6,FALSE)/12</f>
        <v>#REF!</v>
      </c>
      <c r="E57" s="10">
        <v>2.0341</v>
      </c>
      <c r="F57" s="10"/>
      <c r="G57" s="10"/>
      <c r="H57" s="10"/>
      <c r="I57" s="11" t="e">
        <f>+VLOOKUP(B57,#REF!,7,FALSE)</f>
        <v>#REF!</v>
      </c>
      <c r="J57" s="12" t="str">
        <f t="shared" si="0"/>
        <v/>
      </c>
      <c r="K57" s="12" t="str">
        <f t="shared" si="1"/>
        <v/>
      </c>
      <c r="L57" s="12" t="e">
        <f t="shared" si="2"/>
        <v>#VALUE!</v>
      </c>
    </row>
    <row r="58" spans="1:12" ht="24" customHeight="1" x14ac:dyDescent="0.25">
      <c r="A58" s="9">
        <v>43117</v>
      </c>
      <c r="B58" s="10" t="s">
        <v>116</v>
      </c>
      <c r="C58" s="28">
        <f>45060/12</f>
        <v>3755</v>
      </c>
      <c r="D58" s="11" t="e">
        <f>+VLOOKUP(B58,#REF!,6,FALSE)</f>
        <v>#REF!</v>
      </c>
      <c r="E58" s="10">
        <f>0.2642*12</f>
        <v>3.1703999999999999</v>
      </c>
      <c r="F58" s="10"/>
      <c r="G58" s="10"/>
      <c r="H58" s="10"/>
      <c r="I58" s="11" t="e">
        <f>+VLOOKUP(B58,#REF!,7,FALSE)</f>
        <v>#REF!</v>
      </c>
      <c r="J58" s="12" t="str">
        <f t="shared" si="0"/>
        <v/>
      </c>
      <c r="K58" s="12" t="str">
        <f t="shared" si="1"/>
        <v/>
      </c>
      <c r="L58" s="12" t="e">
        <f t="shared" si="2"/>
        <v>#VALUE!</v>
      </c>
    </row>
    <row r="59" spans="1:12" ht="24" customHeight="1" x14ac:dyDescent="0.25">
      <c r="A59" s="9">
        <v>43117</v>
      </c>
      <c r="B59" s="10" t="s">
        <v>185</v>
      </c>
      <c r="C59" s="17">
        <v>7362</v>
      </c>
      <c r="D59" s="11" t="e">
        <f>+VLOOKUP(B59,#REF!,6,FALSE)/6</f>
        <v>#REF!</v>
      </c>
      <c r="E59" s="10">
        <f>4.4336/6</f>
        <v>0.73893333333333333</v>
      </c>
      <c r="F59" s="10"/>
      <c r="G59" s="10"/>
      <c r="H59" s="10"/>
      <c r="I59" s="11" t="e">
        <f>+VLOOKUP(B59,#REF!,7,FALSE)</f>
        <v>#REF!</v>
      </c>
      <c r="J59" s="12" t="str">
        <f t="shared" si="0"/>
        <v/>
      </c>
      <c r="K59" s="12" t="str">
        <f t="shared" si="1"/>
        <v/>
      </c>
      <c r="L59" s="12" t="e">
        <f t="shared" si="2"/>
        <v>#VALUE!</v>
      </c>
    </row>
    <row r="60" spans="1:12" ht="24" customHeight="1" x14ac:dyDescent="0.25">
      <c r="A60" s="9">
        <v>43117</v>
      </c>
      <c r="B60" s="10" t="s">
        <v>212</v>
      </c>
      <c r="C60" s="17">
        <v>17544</v>
      </c>
      <c r="D60" s="11" t="e">
        <f>+VLOOKUP(B60,#REF!,6,FALSE)/6</f>
        <v>#REF!</v>
      </c>
      <c r="E60" s="10">
        <v>1.5941000000000001</v>
      </c>
      <c r="F60" s="10"/>
      <c r="G60" s="10"/>
      <c r="H60" s="10"/>
      <c r="I60" s="11" t="e">
        <f>+VLOOKUP(B60,#REF!,7,FALSE)</f>
        <v>#REF!</v>
      </c>
      <c r="J60" s="12" t="str">
        <f t="shared" si="0"/>
        <v/>
      </c>
      <c r="K60" s="12" t="str">
        <f t="shared" si="1"/>
        <v/>
      </c>
      <c r="L60" s="12" t="e">
        <f t="shared" si="2"/>
        <v>#VALUE!</v>
      </c>
    </row>
    <row r="61" spans="1:12" ht="24" customHeight="1" x14ac:dyDescent="0.25">
      <c r="A61" s="9">
        <v>43117</v>
      </c>
      <c r="B61" s="10" t="s">
        <v>454</v>
      </c>
      <c r="C61" s="17">
        <v>10080</v>
      </c>
      <c r="D61" s="11" t="e">
        <f>+VLOOKUP(B61,#REF!,6,FALSE)</f>
        <v>#REF!</v>
      </c>
      <c r="E61" s="10">
        <v>0.73089999999999999</v>
      </c>
      <c r="F61" s="10"/>
      <c r="G61" s="10"/>
      <c r="H61" s="10"/>
      <c r="I61" s="11" t="e">
        <f>+VLOOKUP(B61,#REF!,7,FALSE)</f>
        <v>#REF!</v>
      </c>
      <c r="J61" s="12" t="str">
        <f t="shared" si="0"/>
        <v/>
      </c>
      <c r="K61" s="12" t="str">
        <f t="shared" si="1"/>
        <v/>
      </c>
      <c r="L61" s="12" t="e">
        <f t="shared" si="2"/>
        <v>#VALUE!</v>
      </c>
    </row>
    <row r="62" spans="1:12" ht="24" customHeight="1" x14ac:dyDescent="0.25">
      <c r="A62" s="9">
        <v>43118</v>
      </c>
      <c r="B62" s="10" t="s">
        <v>100</v>
      </c>
      <c r="C62" s="17">
        <v>6060</v>
      </c>
      <c r="D62" s="11" t="e">
        <f>+VLOOKUP(B62,#REF!,6,FALSE)</f>
        <v>#REF!</v>
      </c>
      <c r="E62" s="10">
        <v>3.2690000000000001</v>
      </c>
      <c r="F62" s="10"/>
      <c r="G62" s="10"/>
      <c r="H62" s="10"/>
      <c r="I62" s="11" t="e">
        <f>+VLOOKUP(B62,#REF!,7,FALSE)</f>
        <v>#REF!</v>
      </c>
      <c r="J62" s="12" t="str">
        <f t="shared" si="0"/>
        <v/>
      </c>
      <c r="K62" s="12" t="str">
        <f t="shared" si="1"/>
        <v/>
      </c>
      <c r="L62" s="12" t="e">
        <f t="shared" si="2"/>
        <v>#VALUE!</v>
      </c>
    </row>
    <row r="63" spans="1:12" ht="24" customHeight="1" x14ac:dyDescent="0.25">
      <c r="A63" s="9">
        <v>43118</v>
      </c>
      <c r="B63" s="10" t="s">
        <v>105</v>
      </c>
      <c r="C63" s="17">
        <v>1945</v>
      </c>
      <c r="D63" s="11" t="e">
        <f>+VLOOKUP(B63,#REF!,6,FALSE)</f>
        <v>#REF!</v>
      </c>
      <c r="E63" s="10">
        <v>8.8362999999999996</v>
      </c>
      <c r="F63" s="10"/>
      <c r="G63" s="10"/>
      <c r="H63" s="10"/>
      <c r="I63" s="11" t="e">
        <f>+VLOOKUP(B63,#REF!,7,FALSE)</f>
        <v>#REF!</v>
      </c>
      <c r="J63" s="12" t="str">
        <f t="shared" si="0"/>
        <v/>
      </c>
      <c r="K63" s="12" t="str">
        <f t="shared" si="1"/>
        <v/>
      </c>
      <c r="L63" s="12" t="e">
        <f t="shared" si="2"/>
        <v>#VALUE!</v>
      </c>
    </row>
    <row r="64" spans="1:12" ht="24" customHeight="1" x14ac:dyDescent="0.25">
      <c r="A64" s="9">
        <v>43118</v>
      </c>
      <c r="B64" s="10" t="s">
        <v>230</v>
      </c>
      <c r="C64" s="17">
        <v>16134</v>
      </c>
      <c r="D64" s="11" t="e">
        <f>+VLOOKUP(B64,#REF!,6,FALSE)</f>
        <v>#REF!</v>
      </c>
      <c r="E64" s="10">
        <f>3.5048/6</f>
        <v>0.58413333333333328</v>
      </c>
      <c r="F64" s="10"/>
      <c r="G64" s="10"/>
      <c r="H64" s="10"/>
      <c r="I64" s="11" t="e">
        <f>+VLOOKUP(B64,#REF!,7,FALSE)</f>
        <v>#REF!</v>
      </c>
      <c r="J64" s="12" t="str">
        <f t="shared" si="0"/>
        <v/>
      </c>
      <c r="K64" s="12" t="str">
        <f t="shared" si="1"/>
        <v/>
      </c>
      <c r="L64" s="12" t="e">
        <f t="shared" si="2"/>
        <v>#VALUE!</v>
      </c>
    </row>
    <row r="65" spans="1:12" ht="24" customHeight="1" x14ac:dyDescent="0.25">
      <c r="A65" s="9">
        <v>43118</v>
      </c>
      <c r="B65" s="10" t="s">
        <v>455</v>
      </c>
      <c r="C65" s="17">
        <v>10782</v>
      </c>
      <c r="D65" s="11" t="e">
        <f>+VLOOKUP(B65,#REF!,6,FALSE)</f>
        <v>#REF!</v>
      </c>
      <c r="E65" s="10">
        <v>0.84919999999999995</v>
      </c>
      <c r="F65" s="10"/>
      <c r="G65" s="10"/>
      <c r="H65" s="10"/>
      <c r="I65" s="11" t="e">
        <f>+VLOOKUP(B65,#REF!,7,FALSE)</f>
        <v>#REF!</v>
      </c>
      <c r="J65" s="12" t="str">
        <f t="shared" si="0"/>
        <v/>
      </c>
      <c r="K65" s="12" t="str">
        <f t="shared" si="1"/>
        <v/>
      </c>
      <c r="L65" s="12" t="e">
        <f t="shared" si="2"/>
        <v>#VALUE!</v>
      </c>
    </row>
    <row r="66" spans="1:12" ht="24" customHeight="1" x14ac:dyDescent="0.25">
      <c r="A66" s="9">
        <v>43118</v>
      </c>
      <c r="B66" s="10" t="s">
        <v>454</v>
      </c>
      <c r="C66" s="17">
        <v>12906</v>
      </c>
      <c r="D66" s="11" t="e">
        <f>+VLOOKUP(B66,#REF!,6,FALSE)</f>
        <v>#REF!</v>
      </c>
      <c r="E66" s="10">
        <v>0.74980000000000002</v>
      </c>
      <c r="F66" s="10"/>
      <c r="G66" s="10"/>
      <c r="H66" s="10"/>
      <c r="I66" s="11" t="e">
        <f>+VLOOKUP(B66,#REF!,7,FALSE)</f>
        <v>#REF!</v>
      </c>
      <c r="J66" s="12" t="str">
        <f t="shared" si="0"/>
        <v/>
      </c>
      <c r="K66" s="12" t="str">
        <f t="shared" si="1"/>
        <v/>
      </c>
      <c r="L66" s="12" t="e">
        <f t="shared" si="2"/>
        <v>#VALUE!</v>
      </c>
    </row>
    <row r="67" spans="1:12" ht="24" customHeight="1" x14ac:dyDescent="0.25">
      <c r="A67" s="9">
        <v>43119</v>
      </c>
      <c r="B67" s="10" t="s">
        <v>80</v>
      </c>
      <c r="C67" s="17">
        <f>5264/16</f>
        <v>329</v>
      </c>
      <c r="D67" s="11" t="e">
        <f>+VLOOKUP(B67,#REF!,6,FALSE)</f>
        <v>#REF!</v>
      </c>
      <c r="E67" s="10">
        <v>6.9153000000000002</v>
      </c>
      <c r="F67" s="10"/>
      <c r="G67" s="10"/>
      <c r="H67" s="10"/>
      <c r="I67" s="11" t="e">
        <f>+VLOOKUP(B67,#REF!,7,FALSE)</f>
        <v>#REF!</v>
      </c>
      <c r="J67" s="12" t="str">
        <f t="shared" si="0"/>
        <v/>
      </c>
      <c r="K67" s="12" t="str">
        <f t="shared" si="1"/>
        <v/>
      </c>
      <c r="L67" s="12" t="e">
        <f t="shared" si="2"/>
        <v>#VALUE!</v>
      </c>
    </row>
    <row r="68" spans="1:12" ht="24" customHeight="1" x14ac:dyDescent="0.25">
      <c r="A68" s="9">
        <v>43119</v>
      </c>
      <c r="B68" s="10" t="s">
        <v>128</v>
      </c>
      <c r="C68" s="17">
        <v>50256</v>
      </c>
      <c r="D68" s="11" t="e">
        <f>+VLOOKUP(B68,#REF!,6,FALSE)</f>
        <v>#REF!</v>
      </c>
      <c r="E68" s="10">
        <f>17.2255/72</f>
        <v>0.23924305555555556</v>
      </c>
      <c r="F68" s="10"/>
      <c r="G68" s="10"/>
      <c r="H68" s="10"/>
      <c r="I68" s="11" t="e">
        <f>+VLOOKUP(B68,#REF!,7,FALSE)</f>
        <v>#REF!</v>
      </c>
      <c r="J68" s="12" t="str">
        <f t="shared" ref="J68:J131" si="3">IFERROR((I68-(D68+F68))/I68,"")</f>
        <v/>
      </c>
      <c r="K68" s="12" t="str">
        <f t="shared" ref="K68:K131" si="4">IF(E68="","",IFERROR((I68-(E68+G68+H68))/I68,""))</f>
        <v/>
      </c>
      <c r="L68" s="12" t="e">
        <f t="shared" ref="L68:L131" si="5">J68-K68</f>
        <v>#VALUE!</v>
      </c>
    </row>
    <row r="69" spans="1:12" ht="24" customHeight="1" x14ac:dyDescent="0.25">
      <c r="A69" s="9">
        <v>43119</v>
      </c>
      <c r="B69" s="10" t="s">
        <v>187</v>
      </c>
      <c r="C69" s="17">
        <v>9858</v>
      </c>
      <c r="D69" s="11" t="e">
        <f>+VLOOKUP(B69,#REF!,6,FALSE)/6</f>
        <v>#REF!</v>
      </c>
      <c r="E69" s="10">
        <v>0.67989999999999995</v>
      </c>
      <c r="F69" s="10"/>
      <c r="G69" s="10"/>
      <c r="H69" s="10"/>
      <c r="I69" s="11" t="e">
        <f>+VLOOKUP(B69,#REF!,7,FALSE)</f>
        <v>#REF!</v>
      </c>
      <c r="J69" s="12" t="str">
        <f t="shared" si="3"/>
        <v/>
      </c>
      <c r="K69" s="12" t="str">
        <f t="shared" si="4"/>
        <v/>
      </c>
      <c r="L69" s="12" t="e">
        <f t="shared" si="5"/>
        <v>#VALUE!</v>
      </c>
    </row>
    <row r="70" spans="1:12" ht="24" customHeight="1" x14ac:dyDescent="0.25">
      <c r="A70" s="9">
        <v>43119</v>
      </c>
      <c r="B70" s="10" t="s">
        <v>211</v>
      </c>
      <c r="C70" s="17">
        <v>14760</v>
      </c>
      <c r="D70" s="11" t="e">
        <f>+VLOOKUP(B70,#REF!,6,FALSE)/6</f>
        <v>#REF!</v>
      </c>
      <c r="E70" s="21">
        <f>8.209/6</f>
        <v>1.3681666666666665</v>
      </c>
      <c r="F70" s="10"/>
      <c r="G70" s="10"/>
      <c r="H70" s="10"/>
      <c r="I70" s="11" t="e">
        <f>+VLOOKUP(B70,#REF!,7,FALSE)</f>
        <v>#REF!</v>
      </c>
      <c r="J70" s="12" t="str">
        <f t="shared" si="3"/>
        <v/>
      </c>
      <c r="K70" s="12" t="str">
        <f t="shared" si="4"/>
        <v/>
      </c>
      <c r="L70" s="12" t="e">
        <f t="shared" si="5"/>
        <v>#VALUE!</v>
      </c>
    </row>
    <row r="71" spans="1:12" ht="24" customHeight="1" x14ac:dyDescent="0.25">
      <c r="A71" s="9">
        <v>43119</v>
      </c>
      <c r="B71" s="10" t="s">
        <v>456</v>
      </c>
      <c r="C71" s="17">
        <v>2568</v>
      </c>
      <c r="D71" s="11" t="e">
        <f>+VLOOKUP(B71,#REF!,6,FALSE)</f>
        <v>#REF!</v>
      </c>
      <c r="E71" s="10">
        <v>3.319</v>
      </c>
      <c r="F71" s="10"/>
      <c r="G71" s="10"/>
      <c r="H71" s="10"/>
      <c r="I71" s="11" t="e">
        <f>+VLOOKUP(B71,#REF!,7,FALSE)</f>
        <v>#REF!</v>
      </c>
      <c r="J71" s="12" t="str">
        <f t="shared" si="3"/>
        <v/>
      </c>
      <c r="K71" s="12" t="str">
        <f t="shared" si="4"/>
        <v/>
      </c>
      <c r="L71" s="12" t="e">
        <f t="shared" si="5"/>
        <v>#VALUE!</v>
      </c>
    </row>
    <row r="72" spans="1:12" ht="24" customHeight="1" x14ac:dyDescent="0.25">
      <c r="A72" s="9">
        <v>43122</v>
      </c>
      <c r="B72" s="10" t="s">
        <v>128</v>
      </c>
      <c r="C72" s="17">
        <v>50904</v>
      </c>
      <c r="D72" s="11" t="e">
        <f>+VLOOKUP(B72,#REF!,6,FALSE)</f>
        <v>#REF!</v>
      </c>
      <c r="E72" s="10">
        <f>17.8687/72</f>
        <v>0.2481763888888889</v>
      </c>
      <c r="F72" s="10"/>
      <c r="G72" s="10"/>
      <c r="H72" s="10"/>
      <c r="I72" s="11" t="e">
        <f>+VLOOKUP(B72,#REF!,7,FALSE)</f>
        <v>#REF!</v>
      </c>
      <c r="J72" s="12" t="str">
        <f t="shared" si="3"/>
        <v/>
      </c>
      <c r="K72" s="12" t="str">
        <f t="shared" si="4"/>
        <v/>
      </c>
      <c r="L72" s="12" t="e">
        <f t="shared" si="5"/>
        <v>#VALUE!</v>
      </c>
    </row>
    <row r="73" spans="1:12" ht="24" customHeight="1" x14ac:dyDescent="0.25">
      <c r="A73" s="9">
        <v>43122</v>
      </c>
      <c r="B73" s="10" t="s">
        <v>173</v>
      </c>
      <c r="C73" s="17">
        <f>8384/16</f>
        <v>524</v>
      </c>
      <c r="D73" s="11" t="e">
        <f>+VLOOKUP(B73,#REF!,6,FALSE)</f>
        <v>#REF!</v>
      </c>
      <c r="E73" s="10">
        <v>6.4730999999999996</v>
      </c>
      <c r="F73" s="10"/>
      <c r="G73" s="10"/>
      <c r="H73" s="10"/>
      <c r="I73" s="11" t="e">
        <f>+VLOOKUP(B73,#REF!,7,FALSE)</f>
        <v>#REF!</v>
      </c>
      <c r="J73" s="12" t="str">
        <f t="shared" si="3"/>
        <v/>
      </c>
      <c r="K73" s="12" t="str">
        <f t="shared" si="4"/>
        <v/>
      </c>
      <c r="L73" s="12" t="e">
        <f t="shared" si="5"/>
        <v>#VALUE!</v>
      </c>
    </row>
    <row r="74" spans="1:12" ht="24" customHeight="1" x14ac:dyDescent="0.25">
      <c r="A74" s="9">
        <v>43122</v>
      </c>
      <c r="B74" s="10" t="s">
        <v>180</v>
      </c>
      <c r="C74" s="17">
        <v>2792</v>
      </c>
      <c r="D74" s="11" t="e">
        <f>+VLOOKUP(B74,#REF!,6,FALSE)/8</f>
        <v>#REF!</v>
      </c>
      <c r="E74" s="10">
        <v>1.3017000000000001</v>
      </c>
      <c r="F74" s="10"/>
      <c r="G74" s="10"/>
      <c r="H74" s="10"/>
      <c r="I74" s="11" t="e">
        <f>+VLOOKUP(B74,#REF!,7,FALSE)</f>
        <v>#REF!</v>
      </c>
      <c r="J74" s="12" t="str">
        <f t="shared" si="3"/>
        <v/>
      </c>
      <c r="K74" s="12" t="str">
        <f t="shared" si="4"/>
        <v/>
      </c>
      <c r="L74" s="12" t="e">
        <f t="shared" si="5"/>
        <v>#VALUE!</v>
      </c>
    </row>
    <row r="75" spans="1:12" ht="24" customHeight="1" x14ac:dyDescent="0.25">
      <c r="A75" s="15">
        <v>43122</v>
      </c>
      <c r="B75" s="10" t="s">
        <v>196</v>
      </c>
      <c r="C75" s="17">
        <v>15576</v>
      </c>
      <c r="D75" s="11" t="e">
        <f>+VLOOKUP(B75,#REF!,6,FALSE)/6</f>
        <v>#REF!</v>
      </c>
      <c r="E75" s="10">
        <v>1.3136000000000001</v>
      </c>
      <c r="F75" s="10"/>
      <c r="G75" s="10"/>
      <c r="H75" s="10"/>
      <c r="I75" s="11" t="e">
        <f>+VLOOKUP(B75,#REF!,7,FALSE)</f>
        <v>#REF!</v>
      </c>
      <c r="J75" s="12" t="str">
        <f t="shared" si="3"/>
        <v/>
      </c>
      <c r="K75" s="12" t="str">
        <f t="shared" si="4"/>
        <v/>
      </c>
      <c r="L75" s="12" t="e">
        <f t="shared" si="5"/>
        <v>#VALUE!</v>
      </c>
    </row>
    <row r="76" spans="1:12" ht="24" customHeight="1" x14ac:dyDescent="0.25">
      <c r="A76" s="15">
        <v>43122</v>
      </c>
      <c r="B76" s="10" t="s">
        <v>457</v>
      </c>
      <c r="C76" s="17">
        <v>2808</v>
      </c>
      <c r="D76" s="11" t="e">
        <f>+VLOOKUP(B76,#REF!,6,FALSE)</f>
        <v>#REF!</v>
      </c>
      <c r="E76" s="10">
        <v>3.3803000000000001</v>
      </c>
      <c r="F76" s="10"/>
      <c r="G76" s="10"/>
      <c r="H76" s="10"/>
      <c r="I76" s="11" t="e">
        <f>+VLOOKUP(B76,#REF!,7,FALSE)</f>
        <v>#REF!</v>
      </c>
      <c r="J76" s="12" t="str">
        <f t="shared" si="3"/>
        <v/>
      </c>
      <c r="K76" s="12" t="str">
        <f t="shared" si="4"/>
        <v/>
      </c>
      <c r="L76" s="12" t="e">
        <f t="shared" si="5"/>
        <v>#VALUE!</v>
      </c>
    </row>
    <row r="77" spans="1:12" ht="24" customHeight="1" x14ac:dyDescent="0.25">
      <c r="A77" s="15">
        <v>43123</v>
      </c>
      <c r="B77" s="10" t="s">
        <v>35</v>
      </c>
      <c r="C77" s="17">
        <v>1016</v>
      </c>
      <c r="D77" s="11" t="e">
        <f>+VLOOKUP(B77,#REF!,6,FALSE)/8</f>
        <v>#REF!</v>
      </c>
      <c r="E77" s="10">
        <v>1.052</v>
      </c>
      <c r="F77" s="10"/>
      <c r="G77" s="10"/>
      <c r="H77" s="10"/>
      <c r="I77" s="11" t="e">
        <f>+VLOOKUP(B77,#REF!,7,FALSE)</f>
        <v>#REF!</v>
      </c>
      <c r="J77" s="12" t="str">
        <f t="shared" si="3"/>
        <v/>
      </c>
      <c r="K77" s="12" t="str">
        <f t="shared" si="4"/>
        <v/>
      </c>
      <c r="L77" s="12" t="e">
        <f t="shared" si="5"/>
        <v>#VALUE!</v>
      </c>
    </row>
    <row r="78" spans="1:12" ht="24" customHeight="1" x14ac:dyDescent="0.25">
      <c r="A78" s="15">
        <v>43123</v>
      </c>
      <c r="B78" s="10" t="s">
        <v>43</v>
      </c>
      <c r="C78" s="17">
        <v>832</v>
      </c>
      <c r="D78" s="11" t="e">
        <f>+VLOOKUP(B78,#REF!,6,FALSE)/16</f>
        <v>#REF!</v>
      </c>
      <c r="E78" s="10">
        <f>9.884/16</f>
        <v>0.61775000000000002</v>
      </c>
      <c r="F78" s="10"/>
      <c r="G78" s="10"/>
      <c r="H78" s="10"/>
      <c r="I78" s="11" t="e">
        <f>+VLOOKUP(B78,#REF!,7,FALSE)</f>
        <v>#REF!</v>
      </c>
      <c r="J78" s="12" t="str">
        <f t="shared" si="3"/>
        <v/>
      </c>
      <c r="K78" s="12" t="str">
        <f t="shared" si="4"/>
        <v/>
      </c>
      <c r="L78" s="12" t="e">
        <f t="shared" si="5"/>
        <v>#VALUE!</v>
      </c>
    </row>
    <row r="79" spans="1:12" ht="24" customHeight="1" x14ac:dyDescent="0.25">
      <c r="A79" s="15">
        <v>43123</v>
      </c>
      <c r="B79" s="10" t="s">
        <v>67</v>
      </c>
      <c r="C79" s="17">
        <v>560</v>
      </c>
      <c r="D79" s="11" t="e">
        <f>+VLOOKUP(B79,#REF!,6,FALSE)</f>
        <v>#REF!</v>
      </c>
      <c r="E79" s="10">
        <v>0.82389999999999997</v>
      </c>
      <c r="F79" s="10"/>
      <c r="G79" s="10"/>
      <c r="H79" s="10"/>
      <c r="I79" s="11" t="e">
        <f>+VLOOKUP(B79,#REF!,7,FALSE)</f>
        <v>#REF!</v>
      </c>
      <c r="J79" s="12" t="str">
        <f t="shared" si="3"/>
        <v/>
      </c>
      <c r="K79" s="12" t="str">
        <f t="shared" si="4"/>
        <v/>
      </c>
      <c r="L79" s="12" t="e">
        <f t="shared" si="5"/>
        <v>#VALUE!</v>
      </c>
    </row>
    <row r="80" spans="1:12" ht="24" customHeight="1" x14ac:dyDescent="0.25">
      <c r="A80" s="15">
        <v>43123</v>
      </c>
      <c r="B80" s="10" t="s">
        <v>93</v>
      </c>
      <c r="C80" s="17">
        <v>706</v>
      </c>
      <c r="D80" s="11" t="e">
        <f>+VLOOKUP(B80,#REF!,6,FALSE)</f>
        <v>#REF!</v>
      </c>
      <c r="E80" s="10">
        <v>17.831700000000001</v>
      </c>
      <c r="F80" s="10"/>
      <c r="G80" s="10"/>
      <c r="H80" s="10"/>
      <c r="I80" s="11" t="e">
        <f>+VLOOKUP(B80,#REF!,7,FALSE)</f>
        <v>#REF!</v>
      </c>
      <c r="J80" s="12" t="str">
        <f t="shared" si="3"/>
        <v/>
      </c>
      <c r="K80" s="12" t="str">
        <f t="shared" si="4"/>
        <v/>
      </c>
      <c r="L80" s="12" t="e">
        <f t="shared" si="5"/>
        <v>#VALUE!</v>
      </c>
    </row>
    <row r="81" spans="1:12" ht="24" customHeight="1" x14ac:dyDescent="0.25">
      <c r="A81" s="15">
        <v>43123</v>
      </c>
      <c r="B81" s="10" t="s">
        <v>124</v>
      </c>
      <c r="C81" s="27">
        <v>810</v>
      </c>
      <c r="D81" s="11" t="e">
        <f>+VLOOKUP(B81,#REF!,6,FALSE)/6</f>
        <v>#REF!</v>
      </c>
      <c r="E81" s="10">
        <v>1.1916</v>
      </c>
      <c r="F81" s="10"/>
      <c r="G81" s="10"/>
      <c r="H81" s="10"/>
      <c r="I81" s="11" t="e">
        <f>+VLOOKUP(B81,#REF!,7,FALSE)</f>
        <v>#REF!</v>
      </c>
      <c r="J81" s="12" t="str">
        <f t="shared" si="3"/>
        <v/>
      </c>
      <c r="K81" s="12" t="str">
        <f t="shared" si="4"/>
        <v/>
      </c>
      <c r="L81" s="12" t="e">
        <f t="shared" si="5"/>
        <v>#VALUE!</v>
      </c>
    </row>
    <row r="82" spans="1:12" ht="24" customHeight="1" x14ac:dyDescent="0.25">
      <c r="A82" s="15">
        <v>43123</v>
      </c>
      <c r="B82" s="10" t="s">
        <v>125</v>
      </c>
      <c r="C82" s="27">
        <v>1488</v>
      </c>
      <c r="D82" s="11" t="e">
        <f>+VLOOKUP(B82,#REF!,6,FALSE)</f>
        <v>#REF!</v>
      </c>
      <c r="E82" s="10">
        <v>1.6908000000000001</v>
      </c>
      <c r="F82" s="10"/>
      <c r="G82" s="10"/>
      <c r="H82" s="10"/>
      <c r="I82" s="11" t="e">
        <f>+VLOOKUP(B82,#REF!,7,FALSE)</f>
        <v>#REF!</v>
      </c>
      <c r="J82" s="12" t="str">
        <f t="shared" si="3"/>
        <v/>
      </c>
      <c r="K82" s="12" t="str">
        <f t="shared" si="4"/>
        <v/>
      </c>
      <c r="L82" s="12" t="e">
        <f t="shared" si="5"/>
        <v>#VALUE!</v>
      </c>
    </row>
    <row r="83" spans="1:12" ht="24" customHeight="1" x14ac:dyDescent="0.25">
      <c r="A83" s="15">
        <v>43123</v>
      </c>
      <c r="B83" s="10" t="s">
        <v>126</v>
      </c>
      <c r="C83" s="27">
        <v>54</v>
      </c>
      <c r="D83" s="11" t="e">
        <f>+VLOOKUP(B83,#REF!,6,FALSE)</f>
        <v>#REF!</v>
      </c>
      <c r="E83" s="21">
        <v>2.3881999999999999</v>
      </c>
      <c r="F83" s="10"/>
      <c r="G83" s="10"/>
      <c r="H83" s="10"/>
      <c r="I83" s="11" t="e">
        <f>+VLOOKUP(B83,#REF!,7,FALSE)</f>
        <v>#REF!</v>
      </c>
      <c r="J83" s="12" t="str">
        <f t="shared" si="3"/>
        <v/>
      </c>
      <c r="K83" s="12" t="str">
        <f t="shared" si="4"/>
        <v/>
      </c>
      <c r="L83" s="12" t="e">
        <f t="shared" si="5"/>
        <v>#VALUE!</v>
      </c>
    </row>
    <row r="84" spans="1:12" ht="24" customHeight="1" x14ac:dyDescent="0.25">
      <c r="A84" s="15">
        <v>43123</v>
      </c>
      <c r="B84" s="10" t="s">
        <v>127</v>
      </c>
      <c r="C84" s="27">
        <v>1824</v>
      </c>
      <c r="D84" s="11" t="e">
        <f>+VLOOKUP(B84,#REF!,6,FALSE)/12</f>
        <v>#REF!</v>
      </c>
      <c r="E84" s="21">
        <v>0.84240000000000004</v>
      </c>
      <c r="F84" s="10"/>
      <c r="G84" s="10"/>
      <c r="H84" s="10"/>
      <c r="I84" s="11" t="e">
        <f>+VLOOKUP(B84,#REF!,7,FALSE)</f>
        <v>#REF!</v>
      </c>
      <c r="J84" s="12" t="str">
        <f t="shared" si="3"/>
        <v/>
      </c>
      <c r="K84" s="12" t="str">
        <f t="shared" si="4"/>
        <v/>
      </c>
      <c r="L84" s="12" t="e">
        <f t="shared" si="5"/>
        <v>#VALUE!</v>
      </c>
    </row>
    <row r="85" spans="1:12" ht="24" customHeight="1" x14ac:dyDescent="0.25">
      <c r="A85" s="15">
        <v>43123</v>
      </c>
      <c r="B85" s="10" t="s">
        <v>143</v>
      </c>
      <c r="C85" s="27">
        <v>2214</v>
      </c>
      <c r="D85" s="11" t="e">
        <f>+VLOOKUP(B85,#REF!,6,FALSE)</f>
        <v>#REF!</v>
      </c>
      <c r="E85" s="10">
        <v>2.1208999999999998</v>
      </c>
      <c r="F85" s="10"/>
      <c r="G85" s="10"/>
      <c r="H85" s="10"/>
      <c r="I85" s="11" t="e">
        <f>+VLOOKUP(B85,#REF!,7,FALSE)</f>
        <v>#REF!</v>
      </c>
      <c r="J85" s="12" t="str">
        <f t="shared" si="3"/>
        <v/>
      </c>
      <c r="K85" s="12" t="str">
        <f t="shared" si="4"/>
        <v/>
      </c>
      <c r="L85" s="12" t="e">
        <f t="shared" si="5"/>
        <v>#VALUE!</v>
      </c>
    </row>
    <row r="86" spans="1:12" ht="24" customHeight="1" x14ac:dyDescent="0.25">
      <c r="A86" s="15">
        <v>43123</v>
      </c>
      <c r="B86" s="10" t="s">
        <v>180</v>
      </c>
      <c r="C86" s="27">
        <v>752</v>
      </c>
      <c r="D86" s="11" t="e">
        <f>+VLOOKUP(B86,#REF!,6,FALSE)/8</f>
        <v>#REF!</v>
      </c>
      <c r="E86" s="10">
        <v>0.85719999999999996</v>
      </c>
      <c r="F86" s="10"/>
      <c r="G86" s="10"/>
      <c r="H86" s="10"/>
      <c r="I86" s="11" t="e">
        <f>+VLOOKUP(B86,#REF!,7,FALSE)</f>
        <v>#REF!</v>
      </c>
      <c r="J86" s="12" t="str">
        <f t="shared" si="3"/>
        <v/>
      </c>
      <c r="K86" s="12" t="str">
        <f t="shared" si="4"/>
        <v/>
      </c>
      <c r="L86" s="12" t="e">
        <f t="shared" si="5"/>
        <v>#VALUE!</v>
      </c>
    </row>
    <row r="87" spans="1:12" ht="24" customHeight="1" x14ac:dyDescent="0.25">
      <c r="A87" s="15">
        <v>43123</v>
      </c>
      <c r="B87" s="10" t="s">
        <v>185</v>
      </c>
      <c r="C87" s="27">
        <v>240</v>
      </c>
      <c r="D87" s="11" t="e">
        <f>+VLOOKUP(B87,#REF!,6,FALSE)/6</f>
        <v>#REF!</v>
      </c>
      <c r="E87" s="10">
        <v>0.6996</v>
      </c>
      <c r="F87" s="10"/>
      <c r="G87" s="10"/>
      <c r="H87" s="10"/>
      <c r="I87" s="11" t="e">
        <f>+VLOOKUP(B87,#REF!,7,FALSE)</f>
        <v>#REF!</v>
      </c>
      <c r="J87" s="12" t="str">
        <f t="shared" si="3"/>
        <v/>
      </c>
      <c r="K87" s="12" t="str">
        <f t="shared" si="4"/>
        <v/>
      </c>
      <c r="L87" s="12" t="e">
        <f t="shared" si="5"/>
        <v>#VALUE!</v>
      </c>
    </row>
    <row r="88" spans="1:12" ht="24" customHeight="1" x14ac:dyDescent="0.25">
      <c r="A88" s="15">
        <v>43123</v>
      </c>
      <c r="B88" s="10" t="s">
        <v>196</v>
      </c>
      <c r="C88" s="27">
        <v>7332</v>
      </c>
      <c r="D88" s="11" t="e">
        <f>+VLOOKUP(B88,#REF!,6,FALSE)/6</f>
        <v>#REF!</v>
      </c>
      <c r="E88" s="10">
        <v>1.3088</v>
      </c>
      <c r="F88" s="10"/>
      <c r="G88" s="10"/>
      <c r="H88" s="10"/>
      <c r="I88" s="11" t="e">
        <f>+VLOOKUP(B88,#REF!,7,FALSE)</f>
        <v>#REF!</v>
      </c>
      <c r="J88" s="12" t="str">
        <f t="shared" si="3"/>
        <v/>
      </c>
      <c r="K88" s="12" t="str">
        <f t="shared" si="4"/>
        <v/>
      </c>
      <c r="L88" s="12" t="e">
        <f t="shared" si="5"/>
        <v>#VALUE!</v>
      </c>
    </row>
    <row r="89" spans="1:12" ht="24" customHeight="1" x14ac:dyDescent="0.25">
      <c r="A89" s="15">
        <v>43123</v>
      </c>
      <c r="B89" s="10" t="s">
        <v>207</v>
      </c>
      <c r="C89" s="27">
        <v>3488</v>
      </c>
      <c r="D89" s="11" t="e">
        <f>+VLOOKUP(B89,#REF!,6,FALSE)/8</f>
        <v>#REF!</v>
      </c>
      <c r="E89" s="10">
        <v>0.92330000000000001</v>
      </c>
      <c r="F89" s="10"/>
      <c r="G89" s="10"/>
      <c r="H89" s="10"/>
      <c r="I89" s="11" t="e">
        <f>+VLOOKUP(B89,#REF!,7,FALSE)</f>
        <v>#REF!</v>
      </c>
      <c r="J89" s="12" t="str">
        <f t="shared" si="3"/>
        <v/>
      </c>
      <c r="K89" s="12" t="str">
        <f t="shared" si="4"/>
        <v/>
      </c>
      <c r="L89" s="12" t="e">
        <f t="shared" si="5"/>
        <v>#VALUE!</v>
      </c>
    </row>
    <row r="90" spans="1:12" ht="24" customHeight="1" x14ac:dyDescent="0.25">
      <c r="A90" s="15">
        <v>43123</v>
      </c>
      <c r="B90" s="10" t="s">
        <v>208</v>
      </c>
      <c r="C90" s="27">
        <v>7152</v>
      </c>
      <c r="D90" s="11" t="e">
        <f>+VLOOKUP(B90,#REF!,6,FALSE)/6</f>
        <v>#REF!</v>
      </c>
      <c r="E90" s="10">
        <v>1.7366999999999999</v>
      </c>
      <c r="F90" s="10"/>
      <c r="G90" s="10"/>
      <c r="H90" s="10"/>
      <c r="I90" s="11" t="e">
        <f>+VLOOKUP(B90,#REF!,7,FALSE)</f>
        <v>#REF!</v>
      </c>
      <c r="J90" s="12" t="str">
        <f t="shared" si="3"/>
        <v/>
      </c>
      <c r="K90" s="12" t="str">
        <f t="shared" si="4"/>
        <v/>
      </c>
      <c r="L90" s="12" t="e">
        <f t="shared" si="5"/>
        <v>#VALUE!</v>
      </c>
    </row>
    <row r="91" spans="1:12" ht="24" customHeight="1" x14ac:dyDescent="0.25">
      <c r="A91" s="15">
        <v>43123</v>
      </c>
      <c r="B91" s="10" t="s">
        <v>211</v>
      </c>
      <c r="C91" s="27">
        <v>606</v>
      </c>
      <c r="D91" s="11" t="e">
        <f>+VLOOKUP(B91,#REF!,6,FALSE)/6</f>
        <v>#REF!</v>
      </c>
      <c r="E91" s="10">
        <v>1.3544</v>
      </c>
      <c r="F91" s="10"/>
      <c r="G91" s="10"/>
      <c r="H91" s="10"/>
      <c r="I91" s="11" t="e">
        <f>+VLOOKUP(B91,#REF!,7,FALSE)</f>
        <v>#REF!</v>
      </c>
      <c r="J91" s="12" t="str">
        <f t="shared" si="3"/>
        <v/>
      </c>
      <c r="K91" s="12" t="str">
        <f t="shared" si="4"/>
        <v/>
      </c>
      <c r="L91" s="12" t="e">
        <f t="shared" si="5"/>
        <v>#VALUE!</v>
      </c>
    </row>
    <row r="92" spans="1:12" ht="24" customHeight="1" x14ac:dyDescent="0.25">
      <c r="A92" s="15">
        <v>43123</v>
      </c>
      <c r="B92" s="10" t="s">
        <v>457</v>
      </c>
      <c r="C92" s="27">
        <v>852</v>
      </c>
      <c r="D92" s="11" t="e">
        <f>+VLOOKUP(B92,#REF!,6,FALSE)</f>
        <v>#REF!</v>
      </c>
      <c r="E92" s="10">
        <f>21.66/6</f>
        <v>3.61</v>
      </c>
      <c r="F92" s="10"/>
      <c r="G92" s="10"/>
      <c r="H92" s="10"/>
      <c r="I92" s="11" t="e">
        <f>+VLOOKUP(B92,#REF!,7,FALSE)</f>
        <v>#REF!</v>
      </c>
      <c r="J92" s="12" t="str">
        <f t="shared" si="3"/>
        <v/>
      </c>
      <c r="K92" s="12" t="str">
        <f t="shared" si="4"/>
        <v/>
      </c>
      <c r="L92" s="12" t="e">
        <f t="shared" si="5"/>
        <v>#VALUE!</v>
      </c>
    </row>
    <row r="93" spans="1:12" ht="24" customHeight="1" x14ac:dyDescent="0.25">
      <c r="A93" s="15">
        <v>43123</v>
      </c>
      <c r="B93" s="10" t="s">
        <v>456</v>
      </c>
      <c r="C93" s="27">
        <v>1422</v>
      </c>
      <c r="D93" s="11" t="e">
        <f>+VLOOKUP(B93,#REF!,6,FALSE)</f>
        <v>#REF!</v>
      </c>
      <c r="E93" s="10">
        <f>22.9511/6</f>
        <v>3.8251833333333334</v>
      </c>
      <c r="F93" s="10"/>
      <c r="G93" s="10"/>
      <c r="H93" s="10"/>
      <c r="I93" s="11" t="e">
        <f>+VLOOKUP(B93,#REF!,7,FALSE)</f>
        <v>#REF!</v>
      </c>
      <c r="J93" s="12" t="str">
        <f t="shared" si="3"/>
        <v/>
      </c>
      <c r="K93" s="12" t="str">
        <f t="shared" si="4"/>
        <v/>
      </c>
      <c r="L93" s="12" t="e">
        <f t="shared" si="5"/>
        <v>#VALUE!</v>
      </c>
    </row>
    <row r="94" spans="1:12" ht="24" customHeight="1" x14ac:dyDescent="0.25">
      <c r="A94" s="15">
        <v>43123</v>
      </c>
      <c r="B94" s="10" t="s">
        <v>455</v>
      </c>
      <c r="C94" s="27">
        <v>2022</v>
      </c>
      <c r="D94" s="11" t="e">
        <f>+VLOOKUP(B94,#REF!,6,FALSE)</f>
        <v>#REF!</v>
      </c>
      <c r="E94" s="10">
        <v>0.88939999999999997</v>
      </c>
      <c r="F94" s="10"/>
      <c r="G94" s="10"/>
      <c r="H94" s="10"/>
      <c r="I94" s="11" t="e">
        <f>+VLOOKUP(B94,#REF!,7,FALSE)</f>
        <v>#REF!</v>
      </c>
      <c r="J94" s="12" t="str">
        <f t="shared" si="3"/>
        <v/>
      </c>
      <c r="K94" s="12" t="str">
        <f t="shared" si="4"/>
        <v/>
      </c>
      <c r="L94" s="12" t="e">
        <f t="shared" si="5"/>
        <v>#VALUE!</v>
      </c>
    </row>
    <row r="95" spans="1:12" ht="24" customHeight="1" x14ac:dyDescent="0.25">
      <c r="A95" s="15">
        <v>43124</v>
      </c>
      <c r="B95" s="10" t="s">
        <v>93</v>
      </c>
      <c r="C95" s="27">
        <v>1575</v>
      </c>
      <c r="D95" s="11" t="e">
        <f>+VLOOKUP(B95,#REF!,6,FALSE)</f>
        <v>#REF!</v>
      </c>
      <c r="E95" s="10">
        <v>18.264399999999998</v>
      </c>
      <c r="F95" s="10"/>
      <c r="G95" s="10"/>
      <c r="H95" s="10"/>
      <c r="I95" s="11" t="e">
        <f>+VLOOKUP(B95,#REF!,7,FALSE)</f>
        <v>#REF!</v>
      </c>
      <c r="J95" s="12" t="str">
        <f t="shared" si="3"/>
        <v/>
      </c>
      <c r="K95" s="12" t="str">
        <f t="shared" si="4"/>
        <v/>
      </c>
      <c r="L95" s="12" t="e">
        <f t="shared" si="5"/>
        <v>#VALUE!</v>
      </c>
    </row>
    <row r="96" spans="1:12" ht="24" customHeight="1" x14ac:dyDescent="0.25">
      <c r="A96" s="15">
        <v>43124</v>
      </c>
      <c r="B96" s="10" t="s">
        <v>103</v>
      </c>
      <c r="C96" s="27">
        <v>2382</v>
      </c>
      <c r="D96" s="11" t="e">
        <f>+VLOOKUP(B96,#REF!,6,FALSE)/6</f>
        <v>#REF!</v>
      </c>
      <c r="E96" s="10">
        <v>1.8097000000000001</v>
      </c>
      <c r="F96" s="10"/>
      <c r="G96" s="10"/>
      <c r="H96" s="10"/>
      <c r="I96" s="11" t="e">
        <f>+VLOOKUP(B96,#REF!,7,FALSE)</f>
        <v>#REF!</v>
      </c>
      <c r="J96" s="12" t="str">
        <f t="shared" si="3"/>
        <v/>
      </c>
      <c r="K96" s="12" t="str">
        <f t="shared" si="4"/>
        <v/>
      </c>
      <c r="L96" s="12" t="e">
        <f t="shared" si="5"/>
        <v>#VALUE!</v>
      </c>
    </row>
    <row r="97" spans="1:12" ht="24" customHeight="1" x14ac:dyDescent="0.25">
      <c r="A97" s="15">
        <v>43124</v>
      </c>
      <c r="B97" s="10" t="s">
        <v>117</v>
      </c>
      <c r="C97" s="27">
        <v>22536</v>
      </c>
      <c r="D97" s="11" t="e">
        <f>+VLOOKUP(B97,#REF!,6,FALSE)</f>
        <v>#REF!</v>
      </c>
      <c r="E97" s="10">
        <f>12*0.271</f>
        <v>3.2520000000000002</v>
      </c>
      <c r="F97" s="10"/>
      <c r="G97" s="10"/>
      <c r="H97" s="10"/>
      <c r="I97" s="11" t="e">
        <f>+VLOOKUP(B97,#REF!,7,FALSE)</f>
        <v>#REF!</v>
      </c>
      <c r="J97" s="12" t="str">
        <f t="shared" si="3"/>
        <v/>
      </c>
      <c r="K97" s="12" t="str">
        <f t="shared" si="4"/>
        <v/>
      </c>
      <c r="L97" s="12" t="e">
        <f t="shared" si="5"/>
        <v>#VALUE!</v>
      </c>
    </row>
    <row r="98" spans="1:12" ht="24" customHeight="1" x14ac:dyDescent="0.25">
      <c r="A98" s="15">
        <v>43124</v>
      </c>
      <c r="B98" s="10" t="s">
        <v>128</v>
      </c>
      <c r="C98" s="27">
        <v>4464</v>
      </c>
      <c r="D98" s="11" t="e">
        <f>+VLOOKUP(B98,#REF!,6,FALSE)</f>
        <v>#REF!</v>
      </c>
      <c r="E98" s="10">
        <f>16.299/72</f>
        <v>0.22637499999999999</v>
      </c>
      <c r="F98" s="10"/>
      <c r="G98" s="10"/>
      <c r="H98" s="10"/>
      <c r="I98" s="11" t="e">
        <f>+VLOOKUP(B98,#REF!,7,FALSE)</f>
        <v>#REF!</v>
      </c>
      <c r="J98" s="12" t="str">
        <f t="shared" si="3"/>
        <v/>
      </c>
      <c r="K98" s="12" t="str">
        <f t="shared" si="4"/>
        <v/>
      </c>
      <c r="L98" s="12" t="e">
        <f t="shared" si="5"/>
        <v>#VALUE!</v>
      </c>
    </row>
    <row r="99" spans="1:12" ht="24" customHeight="1" x14ac:dyDescent="0.25">
      <c r="A99" s="15">
        <v>43124</v>
      </c>
      <c r="B99" s="10" t="s">
        <v>136</v>
      </c>
      <c r="C99" s="27">
        <v>3264</v>
      </c>
      <c r="D99" s="11" t="e">
        <f>+VLOOKUP(B99,#REF!,6,FALSE)</f>
        <v>#REF!</v>
      </c>
      <c r="E99" s="10">
        <f>11.5562/6</f>
        <v>1.9260333333333335</v>
      </c>
      <c r="F99" s="10"/>
      <c r="G99" s="10"/>
      <c r="H99" s="10"/>
      <c r="I99" s="11" t="e">
        <f>+VLOOKUP(B99,#REF!,7,FALSE)</f>
        <v>#REF!</v>
      </c>
      <c r="J99" s="12" t="str">
        <f t="shared" si="3"/>
        <v/>
      </c>
      <c r="K99" s="12" t="str">
        <f t="shared" si="4"/>
        <v/>
      </c>
      <c r="L99" s="12" t="e">
        <f t="shared" si="5"/>
        <v>#VALUE!</v>
      </c>
    </row>
    <row r="100" spans="1:12" ht="24" customHeight="1" x14ac:dyDescent="0.25">
      <c r="A100" s="15">
        <v>43124</v>
      </c>
      <c r="B100" s="10" t="s">
        <v>177</v>
      </c>
      <c r="C100" s="27">
        <v>11568</v>
      </c>
      <c r="D100" s="11" t="e">
        <f>+VLOOKUP(B100,#REF!,6,FALSE)/6</f>
        <v>#REF!</v>
      </c>
      <c r="E100" s="10">
        <f>5.9993/6</f>
        <v>0.99988333333333335</v>
      </c>
      <c r="F100" s="10"/>
      <c r="G100" s="10"/>
      <c r="H100" s="10"/>
      <c r="I100" s="11" t="e">
        <f>+VLOOKUP(B100,#REF!,7,FALSE)</f>
        <v>#REF!</v>
      </c>
      <c r="J100" s="12" t="str">
        <f t="shared" si="3"/>
        <v/>
      </c>
      <c r="K100" s="12" t="str">
        <f t="shared" si="4"/>
        <v/>
      </c>
      <c r="L100" s="12" t="e">
        <f t="shared" si="5"/>
        <v>#VALUE!</v>
      </c>
    </row>
    <row r="101" spans="1:12" ht="24" customHeight="1" x14ac:dyDescent="0.25">
      <c r="A101" s="15">
        <v>43124</v>
      </c>
      <c r="B101" s="10" t="s">
        <v>214</v>
      </c>
      <c r="C101" s="27">
        <v>10164</v>
      </c>
      <c r="D101" s="11" t="e">
        <f>+VLOOKUP(B101,#REF!,6,FALSE)/12</f>
        <v>#REF!</v>
      </c>
      <c r="E101" s="21">
        <f>8.1718/12</f>
        <v>0.68098333333333327</v>
      </c>
      <c r="F101" s="10"/>
      <c r="G101" s="10"/>
      <c r="H101" s="10"/>
      <c r="I101" s="11" t="e">
        <f>+VLOOKUP(B101,#REF!,7,FALSE)</f>
        <v>#REF!</v>
      </c>
      <c r="J101" s="12" t="str">
        <f t="shared" si="3"/>
        <v/>
      </c>
      <c r="K101" s="12" t="str">
        <f t="shared" si="4"/>
        <v/>
      </c>
      <c r="L101" s="12" t="e">
        <f t="shared" si="5"/>
        <v>#VALUE!</v>
      </c>
    </row>
    <row r="102" spans="1:12" ht="24" customHeight="1" x14ac:dyDescent="0.25">
      <c r="A102" s="15">
        <v>43125</v>
      </c>
      <c r="B102" s="10" t="s">
        <v>42</v>
      </c>
      <c r="C102" s="27">
        <v>100</v>
      </c>
      <c r="D102" s="11" t="e">
        <f>+VLOOKUP(B102,#REF!,6,FALSE)</f>
        <v>#REF!</v>
      </c>
      <c r="E102" s="21">
        <v>7.3666999999999998</v>
      </c>
      <c r="F102" s="10"/>
      <c r="G102" s="10"/>
      <c r="H102" s="10"/>
      <c r="I102" s="11" t="e">
        <f>+VLOOKUP(B102,#REF!,7,FALSE)</f>
        <v>#REF!</v>
      </c>
      <c r="J102" s="12" t="str">
        <f t="shared" si="3"/>
        <v/>
      </c>
      <c r="K102" s="12" t="str">
        <f t="shared" si="4"/>
        <v/>
      </c>
      <c r="L102" s="12" t="e">
        <f t="shared" si="5"/>
        <v>#VALUE!</v>
      </c>
    </row>
    <row r="103" spans="1:12" ht="24" customHeight="1" x14ac:dyDescent="0.25">
      <c r="A103" s="15">
        <v>43125</v>
      </c>
      <c r="B103" s="10" t="s">
        <v>103</v>
      </c>
      <c r="C103" s="27">
        <v>6612</v>
      </c>
      <c r="D103" s="11" t="e">
        <f>+VLOOKUP(B103,#REF!,6,FALSE)/6</f>
        <v>#REF!</v>
      </c>
      <c r="E103" s="10">
        <v>1.6812</v>
      </c>
      <c r="F103" s="10"/>
      <c r="G103" s="10"/>
      <c r="H103" s="10"/>
      <c r="I103" s="11" t="e">
        <f>+VLOOKUP(B103,#REF!,7,FALSE)</f>
        <v>#REF!</v>
      </c>
      <c r="J103" s="12" t="str">
        <f t="shared" si="3"/>
        <v/>
      </c>
      <c r="K103" s="12" t="str">
        <f t="shared" si="4"/>
        <v/>
      </c>
      <c r="L103" s="12" t="e">
        <f t="shared" si="5"/>
        <v>#VALUE!</v>
      </c>
    </row>
    <row r="104" spans="1:12" ht="24" customHeight="1" x14ac:dyDescent="0.25">
      <c r="A104" s="15">
        <v>43125</v>
      </c>
      <c r="B104" s="10" t="s">
        <v>197</v>
      </c>
      <c r="C104" s="27">
        <f>288+2316</f>
        <v>2604</v>
      </c>
      <c r="D104" s="11" t="e">
        <f>+VLOOKUP(B104,#REF!,6,FALSE)/6</f>
        <v>#REF!</v>
      </c>
      <c r="E104" s="10">
        <v>1.5958000000000001</v>
      </c>
      <c r="F104" s="10"/>
      <c r="G104" s="10"/>
      <c r="H104" s="10"/>
      <c r="I104" s="11" t="e">
        <f>+VLOOKUP(B104,#REF!,7,FALSE)</f>
        <v>#REF!</v>
      </c>
      <c r="J104" s="12" t="str">
        <f t="shared" si="3"/>
        <v/>
      </c>
      <c r="K104" s="12" t="str">
        <f t="shared" si="4"/>
        <v/>
      </c>
      <c r="L104" s="12" t="e">
        <f t="shared" si="5"/>
        <v>#VALUE!</v>
      </c>
    </row>
    <row r="105" spans="1:12" ht="24" customHeight="1" x14ac:dyDescent="0.25">
      <c r="A105" s="9">
        <v>43125</v>
      </c>
      <c r="B105" s="10" t="s">
        <v>207</v>
      </c>
      <c r="C105" s="17">
        <v>8368</v>
      </c>
      <c r="D105" s="11" t="e">
        <f>+VLOOKUP(B105,#REF!,6,FALSE)/8</f>
        <v>#REF!</v>
      </c>
      <c r="E105" s="10">
        <v>0.92600000000000005</v>
      </c>
      <c r="F105" s="10"/>
      <c r="G105" s="10"/>
      <c r="H105" s="10"/>
      <c r="I105" s="11" t="e">
        <f>+VLOOKUP(B105,#REF!,7,FALSE)</f>
        <v>#REF!</v>
      </c>
      <c r="J105" s="12" t="str">
        <f t="shared" si="3"/>
        <v/>
      </c>
      <c r="K105" s="12" t="str">
        <f t="shared" si="4"/>
        <v/>
      </c>
      <c r="L105" s="12" t="e">
        <f t="shared" si="5"/>
        <v>#VALUE!</v>
      </c>
    </row>
    <row r="106" spans="1:12" ht="24" customHeight="1" x14ac:dyDescent="0.25">
      <c r="A106" s="9">
        <v>43125</v>
      </c>
      <c r="B106" s="10" t="s">
        <v>420</v>
      </c>
      <c r="C106" s="17">
        <v>858</v>
      </c>
      <c r="D106" s="11" t="e">
        <f>+VLOOKUP(B106,#REF!,6,FALSE)</f>
        <v>#REF!</v>
      </c>
      <c r="E106" s="10">
        <f>7.6091/6</f>
        <v>1.2681833333333332</v>
      </c>
      <c r="F106" s="10"/>
      <c r="G106" s="10"/>
      <c r="H106" s="10"/>
      <c r="I106" s="11" t="e">
        <f>+VLOOKUP(B106,#REF!,7,FALSE)</f>
        <v>#REF!</v>
      </c>
      <c r="J106" s="12" t="str">
        <f t="shared" si="3"/>
        <v/>
      </c>
      <c r="K106" s="12" t="str">
        <f t="shared" si="4"/>
        <v/>
      </c>
      <c r="L106" s="12" t="e">
        <f t="shared" si="5"/>
        <v>#VALUE!</v>
      </c>
    </row>
    <row r="107" spans="1:12" ht="24" customHeight="1" x14ac:dyDescent="0.25">
      <c r="A107" s="9">
        <v>43125</v>
      </c>
      <c r="B107" s="10" t="s">
        <v>442</v>
      </c>
      <c r="C107" s="17">
        <v>24438</v>
      </c>
      <c r="D107" s="11" t="e">
        <f>+VLOOKUP(B107,#REF!,6,FALSE)</f>
        <v>#REF!</v>
      </c>
      <c r="E107" s="10">
        <f>3.3362/6</f>
        <v>0.55603333333333327</v>
      </c>
      <c r="F107" s="10"/>
      <c r="G107" s="10"/>
      <c r="H107" s="10"/>
      <c r="I107" s="11" t="e">
        <f>+VLOOKUP(B107,#REF!,7,FALSE)</f>
        <v>#REF!</v>
      </c>
      <c r="J107" s="12" t="str">
        <f t="shared" si="3"/>
        <v/>
      </c>
      <c r="K107" s="12" t="str">
        <f t="shared" si="4"/>
        <v/>
      </c>
      <c r="L107" s="12" t="e">
        <f t="shared" si="5"/>
        <v>#VALUE!</v>
      </c>
    </row>
    <row r="108" spans="1:12" ht="24" customHeight="1" x14ac:dyDescent="0.25">
      <c r="A108" s="9">
        <v>43125</v>
      </c>
      <c r="B108" s="10" t="s">
        <v>224</v>
      </c>
      <c r="C108" s="17">
        <v>1185</v>
      </c>
      <c r="D108" s="11" t="e">
        <f>+VLOOKUP(B108,#REF!,6,FALSE)</f>
        <v>#REF!</v>
      </c>
      <c r="E108" s="21">
        <v>7.6757999999999997</v>
      </c>
      <c r="F108" s="10"/>
      <c r="G108" s="10"/>
      <c r="H108" s="10"/>
      <c r="I108" s="11" t="e">
        <f>+VLOOKUP(B108,#REF!,7,FALSE)</f>
        <v>#REF!</v>
      </c>
      <c r="J108" s="12" t="str">
        <f t="shared" si="3"/>
        <v/>
      </c>
      <c r="K108" s="12" t="str">
        <f t="shared" si="4"/>
        <v/>
      </c>
      <c r="L108" s="12" t="e">
        <f t="shared" si="5"/>
        <v>#VALUE!</v>
      </c>
    </row>
    <row r="109" spans="1:12" ht="24" customHeight="1" x14ac:dyDescent="0.25">
      <c r="A109" s="9">
        <v>43126</v>
      </c>
      <c r="B109" s="10" t="s">
        <v>18</v>
      </c>
      <c r="C109" s="17">
        <v>426</v>
      </c>
      <c r="D109" s="11" t="e">
        <f>+VLOOKUP(B109,#REF!,6,FALSE)</f>
        <v>#REF!</v>
      </c>
      <c r="E109" s="10">
        <v>1.9554</v>
      </c>
      <c r="F109" s="10"/>
      <c r="G109" s="10"/>
      <c r="H109" s="10"/>
      <c r="I109" s="11" t="e">
        <f>+VLOOKUP(B109,#REF!,7,FALSE)</f>
        <v>#REF!</v>
      </c>
      <c r="J109" s="12" t="str">
        <f t="shared" si="3"/>
        <v/>
      </c>
      <c r="K109" s="12" t="str">
        <f t="shared" si="4"/>
        <v/>
      </c>
      <c r="L109" s="12" t="e">
        <f t="shared" si="5"/>
        <v>#VALUE!</v>
      </c>
    </row>
    <row r="110" spans="1:12" ht="24" customHeight="1" x14ac:dyDescent="0.25">
      <c r="A110" s="9">
        <v>43126</v>
      </c>
      <c r="B110" s="10" t="s">
        <v>21</v>
      </c>
      <c r="C110" s="17">
        <v>186</v>
      </c>
      <c r="D110" s="11" t="e">
        <f>+VLOOKUP(B110,#REF!,6,FALSE)</f>
        <v>#REF!</v>
      </c>
      <c r="E110" s="10">
        <v>1.8606</v>
      </c>
      <c r="F110" s="10"/>
      <c r="G110" s="10"/>
      <c r="H110" s="10"/>
      <c r="I110" s="11" t="e">
        <f>+VLOOKUP(B110,#REF!,7,FALSE)</f>
        <v>#REF!</v>
      </c>
      <c r="J110" s="12" t="str">
        <f t="shared" si="3"/>
        <v/>
      </c>
      <c r="K110" s="12" t="str">
        <f t="shared" si="4"/>
        <v/>
      </c>
      <c r="L110" s="12" t="e">
        <f t="shared" si="5"/>
        <v>#VALUE!</v>
      </c>
    </row>
    <row r="111" spans="1:12" ht="24" customHeight="1" x14ac:dyDescent="0.25">
      <c r="A111" s="9">
        <v>43126</v>
      </c>
      <c r="B111" s="10" t="s">
        <v>22</v>
      </c>
      <c r="C111" s="17">
        <v>420</v>
      </c>
      <c r="D111" s="11" t="e">
        <f>+VLOOKUP(B111,#REF!,6,FALSE)</f>
        <v>#REF!</v>
      </c>
      <c r="E111" s="10">
        <v>2.2656000000000001</v>
      </c>
      <c r="F111" s="10"/>
      <c r="G111" s="10"/>
      <c r="H111" s="10"/>
      <c r="I111" s="11" t="e">
        <f>+VLOOKUP(B111,#REF!,7,FALSE)</f>
        <v>#REF!</v>
      </c>
      <c r="J111" s="12" t="str">
        <f t="shared" si="3"/>
        <v/>
      </c>
      <c r="K111" s="12" t="str">
        <f t="shared" si="4"/>
        <v/>
      </c>
      <c r="L111" s="12" t="e">
        <f t="shared" si="5"/>
        <v>#VALUE!</v>
      </c>
    </row>
    <row r="112" spans="1:12" ht="24" customHeight="1" x14ac:dyDescent="0.25">
      <c r="A112" s="9">
        <v>43126</v>
      </c>
      <c r="B112" s="10" t="s">
        <v>26</v>
      </c>
      <c r="C112" s="17">
        <v>112</v>
      </c>
      <c r="D112" s="11" t="e">
        <f>+VLOOKUP(B112,#REF!,6,FALSE)</f>
        <v>#REF!</v>
      </c>
      <c r="E112" s="10">
        <v>5.5582000000000003</v>
      </c>
      <c r="F112" s="10"/>
      <c r="G112" s="10"/>
      <c r="H112" s="10"/>
      <c r="I112" s="11" t="e">
        <f>+VLOOKUP(B112,#REF!,7,FALSE)</f>
        <v>#REF!</v>
      </c>
      <c r="J112" s="12" t="str">
        <f t="shared" si="3"/>
        <v/>
      </c>
      <c r="K112" s="12" t="str">
        <f t="shared" si="4"/>
        <v/>
      </c>
      <c r="L112" s="12" t="e">
        <f t="shared" si="5"/>
        <v>#VALUE!</v>
      </c>
    </row>
    <row r="113" spans="1:12" ht="24" customHeight="1" x14ac:dyDescent="0.25">
      <c r="A113" s="9">
        <v>43126</v>
      </c>
      <c r="B113" s="10" t="s">
        <v>68</v>
      </c>
      <c r="C113" s="17">
        <v>640</v>
      </c>
      <c r="D113" s="11" t="e">
        <f>+VLOOKUP(B113,#REF!,6,FALSE)/6</f>
        <v>#REF!</v>
      </c>
      <c r="E113" s="10">
        <v>1.1346000000000001</v>
      </c>
      <c r="F113" s="10"/>
      <c r="G113" s="10"/>
      <c r="H113" s="10"/>
      <c r="I113" s="11" t="e">
        <f>+VLOOKUP(B113,#REF!,7,FALSE)</f>
        <v>#REF!</v>
      </c>
      <c r="J113" s="12" t="str">
        <f t="shared" si="3"/>
        <v/>
      </c>
      <c r="K113" s="12" t="str">
        <f t="shared" si="4"/>
        <v/>
      </c>
      <c r="L113" s="12" t="e">
        <f t="shared" si="5"/>
        <v>#VALUE!</v>
      </c>
    </row>
    <row r="114" spans="1:12" ht="24" customHeight="1" x14ac:dyDescent="0.25">
      <c r="A114" s="9">
        <v>43126</v>
      </c>
      <c r="B114" s="10" t="s">
        <v>98</v>
      </c>
      <c r="C114" s="17">
        <v>11280</v>
      </c>
      <c r="D114" s="11" t="e">
        <f>+VLOOKUP(B114,#REF!,6,FALSE)</f>
        <v>#REF!</v>
      </c>
      <c r="E114" s="10">
        <v>0.63729999999999998</v>
      </c>
      <c r="F114" s="10"/>
      <c r="G114" s="10"/>
      <c r="H114" s="10"/>
      <c r="I114" s="11" t="e">
        <f>+VLOOKUP(B114,#REF!,7,FALSE)</f>
        <v>#REF!</v>
      </c>
      <c r="J114" s="12" t="str">
        <f t="shared" si="3"/>
        <v/>
      </c>
      <c r="K114" s="12" t="str">
        <f t="shared" si="4"/>
        <v/>
      </c>
      <c r="L114" s="12" t="e">
        <f t="shared" si="5"/>
        <v>#VALUE!</v>
      </c>
    </row>
    <row r="115" spans="1:12" ht="24" customHeight="1" x14ac:dyDescent="0.25">
      <c r="A115" s="9">
        <v>43126</v>
      </c>
      <c r="B115" s="10" t="s">
        <v>150</v>
      </c>
      <c r="C115" s="17">
        <v>6132</v>
      </c>
      <c r="D115" s="11" t="e">
        <f>+VLOOKUP(B115,#REF!,6,FALSE)/6</f>
        <v>#REF!</v>
      </c>
      <c r="E115" s="10">
        <v>0.87250000000000005</v>
      </c>
      <c r="F115" s="10"/>
      <c r="G115" s="10"/>
      <c r="H115" s="10"/>
      <c r="I115" s="11" t="e">
        <f>+VLOOKUP(B115,#REF!,7,FALSE)</f>
        <v>#REF!</v>
      </c>
      <c r="J115" s="12" t="str">
        <f t="shared" si="3"/>
        <v/>
      </c>
      <c r="K115" s="12" t="str">
        <f t="shared" si="4"/>
        <v/>
      </c>
      <c r="L115" s="12" t="e">
        <f t="shared" si="5"/>
        <v>#VALUE!</v>
      </c>
    </row>
    <row r="116" spans="1:12" ht="24" customHeight="1" x14ac:dyDescent="0.25">
      <c r="A116" s="9">
        <v>43126</v>
      </c>
      <c r="B116" s="10" t="s">
        <v>167</v>
      </c>
      <c r="C116" s="17">
        <v>483</v>
      </c>
      <c r="D116" s="11" t="e">
        <f>+VLOOKUP(B116,#REF!,6,FALSE)</f>
        <v>#REF!</v>
      </c>
      <c r="E116" s="10">
        <v>7.6412000000000004</v>
      </c>
      <c r="F116" s="10"/>
      <c r="G116" s="10"/>
      <c r="H116" s="10"/>
      <c r="I116" s="11" t="e">
        <f>+VLOOKUP(B116,#REF!,7,FALSE)</f>
        <v>#REF!</v>
      </c>
      <c r="J116" s="12" t="str">
        <f t="shared" si="3"/>
        <v/>
      </c>
      <c r="K116" s="12" t="str">
        <f t="shared" si="4"/>
        <v/>
      </c>
      <c r="L116" s="12" t="e">
        <f t="shared" si="5"/>
        <v>#VALUE!</v>
      </c>
    </row>
    <row r="117" spans="1:12" ht="24" customHeight="1" x14ac:dyDescent="0.25">
      <c r="A117" s="9">
        <v>43126</v>
      </c>
      <c r="B117" s="10" t="s">
        <v>171</v>
      </c>
      <c r="C117" s="17">
        <v>15896</v>
      </c>
      <c r="D117" s="11" t="e">
        <f>+VLOOKUP(B117,#REF!,6,FALSE)</f>
        <v>#REF!</v>
      </c>
      <c r="E117" s="1">
        <f>1.8494/6</f>
        <v>0.3082333333333333</v>
      </c>
      <c r="F117" s="10"/>
      <c r="G117" s="10"/>
      <c r="H117" s="10"/>
      <c r="I117" s="11" t="e">
        <f>+VLOOKUP(B117,#REF!,7,FALSE)</f>
        <v>#REF!</v>
      </c>
      <c r="J117" s="12" t="str">
        <f t="shared" si="3"/>
        <v/>
      </c>
      <c r="K117" s="12" t="str">
        <f t="shared" si="4"/>
        <v/>
      </c>
      <c r="L117" s="12" t="e">
        <f t="shared" si="5"/>
        <v>#VALUE!</v>
      </c>
    </row>
    <row r="118" spans="1:12" ht="24" customHeight="1" x14ac:dyDescent="0.25">
      <c r="A118" s="9">
        <v>43126</v>
      </c>
      <c r="B118" s="10" t="s">
        <v>185</v>
      </c>
      <c r="C118" s="17">
        <v>120</v>
      </c>
      <c r="D118" s="11" t="e">
        <f>+VLOOKUP(B118,#REF!,6,FALSE)/8</f>
        <v>#REF!</v>
      </c>
      <c r="E118" s="10">
        <v>0.69410000000000005</v>
      </c>
      <c r="F118" s="10"/>
      <c r="G118" s="10"/>
      <c r="H118" s="10"/>
      <c r="I118" s="11" t="e">
        <f>+VLOOKUP(B118,#REF!,7,FALSE)</f>
        <v>#REF!</v>
      </c>
      <c r="J118" s="12" t="str">
        <f t="shared" si="3"/>
        <v/>
      </c>
      <c r="K118" s="12" t="str">
        <f t="shared" si="4"/>
        <v/>
      </c>
      <c r="L118" s="12" t="e">
        <f t="shared" si="5"/>
        <v>#VALUE!</v>
      </c>
    </row>
    <row r="119" spans="1:12" ht="24" customHeight="1" x14ac:dyDescent="0.25">
      <c r="A119" s="9">
        <v>43126</v>
      </c>
      <c r="B119" s="10" t="s">
        <v>187</v>
      </c>
      <c r="C119" s="17">
        <v>594</v>
      </c>
      <c r="D119" s="11" t="e">
        <f>+VLOOKUP(B119,#REF!,6,FALSE)/6</f>
        <v>#REF!</v>
      </c>
      <c r="E119" s="10">
        <v>0.68459999999999999</v>
      </c>
      <c r="F119" s="10"/>
      <c r="G119" s="10"/>
      <c r="H119" s="10"/>
      <c r="I119" s="11" t="e">
        <f>+VLOOKUP(B119,#REF!,7,FALSE)</f>
        <v>#REF!</v>
      </c>
      <c r="J119" s="12" t="str">
        <f t="shared" si="3"/>
        <v/>
      </c>
      <c r="K119" s="12" t="str">
        <f t="shared" si="4"/>
        <v/>
      </c>
      <c r="L119" s="12" t="e">
        <f t="shared" si="5"/>
        <v>#VALUE!</v>
      </c>
    </row>
    <row r="120" spans="1:12" ht="24" customHeight="1" x14ac:dyDescent="0.25">
      <c r="A120" s="9">
        <v>43126</v>
      </c>
      <c r="B120" s="10" t="s">
        <v>230</v>
      </c>
      <c r="C120" s="17">
        <v>17052</v>
      </c>
      <c r="D120" s="11" t="e">
        <f>+VLOOKUP(B120,#REF!,6,FALSE)</f>
        <v>#REF!</v>
      </c>
      <c r="E120" s="10">
        <f>3.2831/6</f>
        <v>0.54718333333333335</v>
      </c>
      <c r="F120" s="10"/>
      <c r="G120" s="10"/>
      <c r="H120" s="10"/>
      <c r="I120" s="11" t="e">
        <f>+VLOOKUP(B120,#REF!,7,FALSE)</f>
        <v>#REF!</v>
      </c>
      <c r="J120" s="12" t="str">
        <f t="shared" si="3"/>
        <v/>
      </c>
      <c r="K120" s="12" t="str">
        <f t="shared" si="4"/>
        <v/>
      </c>
      <c r="L120" s="12" t="e">
        <f t="shared" si="5"/>
        <v>#VALUE!</v>
      </c>
    </row>
    <row r="121" spans="1:12" ht="24" customHeight="1" x14ac:dyDescent="0.25">
      <c r="A121" s="9">
        <v>43129</v>
      </c>
      <c r="B121" s="10" t="s">
        <v>39</v>
      </c>
      <c r="C121" s="17">
        <v>103</v>
      </c>
      <c r="D121" s="11" t="e">
        <f>+VLOOKUP(B121,#REF!,6,FALSE)</f>
        <v>#REF!</v>
      </c>
      <c r="E121" s="10">
        <v>4.9901</v>
      </c>
      <c r="F121" s="10"/>
      <c r="G121" s="10"/>
      <c r="H121" s="10"/>
      <c r="I121" s="11" t="e">
        <f>+VLOOKUP(B121,#REF!,7,FALSE)</f>
        <v>#REF!</v>
      </c>
      <c r="J121" s="12" t="str">
        <f t="shared" si="3"/>
        <v/>
      </c>
      <c r="K121" s="12" t="str">
        <f t="shared" si="4"/>
        <v/>
      </c>
      <c r="L121" s="12" t="e">
        <f t="shared" si="5"/>
        <v>#VALUE!</v>
      </c>
    </row>
    <row r="122" spans="1:12" ht="24" customHeight="1" x14ac:dyDescent="0.25">
      <c r="A122" s="9">
        <v>43129</v>
      </c>
      <c r="B122" s="10" t="s">
        <v>86</v>
      </c>
      <c r="C122" s="17">
        <v>2582</v>
      </c>
      <c r="D122" s="11" t="e">
        <f>+VLOOKUP(B122,#REF!,6,FALSE)</f>
        <v>#REF!</v>
      </c>
      <c r="E122" s="10">
        <v>3.4887999999999999</v>
      </c>
      <c r="F122" s="10"/>
      <c r="G122" s="10"/>
      <c r="H122" s="10"/>
      <c r="I122" s="11" t="e">
        <f>+VLOOKUP(B122,#REF!,7,FALSE)</f>
        <v>#REF!</v>
      </c>
      <c r="J122" s="12" t="str">
        <f t="shared" si="3"/>
        <v/>
      </c>
      <c r="K122" s="12" t="str">
        <f t="shared" si="4"/>
        <v/>
      </c>
      <c r="L122" s="12" t="e">
        <f t="shared" si="5"/>
        <v>#VALUE!</v>
      </c>
    </row>
    <row r="123" spans="1:12" ht="24" customHeight="1" x14ac:dyDescent="0.25">
      <c r="A123" s="9">
        <v>43129</v>
      </c>
      <c r="B123" s="10" t="s">
        <v>166</v>
      </c>
      <c r="C123" s="17">
        <f>25980/12</f>
        <v>2165</v>
      </c>
      <c r="D123" s="11" t="e">
        <f>+VLOOKUP(B123,#REF!,6,FALSE)</f>
        <v>#REF!</v>
      </c>
      <c r="E123" s="10">
        <v>2.8597000000000001</v>
      </c>
      <c r="F123" s="10"/>
      <c r="G123" s="10"/>
      <c r="H123" s="10"/>
      <c r="I123" s="11" t="e">
        <f>+VLOOKUP(B123,#REF!,7,FALSE)</f>
        <v>#REF!</v>
      </c>
      <c r="J123" s="12" t="str">
        <f t="shared" si="3"/>
        <v/>
      </c>
      <c r="K123" s="12" t="str">
        <f t="shared" si="4"/>
        <v/>
      </c>
      <c r="L123" s="12" t="e">
        <f t="shared" si="5"/>
        <v>#VALUE!</v>
      </c>
    </row>
    <row r="124" spans="1:12" ht="24" customHeight="1" x14ac:dyDescent="0.25">
      <c r="A124" s="9">
        <v>43129</v>
      </c>
      <c r="B124" s="10" t="s">
        <v>171</v>
      </c>
      <c r="C124" s="17">
        <v>20856</v>
      </c>
      <c r="D124" s="11" t="e">
        <f>+VLOOKUP(B124,#REF!,6,FALSE)</f>
        <v>#REF!</v>
      </c>
      <c r="E124" s="10" t="s">
        <v>11</v>
      </c>
      <c r="F124" s="10"/>
      <c r="G124" s="10"/>
      <c r="H124" s="10"/>
      <c r="I124" s="11" t="e">
        <f>+VLOOKUP(B124,#REF!,7,FALSE)</f>
        <v>#REF!</v>
      </c>
      <c r="J124" s="12" t="str">
        <f t="shared" si="3"/>
        <v/>
      </c>
      <c r="K124" s="12" t="str">
        <f t="shared" si="4"/>
        <v/>
      </c>
      <c r="L124" s="12" t="e">
        <f t="shared" si="5"/>
        <v>#VALUE!</v>
      </c>
    </row>
    <row r="125" spans="1:12" ht="24" customHeight="1" x14ac:dyDescent="0.25">
      <c r="A125" s="9">
        <v>43129</v>
      </c>
      <c r="B125" s="10" t="s">
        <v>206</v>
      </c>
      <c r="C125" s="17">
        <v>5616</v>
      </c>
      <c r="D125" s="11" t="e">
        <f>+VLOOKUP(B125,#REF!,6,FALSE)/6</f>
        <v>#REF!</v>
      </c>
      <c r="E125" s="10">
        <v>0.52329999999999999</v>
      </c>
      <c r="F125" s="10"/>
      <c r="G125" s="10"/>
      <c r="H125" s="10"/>
      <c r="I125" s="11" t="e">
        <f>+VLOOKUP(B125,#REF!,7,FALSE)</f>
        <v>#REF!</v>
      </c>
      <c r="J125" s="12" t="str">
        <f t="shared" si="3"/>
        <v/>
      </c>
      <c r="K125" s="12" t="str">
        <f t="shared" si="4"/>
        <v/>
      </c>
      <c r="L125" s="12" t="e">
        <f t="shared" si="5"/>
        <v>#VALUE!</v>
      </c>
    </row>
    <row r="126" spans="1:12" ht="24" customHeight="1" x14ac:dyDescent="0.25">
      <c r="A126" s="9">
        <v>43129</v>
      </c>
      <c r="B126" s="10" t="s">
        <v>215</v>
      </c>
      <c r="C126" s="17">
        <v>1043</v>
      </c>
      <c r="D126" s="11" t="e">
        <f>+VLOOKUP(B126,#REF!,6,FALSE)</f>
        <v>#REF!</v>
      </c>
      <c r="E126" s="10">
        <v>5.8662000000000001</v>
      </c>
      <c r="F126" s="10"/>
      <c r="G126" s="10"/>
      <c r="H126" s="10"/>
      <c r="I126" s="11" t="e">
        <f>+VLOOKUP(B126,#REF!,7,FALSE)</f>
        <v>#REF!</v>
      </c>
      <c r="J126" s="12" t="str">
        <f t="shared" si="3"/>
        <v/>
      </c>
      <c r="K126" s="12" t="str">
        <f t="shared" si="4"/>
        <v/>
      </c>
      <c r="L126" s="12" t="e">
        <f t="shared" si="5"/>
        <v>#VALUE!</v>
      </c>
    </row>
    <row r="127" spans="1:12" ht="24" customHeight="1" x14ac:dyDescent="0.25">
      <c r="A127" s="9">
        <v>43129</v>
      </c>
      <c r="B127" s="10" t="s">
        <v>217</v>
      </c>
      <c r="C127" s="17">
        <v>1266</v>
      </c>
      <c r="D127" s="11" t="e">
        <f>+VLOOKUP(B127,#REF!,6,FALSE)</f>
        <v>#REF!</v>
      </c>
      <c r="E127" s="10">
        <v>5.3338000000000001</v>
      </c>
      <c r="F127" s="10"/>
      <c r="G127" s="10"/>
      <c r="H127" s="10"/>
      <c r="I127" s="11" t="e">
        <f>+VLOOKUP(B127,#REF!,7,FALSE)</f>
        <v>#REF!</v>
      </c>
      <c r="J127" s="12" t="str">
        <f t="shared" si="3"/>
        <v/>
      </c>
      <c r="K127" s="12" t="str">
        <f t="shared" si="4"/>
        <v/>
      </c>
      <c r="L127" s="12" t="e">
        <f t="shared" si="5"/>
        <v>#VALUE!</v>
      </c>
    </row>
    <row r="128" spans="1:12" ht="24" customHeight="1" x14ac:dyDescent="0.25">
      <c r="A128" s="9">
        <v>43130</v>
      </c>
      <c r="B128" s="10" t="s">
        <v>14</v>
      </c>
      <c r="C128" s="17">
        <v>600</v>
      </c>
      <c r="D128" s="11" t="e">
        <f>+VLOOKUP(B128,#REF!,6,FALSE)</f>
        <v>#REF!</v>
      </c>
      <c r="E128" s="10">
        <v>2.5918999999999999</v>
      </c>
      <c r="F128" s="10"/>
      <c r="G128" s="10"/>
      <c r="H128" s="10"/>
      <c r="I128" s="11" t="e">
        <f>+VLOOKUP(B128,#REF!,7,FALSE)</f>
        <v>#REF!</v>
      </c>
      <c r="J128" s="12" t="str">
        <f t="shared" si="3"/>
        <v/>
      </c>
      <c r="K128" s="12" t="str">
        <f t="shared" si="4"/>
        <v/>
      </c>
      <c r="L128" s="12" t="e">
        <f t="shared" si="5"/>
        <v>#VALUE!</v>
      </c>
    </row>
    <row r="129" spans="1:12" ht="24" customHeight="1" x14ac:dyDescent="0.25">
      <c r="A129" s="9">
        <v>43130</v>
      </c>
      <c r="B129" s="10" t="s">
        <v>39</v>
      </c>
      <c r="C129" s="17">
        <v>29</v>
      </c>
      <c r="D129" s="11" t="e">
        <f>+VLOOKUP(B129,#REF!,6,FALSE)</f>
        <v>#REF!</v>
      </c>
      <c r="E129" s="10">
        <v>4.9375</v>
      </c>
      <c r="F129" s="10"/>
      <c r="G129" s="10"/>
      <c r="H129" s="10"/>
      <c r="I129" s="11" t="e">
        <f>+VLOOKUP(B129,#REF!,7,FALSE)</f>
        <v>#REF!</v>
      </c>
      <c r="J129" s="12" t="str">
        <f t="shared" si="3"/>
        <v/>
      </c>
      <c r="K129" s="12" t="str">
        <f t="shared" si="4"/>
        <v/>
      </c>
      <c r="L129" s="12" t="e">
        <f t="shared" si="5"/>
        <v>#VALUE!</v>
      </c>
    </row>
    <row r="130" spans="1:12" ht="24" customHeight="1" x14ac:dyDescent="0.25">
      <c r="A130" s="9">
        <v>43130</v>
      </c>
      <c r="B130" s="17" t="s">
        <v>214</v>
      </c>
      <c r="C130" s="17">
        <v>9780</v>
      </c>
      <c r="D130" s="11" t="e">
        <f>+VLOOKUP(B130,#REF!,6,FALSE)/12</f>
        <v>#REF!</v>
      </c>
      <c r="E130" s="10">
        <f>8.1503/12</f>
        <v>0.67919166666666664</v>
      </c>
      <c r="F130" s="10"/>
      <c r="G130" s="10"/>
      <c r="H130" s="10"/>
      <c r="I130" s="11" t="e">
        <f>+VLOOKUP(B130,#REF!,7,FALSE)</f>
        <v>#REF!</v>
      </c>
      <c r="J130" s="12" t="str">
        <f t="shared" si="3"/>
        <v/>
      </c>
      <c r="K130" s="12" t="str">
        <f t="shared" si="4"/>
        <v/>
      </c>
      <c r="L130" s="12" t="e">
        <f t="shared" si="5"/>
        <v>#VALUE!</v>
      </c>
    </row>
    <row r="131" spans="1:12" ht="24" customHeight="1" x14ac:dyDescent="0.25">
      <c r="A131" s="9">
        <v>43130</v>
      </c>
      <c r="B131" s="10" t="s">
        <v>440</v>
      </c>
      <c r="C131" s="17">
        <v>15240</v>
      </c>
      <c r="D131" s="11" t="e">
        <f>+VLOOKUP(B131,#REF!,6,FALSE)</f>
        <v>#REF!</v>
      </c>
      <c r="E131" s="10">
        <v>0.6905</v>
      </c>
      <c r="F131" s="10"/>
      <c r="G131" s="10"/>
      <c r="H131" s="10"/>
      <c r="I131" s="11" t="e">
        <f>+VLOOKUP(B131,#REF!,7,FALSE)</f>
        <v>#REF!</v>
      </c>
      <c r="J131" s="12" t="str">
        <f t="shared" si="3"/>
        <v/>
      </c>
      <c r="K131" s="12" t="str">
        <f t="shared" si="4"/>
        <v/>
      </c>
      <c r="L131" s="12" t="e">
        <f t="shared" si="5"/>
        <v>#VALUE!</v>
      </c>
    </row>
    <row r="132" spans="1:12" ht="24" customHeight="1" x14ac:dyDescent="0.25">
      <c r="A132" s="9">
        <v>43130</v>
      </c>
      <c r="B132" s="10" t="s">
        <v>442</v>
      </c>
      <c r="C132" s="17">
        <v>25638</v>
      </c>
      <c r="D132" s="11" t="e">
        <f>+VLOOKUP(B132,#REF!,6,FALSE)</f>
        <v>#REF!</v>
      </c>
      <c r="E132" s="10">
        <v>0.53569999999999995</v>
      </c>
      <c r="F132" s="10"/>
      <c r="G132" s="10"/>
      <c r="H132" s="10"/>
      <c r="I132" s="11" t="e">
        <f>+VLOOKUP(B132,#REF!,7,FALSE)</f>
        <v>#REF!</v>
      </c>
      <c r="J132" s="12" t="str">
        <f t="shared" ref="J132:J195" si="6">IFERROR((I132-(D132+F132))/I132,"")</f>
        <v/>
      </c>
      <c r="K132" s="12" t="str">
        <f t="shared" ref="K132:K195" si="7">IF(E132="","",IFERROR((I132-(E132+G132+H132))/I132,""))</f>
        <v/>
      </c>
      <c r="L132" s="12" t="e">
        <f t="shared" ref="L132:L195" si="8">J132-K132</f>
        <v>#VALUE!</v>
      </c>
    </row>
    <row r="133" spans="1:12" ht="24" customHeight="1" x14ac:dyDescent="0.25">
      <c r="A133" s="9">
        <v>43130</v>
      </c>
      <c r="B133" s="10" t="s">
        <v>430</v>
      </c>
      <c r="C133" s="17">
        <v>4644</v>
      </c>
      <c r="D133" s="11" t="e">
        <f>+VLOOKUP(B133,#REF!,6,FALSE)</f>
        <v>#REF!</v>
      </c>
      <c r="E133" s="10">
        <v>3.2738999999999998</v>
      </c>
      <c r="F133" s="10"/>
      <c r="G133" s="10"/>
      <c r="H133" s="10"/>
      <c r="I133" s="11" t="e">
        <f>+VLOOKUP(B133,#REF!,7,FALSE)</f>
        <v>#REF!</v>
      </c>
      <c r="J133" s="12" t="str">
        <f t="shared" si="6"/>
        <v/>
      </c>
      <c r="K133" s="12" t="str">
        <f t="shared" si="7"/>
        <v/>
      </c>
      <c r="L133" s="12" t="e">
        <f t="shared" si="8"/>
        <v>#VALUE!</v>
      </c>
    </row>
    <row r="134" spans="1:12" ht="24" customHeight="1" x14ac:dyDescent="0.25">
      <c r="A134" s="9">
        <v>43131</v>
      </c>
      <c r="B134" s="10" t="s">
        <v>102</v>
      </c>
      <c r="C134" s="17">
        <v>8016</v>
      </c>
      <c r="D134" s="11">
        <v>1.855</v>
      </c>
      <c r="E134" s="10">
        <v>1.7296</v>
      </c>
      <c r="F134" s="10"/>
      <c r="G134" s="10"/>
      <c r="H134" s="10"/>
      <c r="I134" s="11" t="e">
        <f>+VLOOKUP(B134,#REF!,7,FALSE)</f>
        <v>#REF!</v>
      </c>
      <c r="J134" s="12" t="str">
        <f t="shared" si="6"/>
        <v/>
      </c>
      <c r="K134" s="12" t="str">
        <f t="shared" si="7"/>
        <v/>
      </c>
      <c r="L134" s="12" t="e">
        <f t="shared" si="8"/>
        <v>#VALUE!</v>
      </c>
    </row>
    <row r="135" spans="1:12" ht="24" customHeight="1" x14ac:dyDescent="0.25">
      <c r="A135" s="9">
        <v>43131</v>
      </c>
      <c r="B135" s="10" t="s">
        <v>214</v>
      </c>
      <c r="C135" s="17">
        <v>10848</v>
      </c>
      <c r="D135" s="11" t="e">
        <f>+VLOOKUP(B135,#REF!,6,FALSE)/12</f>
        <v>#REF!</v>
      </c>
      <c r="E135" s="10">
        <f>7.689/12</f>
        <v>0.64075000000000004</v>
      </c>
      <c r="F135" s="10"/>
      <c r="G135" s="10"/>
      <c r="H135" s="10"/>
      <c r="I135" s="11" t="e">
        <f>+VLOOKUP(B135,#REF!,7,FALSE)</f>
        <v>#REF!</v>
      </c>
      <c r="J135" s="12" t="str">
        <f t="shared" si="6"/>
        <v/>
      </c>
      <c r="K135" s="12" t="str">
        <f t="shared" si="7"/>
        <v/>
      </c>
      <c r="L135" s="12" t="e">
        <f t="shared" si="8"/>
        <v>#VALUE!</v>
      </c>
    </row>
    <row r="136" spans="1:12" ht="24" customHeight="1" x14ac:dyDescent="0.25">
      <c r="A136" s="9">
        <v>43131</v>
      </c>
      <c r="B136" s="10" t="s">
        <v>440</v>
      </c>
      <c r="C136" s="17">
        <v>14000</v>
      </c>
      <c r="D136" s="11" t="e">
        <f>+VLOOKUP(B136,#REF!,6,FALSE)</f>
        <v>#REF!</v>
      </c>
      <c r="E136" s="10">
        <v>0.59089999999999998</v>
      </c>
      <c r="F136" s="10"/>
      <c r="G136" s="10"/>
      <c r="H136" s="10"/>
      <c r="I136" s="11" t="e">
        <f>+VLOOKUP(B136,#REF!,7,FALSE)</f>
        <v>#REF!</v>
      </c>
      <c r="J136" s="12" t="str">
        <f t="shared" si="6"/>
        <v/>
      </c>
      <c r="K136" s="12" t="str">
        <f t="shared" si="7"/>
        <v/>
      </c>
      <c r="L136" s="12" t="e">
        <f t="shared" si="8"/>
        <v>#VALUE!</v>
      </c>
    </row>
    <row r="137" spans="1:12" ht="24" customHeight="1" x14ac:dyDescent="0.25">
      <c r="A137" s="9">
        <v>43131</v>
      </c>
      <c r="B137" s="10" t="s">
        <v>442</v>
      </c>
      <c r="C137" s="17">
        <v>26760</v>
      </c>
      <c r="D137" s="11" t="e">
        <f>+VLOOKUP(B137,#REF!,6,FALSE)</f>
        <v>#REF!</v>
      </c>
      <c r="E137" s="10">
        <v>0.51259999999999994</v>
      </c>
      <c r="F137" s="10"/>
      <c r="G137" s="10"/>
      <c r="H137" s="10"/>
      <c r="I137" s="11" t="e">
        <f>+VLOOKUP(B137,#REF!,7,FALSE)</f>
        <v>#REF!</v>
      </c>
      <c r="J137" s="12" t="str">
        <f t="shared" si="6"/>
        <v/>
      </c>
      <c r="K137" s="12" t="str">
        <f t="shared" si="7"/>
        <v/>
      </c>
      <c r="L137" s="12" t="e">
        <f t="shared" si="8"/>
        <v>#VALUE!</v>
      </c>
    </row>
    <row r="138" spans="1:12" ht="24" customHeight="1" x14ac:dyDescent="0.25">
      <c r="A138" s="9">
        <v>43132</v>
      </c>
      <c r="B138" s="14" t="s">
        <v>98</v>
      </c>
      <c r="C138" s="17">
        <v>30372</v>
      </c>
      <c r="D138" s="11" t="e">
        <f>+VLOOKUP(B138,#REF!,6,FALSE)</f>
        <v>#REF!</v>
      </c>
      <c r="E138" s="10">
        <v>0.71660000000000001</v>
      </c>
      <c r="F138" s="10"/>
      <c r="G138" s="10"/>
      <c r="H138" s="10"/>
      <c r="I138" s="11" t="e">
        <f>+VLOOKUP(B138,#REF!,7,FALSE)</f>
        <v>#REF!</v>
      </c>
      <c r="J138" s="12" t="str">
        <f t="shared" si="6"/>
        <v/>
      </c>
      <c r="K138" s="12" t="str">
        <f t="shared" si="7"/>
        <v/>
      </c>
      <c r="L138" s="12" t="e">
        <f t="shared" si="8"/>
        <v>#VALUE!</v>
      </c>
    </row>
    <row r="139" spans="1:12" ht="24" customHeight="1" x14ac:dyDescent="0.25">
      <c r="A139" s="9">
        <v>43132</v>
      </c>
      <c r="B139" s="10" t="s">
        <v>114</v>
      </c>
      <c r="C139" s="17">
        <v>3036</v>
      </c>
      <c r="D139" s="11" t="e">
        <f>+VLOOKUP(B139,#REF!,6,FALSE)</f>
        <v>#REF!</v>
      </c>
      <c r="E139" s="10">
        <v>1.7323</v>
      </c>
      <c r="F139" s="10"/>
      <c r="G139" s="10"/>
      <c r="H139" s="10"/>
      <c r="I139" s="11" t="e">
        <f>+VLOOKUP(B139,#REF!,7,FALSE)</f>
        <v>#REF!</v>
      </c>
      <c r="J139" s="12" t="str">
        <f t="shared" si="6"/>
        <v/>
      </c>
      <c r="K139" s="12" t="str">
        <f t="shared" si="7"/>
        <v/>
      </c>
      <c r="L139" s="12" t="e">
        <f t="shared" si="8"/>
        <v>#VALUE!</v>
      </c>
    </row>
    <row r="140" spans="1:12" ht="24" customHeight="1" x14ac:dyDescent="0.25">
      <c r="A140" s="9">
        <v>43132</v>
      </c>
      <c r="B140" s="10" t="s">
        <v>174</v>
      </c>
      <c r="C140" s="17">
        <v>1128</v>
      </c>
      <c r="D140" s="11" t="e">
        <f>+VLOOKUP(B140,#REF!,6,FALSE)</f>
        <v>#REF!</v>
      </c>
      <c r="E140" s="25">
        <v>11.6896</v>
      </c>
      <c r="F140" s="10"/>
      <c r="G140" s="10"/>
      <c r="H140" s="10"/>
      <c r="I140" s="11" t="e">
        <f>+VLOOKUP(B140,#REF!,7,FALSE)</f>
        <v>#REF!</v>
      </c>
      <c r="J140" s="12" t="str">
        <f t="shared" si="6"/>
        <v/>
      </c>
      <c r="K140" s="12" t="str">
        <f t="shared" si="7"/>
        <v/>
      </c>
      <c r="L140" s="12" t="e">
        <f t="shared" si="8"/>
        <v>#VALUE!</v>
      </c>
    </row>
    <row r="141" spans="1:12" ht="24" customHeight="1" x14ac:dyDescent="0.25">
      <c r="A141" s="9">
        <v>43132</v>
      </c>
      <c r="B141" s="10" t="s">
        <v>175</v>
      </c>
      <c r="C141" s="17">
        <v>1180</v>
      </c>
      <c r="D141" s="11" t="e">
        <f>+VLOOKUP(B141,#REF!,6,FALSE)</f>
        <v>#REF!</v>
      </c>
      <c r="E141" s="10">
        <v>8.6166</v>
      </c>
      <c r="F141" s="10"/>
      <c r="G141" s="10"/>
      <c r="H141" s="10"/>
      <c r="I141" s="11" t="e">
        <f>+VLOOKUP(B141,#REF!,7,FALSE)</f>
        <v>#REF!</v>
      </c>
      <c r="J141" s="12" t="str">
        <f t="shared" si="6"/>
        <v/>
      </c>
      <c r="K141" s="12" t="str">
        <f t="shared" si="7"/>
        <v/>
      </c>
      <c r="L141" s="12" t="e">
        <f t="shared" si="8"/>
        <v>#VALUE!</v>
      </c>
    </row>
    <row r="142" spans="1:12" ht="24" customHeight="1" x14ac:dyDescent="0.25">
      <c r="A142" s="9">
        <v>43132</v>
      </c>
      <c r="B142" s="10" t="s">
        <v>176</v>
      </c>
      <c r="C142" s="17">
        <v>972</v>
      </c>
      <c r="D142" s="11" t="e">
        <f>+VLOOKUP(B142,#REF!,6,FALSE)</f>
        <v>#REF!</v>
      </c>
      <c r="E142" s="10">
        <v>11.776300000000001</v>
      </c>
      <c r="F142" s="10"/>
      <c r="G142" s="10"/>
      <c r="H142" s="10"/>
      <c r="I142" s="11" t="e">
        <f>+VLOOKUP(B142,#REF!,7,FALSE)</f>
        <v>#REF!</v>
      </c>
      <c r="J142" s="12" t="str">
        <f t="shared" si="6"/>
        <v/>
      </c>
      <c r="K142" s="12" t="str">
        <f t="shared" si="7"/>
        <v/>
      </c>
      <c r="L142" s="12" t="e">
        <f t="shared" si="8"/>
        <v>#VALUE!</v>
      </c>
    </row>
    <row r="143" spans="1:12" ht="24" customHeight="1" x14ac:dyDescent="0.25">
      <c r="A143" s="9">
        <v>43132</v>
      </c>
      <c r="B143" s="10" t="s">
        <v>192</v>
      </c>
      <c r="C143" s="17">
        <v>5192</v>
      </c>
      <c r="D143" s="11" t="e">
        <f>+VLOOKUP(B143,#REF!,6,FALSE)/8</f>
        <v>#REF!</v>
      </c>
      <c r="E143" s="10">
        <f>7.0981/8</f>
        <v>0.88726249999999995</v>
      </c>
      <c r="F143" s="10"/>
      <c r="G143" s="10"/>
      <c r="H143" s="10"/>
      <c r="I143" s="11" t="e">
        <f>+VLOOKUP(B143,#REF!,7,FALSE)</f>
        <v>#REF!</v>
      </c>
      <c r="J143" s="12" t="str">
        <f t="shared" si="6"/>
        <v/>
      </c>
      <c r="K143" s="12" t="str">
        <f t="shared" si="7"/>
        <v/>
      </c>
      <c r="L143" s="12" t="e">
        <f t="shared" si="8"/>
        <v>#VALUE!</v>
      </c>
    </row>
    <row r="144" spans="1:12" ht="24" customHeight="1" x14ac:dyDescent="0.25">
      <c r="A144" s="9">
        <v>43132</v>
      </c>
      <c r="B144" s="10" t="s">
        <v>210</v>
      </c>
      <c r="C144" s="17">
        <v>436</v>
      </c>
      <c r="D144" s="11" t="e">
        <f>+VLOOKUP(B144,#REF!,6,FALSE)</f>
        <v>#REF!</v>
      </c>
      <c r="E144" s="10">
        <v>5.5679999999999996</v>
      </c>
      <c r="F144" s="10"/>
      <c r="G144" s="10"/>
      <c r="H144" s="10"/>
      <c r="I144" s="11" t="e">
        <f>+VLOOKUP(B144,#REF!,7,FALSE)</f>
        <v>#REF!</v>
      </c>
      <c r="J144" s="12" t="str">
        <f t="shared" si="6"/>
        <v/>
      </c>
      <c r="K144" s="12" t="str">
        <f t="shared" si="7"/>
        <v/>
      </c>
      <c r="L144" s="12" t="e">
        <f t="shared" si="8"/>
        <v>#VALUE!</v>
      </c>
    </row>
    <row r="145" spans="1:12" ht="24" customHeight="1" x14ac:dyDescent="0.25">
      <c r="A145" s="9">
        <v>43132</v>
      </c>
      <c r="B145" s="10" t="s">
        <v>441</v>
      </c>
      <c r="C145" s="17">
        <v>6084</v>
      </c>
      <c r="D145" s="11" t="e">
        <f>+VLOOKUP(B145,#REF!,6,FALSE)</f>
        <v>#REF!</v>
      </c>
      <c r="E145" s="10">
        <v>0.49320000000000003</v>
      </c>
      <c r="F145" s="10"/>
      <c r="G145" s="10"/>
      <c r="H145" s="10"/>
      <c r="I145" s="11" t="e">
        <f>+VLOOKUP(B145,#REF!,7,FALSE)</f>
        <v>#REF!</v>
      </c>
      <c r="J145" s="12" t="str">
        <f t="shared" si="6"/>
        <v/>
      </c>
      <c r="K145" s="12" t="str">
        <f t="shared" si="7"/>
        <v/>
      </c>
      <c r="L145" s="12" t="e">
        <f t="shared" si="8"/>
        <v>#VALUE!</v>
      </c>
    </row>
    <row r="146" spans="1:12" ht="24" customHeight="1" x14ac:dyDescent="0.25">
      <c r="A146" s="9">
        <v>43133</v>
      </c>
      <c r="B146" s="10" t="s">
        <v>86</v>
      </c>
      <c r="C146" s="17">
        <v>435</v>
      </c>
      <c r="D146" s="11" t="e">
        <f>+VLOOKUP(B146,#REF!,6,FALSE)</f>
        <v>#REF!</v>
      </c>
      <c r="E146" s="10">
        <v>3.7873000000000001</v>
      </c>
      <c r="F146" s="10"/>
      <c r="G146" s="10"/>
      <c r="H146" s="10"/>
      <c r="I146" s="11" t="e">
        <f>+VLOOKUP(B146,#REF!,7,FALSE)</f>
        <v>#REF!</v>
      </c>
      <c r="J146" s="12" t="str">
        <f t="shared" si="6"/>
        <v/>
      </c>
      <c r="K146" s="12" t="str">
        <f t="shared" si="7"/>
        <v/>
      </c>
      <c r="L146" s="12" t="e">
        <f t="shared" si="8"/>
        <v>#VALUE!</v>
      </c>
    </row>
    <row r="147" spans="1:12" ht="24" customHeight="1" x14ac:dyDescent="0.25">
      <c r="A147" s="9">
        <v>43133</v>
      </c>
      <c r="B147" s="10" t="s">
        <v>87</v>
      </c>
      <c r="C147" s="17">
        <v>2460</v>
      </c>
      <c r="D147" s="11" t="e">
        <f>+VLOOKUP(B147,#REF!,6,FALSE)</f>
        <v>#REF!</v>
      </c>
      <c r="E147" s="10">
        <v>4.2580999999999998</v>
      </c>
      <c r="F147" s="10"/>
      <c r="G147" s="10"/>
      <c r="H147" s="10"/>
      <c r="I147" s="11" t="e">
        <f>+VLOOKUP(B147,#REF!,7,FALSE)</f>
        <v>#REF!</v>
      </c>
      <c r="J147" s="12" t="str">
        <f t="shared" si="6"/>
        <v/>
      </c>
      <c r="K147" s="12" t="str">
        <f t="shared" si="7"/>
        <v/>
      </c>
      <c r="L147" s="12" t="e">
        <f t="shared" si="8"/>
        <v>#VALUE!</v>
      </c>
    </row>
    <row r="148" spans="1:12" ht="24" customHeight="1" x14ac:dyDescent="0.25">
      <c r="A148" s="9">
        <v>43133</v>
      </c>
      <c r="B148" s="10" t="s">
        <v>161</v>
      </c>
      <c r="C148" s="17">
        <v>3930</v>
      </c>
      <c r="D148" s="11" t="e">
        <f>+VLOOKUP(B148,#REF!,6,FALSE)/6</f>
        <v>#REF!</v>
      </c>
      <c r="E148" s="10">
        <f>20.1482/6</f>
        <v>3.3580333333333332</v>
      </c>
      <c r="F148" s="10"/>
      <c r="G148" s="10"/>
      <c r="H148" s="10"/>
      <c r="I148" s="11" t="e">
        <f>+VLOOKUP(B148,#REF!,7,FALSE)</f>
        <v>#REF!</v>
      </c>
      <c r="J148" s="12" t="str">
        <f t="shared" si="6"/>
        <v/>
      </c>
      <c r="K148" s="12" t="str">
        <f t="shared" si="7"/>
        <v/>
      </c>
      <c r="L148" s="12" t="e">
        <f t="shared" si="8"/>
        <v>#VALUE!</v>
      </c>
    </row>
    <row r="149" spans="1:12" ht="24" customHeight="1" x14ac:dyDescent="0.25">
      <c r="A149" s="9">
        <v>43133</v>
      </c>
      <c r="B149" s="10" t="s">
        <v>162</v>
      </c>
      <c r="C149" s="17">
        <v>15576</v>
      </c>
      <c r="D149" s="11" t="e">
        <f>+VLOOKUP(B149,#REF!,6,FALSE)/12</f>
        <v>#REF!</v>
      </c>
      <c r="E149" s="21">
        <f>7.5558/12</f>
        <v>0.62964999999999993</v>
      </c>
      <c r="F149" s="10"/>
      <c r="G149" s="10"/>
      <c r="H149" s="10"/>
      <c r="I149" s="11" t="e">
        <f>+VLOOKUP(B149,#REF!,7,FALSE)</f>
        <v>#REF!</v>
      </c>
      <c r="J149" s="12" t="str">
        <f t="shared" si="6"/>
        <v/>
      </c>
      <c r="K149" s="12" t="str">
        <f t="shared" si="7"/>
        <v/>
      </c>
      <c r="L149" s="12" t="e">
        <f t="shared" si="8"/>
        <v>#VALUE!</v>
      </c>
    </row>
    <row r="150" spans="1:12" ht="24" customHeight="1" x14ac:dyDescent="0.25">
      <c r="A150" s="9">
        <v>43133</v>
      </c>
      <c r="B150" s="14" t="s">
        <v>172</v>
      </c>
      <c r="C150" s="17">
        <v>2368</v>
      </c>
      <c r="D150" s="11" t="e">
        <f>+VLOOKUP(B150,#REF!,6,FALSE)/4</f>
        <v>#REF!</v>
      </c>
      <c r="E150" s="10">
        <f>10.0849/4</f>
        <v>2.5212249999999998</v>
      </c>
      <c r="F150" s="10"/>
      <c r="G150" s="10"/>
      <c r="H150" s="10"/>
      <c r="I150" s="11" t="e">
        <f>+VLOOKUP(B150,#REF!,7,FALSE)</f>
        <v>#REF!</v>
      </c>
      <c r="J150" s="12" t="str">
        <f t="shared" si="6"/>
        <v/>
      </c>
      <c r="K150" s="12" t="str">
        <f t="shared" si="7"/>
        <v/>
      </c>
      <c r="L150" s="12" t="e">
        <f t="shared" si="8"/>
        <v>#VALUE!</v>
      </c>
    </row>
    <row r="151" spans="1:12" ht="24" customHeight="1" x14ac:dyDescent="0.25">
      <c r="A151" s="9">
        <v>43133</v>
      </c>
      <c r="B151" s="10" t="s">
        <v>181</v>
      </c>
      <c r="C151" s="17">
        <v>3320</v>
      </c>
      <c r="D151" s="11" t="e">
        <f>+VLOOKUP(B151,#REF!,6,FALSE)/8</f>
        <v>#REF!</v>
      </c>
      <c r="E151" s="10">
        <f>21.0183/8</f>
        <v>2.6272875</v>
      </c>
      <c r="F151" s="10"/>
      <c r="G151" s="10"/>
      <c r="H151" s="10"/>
      <c r="I151" s="11" t="e">
        <f>+VLOOKUP(B151,#REF!,7,FALSE)</f>
        <v>#REF!</v>
      </c>
      <c r="J151" s="12" t="str">
        <f t="shared" si="6"/>
        <v/>
      </c>
      <c r="K151" s="12" t="str">
        <f t="shared" si="7"/>
        <v/>
      </c>
      <c r="L151" s="12" t="e">
        <f t="shared" si="8"/>
        <v>#VALUE!</v>
      </c>
    </row>
    <row r="152" spans="1:12" ht="24" customHeight="1" x14ac:dyDescent="0.25">
      <c r="A152" s="9">
        <v>43136</v>
      </c>
      <c r="B152" s="10" t="s">
        <v>96</v>
      </c>
      <c r="C152" s="17">
        <v>2472</v>
      </c>
      <c r="D152" s="22" t="e">
        <f>+VLOOKUP(B152,#REF!,6,FALSE)/6</f>
        <v>#REF!</v>
      </c>
      <c r="E152" s="10">
        <f>15.0359/6</f>
        <v>2.5059833333333335</v>
      </c>
      <c r="F152" s="10"/>
      <c r="G152" s="10"/>
      <c r="H152" s="10"/>
      <c r="I152" s="11" t="e">
        <f>+VLOOKUP(B152,#REF!,7,FALSE)</f>
        <v>#REF!</v>
      </c>
      <c r="J152" s="12" t="str">
        <f t="shared" si="6"/>
        <v/>
      </c>
      <c r="K152" s="12" t="str">
        <f t="shared" si="7"/>
        <v/>
      </c>
      <c r="L152" s="12" t="e">
        <f t="shared" si="8"/>
        <v>#VALUE!</v>
      </c>
    </row>
    <row r="153" spans="1:12" ht="24" customHeight="1" x14ac:dyDescent="0.25">
      <c r="A153" s="9">
        <v>43136</v>
      </c>
      <c r="B153" s="10" t="s">
        <v>97</v>
      </c>
      <c r="C153" s="28">
        <v>3714</v>
      </c>
      <c r="D153" s="11" t="e">
        <f>+VLOOKUP(B153,#REF!,6,FALSE)/6</f>
        <v>#REF!</v>
      </c>
      <c r="E153" s="21">
        <f>36.1905/6</f>
        <v>6.0317499999999997</v>
      </c>
      <c r="F153" s="10"/>
      <c r="G153" s="10"/>
      <c r="H153" s="10"/>
      <c r="I153" s="11" t="e">
        <f>+VLOOKUP(B153,#REF!,7,FALSE)</f>
        <v>#REF!</v>
      </c>
      <c r="J153" s="12" t="str">
        <f t="shared" si="6"/>
        <v/>
      </c>
      <c r="K153" s="12" t="str">
        <f t="shared" si="7"/>
        <v/>
      </c>
      <c r="L153" s="12" t="e">
        <f t="shared" si="8"/>
        <v>#VALUE!</v>
      </c>
    </row>
    <row r="154" spans="1:12" ht="24" customHeight="1" x14ac:dyDescent="0.25">
      <c r="A154" s="9">
        <v>43136</v>
      </c>
      <c r="B154" s="10" t="s">
        <v>101</v>
      </c>
      <c r="C154" s="17">
        <v>40536</v>
      </c>
      <c r="D154" s="11" t="e">
        <f>+VLOOKUP(B154,#REF!,6,FALSE)</f>
        <v>#REF!</v>
      </c>
      <c r="E154" s="10">
        <v>0.73209999999999997</v>
      </c>
      <c r="F154" s="10"/>
      <c r="G154" s="10"/>
      <c r="H154" s="10"/>
      <c r="I154" s="11" t="e">
        <f>+VLOOKUP(B154,#REF!,7,FALSE)</f>
        <v>#REF!</v>
      </c>
      <c r="J154" s="12" t="str">
        <f t="shared" si="6"/>
        <v/>
      </c>
      <c r="K154" s="12" t="str">
        <f t="shared" si="7"/>
        <v/>
      </c>
      <c r="L154" s="12" t="e">
        <f t="shared" si="8"/>
        <v>#VALUE!</v>
      </c>
    </row>
    <row r="155" spans="1:12" ht="24" customHeight="1" x14ac:dyDescent="0.25">
      <c r="A155" s="9">
        <v>43136</v>
      </c>
      <c r="B155" s="10" t="s">
        <v>107</v>
      </c>
      <c r="C155" s="17">
        <v>12000</v>
      </c>
      <c r="D155" s="11" t="e">
        <f>+VLOOKUP(B155,#REF!,6,FALSE)</f>
        <v>#REF!</v>
      </c>
      <c r="E155" s="10">
        <v>0.72030000000000005</v>
      </c>
      <c r="F155" s="10"/>
      <c r="G155" s="10"/>
      <c r="H155" s="10"/>
      <c r="I155" s="11" t="e">
        <f>+VLOOKUP(B155,#REF!,7,FALSE)</f>
        <v>#REF!</v>
      </c>
      <c r="J155" s="12" t="str">
        <f t="shared" si="6"/>
        <v/>
      </c>
      <c r="K155" s="12" t="str">
        <f t="shared" si="7"/>
        <v/>
      </c>
      <c r="L155" s="12" t="e">
        <f t="shared" si="8"/>
        <v>#VALUE!</v>
      </c>
    </row>
    <row r="156" spans="1:12" ht="24" customHeight="1" x14ac:dyDescent="0.25">
      <c r="A156" s="9">
        <v>43136</v>
      </c>
      <c r="B156" s="10" t="s">
        <v>156</v>
      </c>
      <c r="C156" s="17">
        <v>3060</v>
      </c>
      <c r="D156" s="11" t="e">
        <f>+VLOOKUP(B156,#REF!,6,FALSE)</f>
        <v>#REF!</v>
      </c>
      <c r="E156" s="10">
        <v>0.64659999999999995</v>
      </c>
      <c r="F156" s="10"/>
      <c r="G156" s="10"/>
      <c r="H156" s="10"/>
      <c r="I156" s="11" t="e">
        <f>+VLOOKUP(B156,#REF!,7,FALSE)</f>
        <v>#REF!</v>
      </c>
      <c r="J156" s="12" t="str">
        <f t="shared" si="6"/>
        <v/>
      </c>
      <c r="K156" s="12" t="str">
        <f t="shared" si="7"/>
        <v/>
      </c>
      <c r="L156" s="12" t="e">
        <f t="shared" si="8"/>
        <v>#VALUE!</v>
      </c>
    </row>
    <row r="157" spans="1:12" ht="24" customHeight="1" x14ac:dyDescent="0.25">
      <c r="A157" s="9">
        <v>43136</v>
      </c>
      <c r="B157" s="10" t="s">
        <v>230</v>
      </c>
      <c r="C157" s="17">
        <v>18558</v>
      </c>
      <c r="D157" s="11" t="e">
        <f>+VLOOKUP(B157,#REF!,6,FALSE)</f>
        <v>#REF!</v>
      </c>
      <c r="E157" s="21">
        <f>3.2927/6</f>
        <v>0.54878333333333329</v>
      </c>
      <c r="F157" s="10"/>
      <c r="G157" s="10"/>
      <c r="H157" s="10"/>
      <c r="I157" s="11" t="e">
        <f>+VLOOKUP(B157,#REF!,7,FALSE)</f>
        <v>#REF!</v>
      </c>
      <c r="J157" s="12" t="str">
        <f t="shared" si="6"/>
        <v/>
      </c>
      <c r="K157" s="12" t="str">
        <f t="shared" si="7"/>
        <v/>
      </c>
      <c r="L157" s="12" t="e">
        <f t="shared" si="8"/>
        <v>#VALUE!</v>
      </c>
    </row>
    <row r="158" spans="1:12" ht="24" customHeight="1" x14ac:dyDescent="0.25">
      <c r="A158" s="9">
        <v>43137</v>
      </c>
      <c r="B158" s="10" t="s">
        <v>55</v>
      </c>
      <c r="C158" s="17">
        <v>792</v>
      </c>
      <c r="D158" s="11" t="e">
        <f>+VLOOKUP(B158,#REF!,6,FALSE)</f>
        <v>#REF!</v>
      </c>
      <c r="E158" s="10">
        <f>7.105/12</f>
        <v>0.59208333333333341</v>
      </c>
      <c r="F158" s="10"/>
      <c r="G158" s="10"/>
      <c r="H158" s="10"/>
      <c r="I158" s="11" t="e">
        <f>+VLOOKUP(B158,#REF!,7,FALSE)</f>
        <v>#REF!</v>
      </c>
      <c r="J158" s="12" t="str">
        <f t="shared" si="6"/>
        <v/>
      </c>
      <c r="K158" s="12" t="str">
        <f t="shared" si="7"/>
        <v/>
      </c>
      <c r="L158" s="12" t="e">
        <f t="shared" si="8"/>
        <v>#VALUE!</v>
      </c>
    </row>
    <row r="159" spans="1:12" ht="24" customHeight="1" x14ac:dyDescent="0.25">
      <c r="A159" s="9">
        <v>43137</v>
      </c>
      <c r="B159" s="10" t="s">
        <v>64</v>
      </c>
      <c r="C159" s="17">
        <v>3528</v>
      </c>
      <c r="D159" s="11" t="e">
        <f>+VLOOKUP(B159,#REF!,6,FALSE)</f>
        <v>#REF!</v>
      </c>
      <c r="E159" s="10">
        <f>18.2803/72</f>
        <v>0.25389305555555558</v>
      </c>
      <c r="F159" s="10"/>
      <c r="G159" s="10"/>
      <c r="H159" s="10"/>
      <c r="I159" s="11" t="e">
        <f>+VLOOKUP(B159,#REF!,7,FALSE)/72</f>
        <v>#REF!</v>
      </c>
      <c r="J159" s="12" t="str">
        <f t="shared" si="6"/>
        <v/>
      </c>
      <c r="K159" s="12" t="str">
        <f t="shared" si="7"/>
        <v/>
      </c>
      <c r="L159" s="12" t="e">
        <f t="shared" si="8"/>
        <v>#VALUE!</v>
      </c>
    </row>
    <row r="160" spans="1:12" ht="24" customHeight="1" x14ac:dyDescent="0.25">
      <c r="A160" s="9">
        <v>43137</v>
      </c>
      <c r="B160" s="10" t="s">
        <v>65</v>
      </c>
      <c r="C160" s="17">
        <v>126</v>
      </c>
      <c r="D160" s="11" t="e">
        <f>+VLOOKUP(B160,#REF!,6,FALSE)</f>
        <v>#REF!</v>
      </c>
      <c r="E160" s="10">
        <v>1.1311</v>
      </c>
      <c r="F160" s="10"/>
      <c r="G160" s="10"/>
      <c r="H160" s="10"/>
      <c r="I160" s="11" t="e">
        <f>+VLOOKUP(B160,#REF!,7,FALSE)</f>
        <v>#REF!</v>
      </c>
      <c r="J160" s="12" t="str">
        <f t="shared" si="6"/>
        <v/>
      </c>
      <c r="K160" s="12" t="str">
        <f t="shared" si="7"/>
        <v/>
      </c>
      <c r="L160" s="12" t="e">
        <f t="shared" si="8"/>
        <v>#VALUE!</v>
      </c>
    </row>
    <row r="161" spans="1:12" ht="24" customHeight="1" x14ac:dyDescent="0.25">
      <c r="A161" s="9">
        <v>43137</v>
      </c>
      <c r="B161" s="10" t="s">
        <v>74</v>
      </c>
      <c r="C161" s="17">
        <v>180</v>
      </c>
      <c r="D161" s="11" t="e">
        <f>+VLOOKUP(B161,#REF!,6,FALSE)</f>
        <v>#REF!</v>
      </c>
      <c r="E161" s="10">
        <f>19.4327/9</f>
        <v>2.159188888888889</v>
      </c>
      <c r="F161" s="10"/>
      <c r="G161" s="10"/>
      <c r="H161" s="10"/>
      <c r="I161" s="11" t="e">
        <f>+VLOOKUP(B161,#REF!,7,FALSE)</f>
        <v>#REF!</v>
      </c>
      <c r="J161" s="12" t="str">
        <f t="shared" si="6"/>
        <v/>
      </c>
      <c r="K161" s="12" t="str">
        <f t="shared" si="7"/>
        <v/>
      </c>
      <c r="L161" s="12" t="e">
        <f t="shared" si="8"/>
        <v>#VALUE!</v>
      </c>
    </row>
    <row r="162" spans="1:12" ht="24" customHeight="1" x14ac:dyDescent="0.25">
      <c r="A162" s="9">
        <v>43137</v>
      </c>
      <c r="B162" s="10" t="s">
        <v>101</v>
      </c>
      <c r="C162" s="17">
        <v>41172</v>
      </c>
      <c r="D162" s="11" t="e">
        <f>+VLOOKUP(B162,#REF!,6,FALSE)</f>
        <v>#REF!</v>
      </c>
      <c r="E162" s="10">
        <v>0.72199999999999998</v>
      </c>
      <c r="F162" s="10"/>
      <c r="G162" s="10"/>
      <c r="H162" s="10"/>
      <c r="I162" s="11" t="e">
        <f>+VLOOKUP(B162,#REF!,7,FALSE)</f>
        <v>#REF!</v>
      </c>
      <c r="J162" s="12" t="str">
        <f t="shared" si="6"/>
        <v/>
      </c>
      <c r="K162" s="12" t="str">
        <f t="shared" si="7"/>
        <v/>
      </c>
      <c r="L162" s="12" t="e">
        <f t="shared" si="8"/>
        <v>#VALUE!</v>
      </c>
    </row>
    <row r="163" spans="1:12" ht="24" customHeight="1" x14ac:dyDescent="0.25">
      <c r="A163" s="9">
        <v>43137</v>
      </c>
      <c r="B163" s="10" t="s">
        <v>108</v>
      </c>
      <c r="C163" s="17">
        <v>7776</v>
      </c>
      <c r="D163" s="11" t="e">
        <f>+VLOOKUP(B163,#REF!,6,FALSE)</f>
        <v>#REF!</v>
      </c>
      <c r="E163" s="10">
        <v>0.66159999999999997</v>
      </c>
      <c r="F163" s="10"/>
      <c r="G163" s="10"/>
      <c r="H163" s="10"/>
      <c r="I163" s="11" t="e">
        <f>+VLOOKUP(B163,#REF!,7,FALSE)</f>
        <v>#REF!</v>
      </c>
      <c r="J163" s="12" t="str">
        <f t="shared" si="6"/>
        <v/>
      </c>
      <c r="K163" s="12" t="str">
        <f t="shared" si="7"/>
        <v/>
      </c>
      <c r="L163" s="12" t="e">
        <f t="shared" si="8"/>
        <v>#VALUE!</v>
      </c>
    </row>
    <row r="164" spans="1:12" ht="24" customHeight="1" x14ac:dyDescent="0.25">
      <c r="A164" s="9">
        <v>43137</v>
      </c>
      <c r="B164" s="10" t="s">
        <v>155</v>
      </c>
      <c r="C164" s="17">
        <v>2520</v>
      </c>
      <c r="D164" s="11" t="e">
        <f>+VLOOKUP(B164,#REF!,6,FALSE)</f>
        <v>#REF!</v>
      </c>
      <c r="E164" s="10">
        <v>0.66279999999999994</v>
      </c>
      <c r="F164" s="10"/>
      <c r="G164" s="10"/>
      <c r="H164" s="10"/>
      <c r="I164" s="11" t="e">
        <f>+VLOOKUP(B164,#REF!,7,FALSE)</f>
        <v>#REF!</v>
      </c>
      <c r="J164" s="12" t="str">
        <f t="shared" si="6"/>
        <v/>
      </c>
      <c r="K164" s="12" t="str">
        <f t="shared" si="7"/>
        <v/>
      </c>
      <c r="L164" s="12" t="e">
        <f t="shared" si="8"/>
        <v>#VALUE!</v>
      </c>
    </row>
    <row r="165" spans="1:12" ht="24" customHeight="1" x14ac:dyDescent="0.25">
      <c r="A165" s="9">
        <v>43137</v>
      </c>
      <c r="B165" s="10" t="s">
        <v>157</v>
      </c>
      <c r="C165" s="17">
        <v>2244</v>
      </c>
      <c r="D165" s="11" t="e">
        <f>+VLOOKUP(B165,#REF!,6,FALSE)</f>
        <v>#REF!</v>
      </c>
      <c r="E165" s="10">
        <v>0.70340000000000003</v>
      </c>
      <c r="F165" s="10"/>
      <c r="G165" s="10"/>
      <c r="H165" s="10"/>
      <c r="I165" s="11" t="e">
        <f>+VLOOKUP(B165,#REF!,7,FALSE)</f>
        <v>#REF!</v>
      </c>
      <c r="J165" s="12" t="str">
        <f t="shared" si="6"/>
        <v/>
      </c>
      <c r="K165" s="12" t="str">
        <f t="shared" si="7"/>
        <v/>
      </c>
      <c r="L165" s="12" t="e">
        <f t="shared" si="8"/>
        <v>#VALUE!</v>
      </c>
    </row>
    <row r="166" spans="1:12" ht="24" customHeight="1" x14ac:dyDescent="0.25">
      <c r="A166" s="9">
        <v>43137</v>
      </c>
      <c r="B166" s="10" t="s">
        <v>183</v>
      </c>
      <c r="C166" s="17">
        <v>2760</v>
      </c>
      <c r="D166" s="11" t="e">
        <f>+VLOOKUP(B166,#REF!,6,FALSE)/6</f>
        <v>#REF!</v>
      </c>
      <c r="E166" s="10">
        <f>14.3962/6</f>
        <v>2.3993666666666669</v>
      </c>
      <c r="F166" s="10"/>
      <c r="G166" s="10"/>
      <c r="H166" s="10"/>
      <c r="I166" s="11" t="e">
        <f>+VLOOKUP(B166,#REF!,7,FALSE)</f>
        <v>#REF!</v>
      </c>
      <c r="J166" s="12" t="str">
        <f t="shared" si="6"/>
        <v/>
      </c>
      <c r="K166" s="12" t="str">
        <f t="shared" si="7"/>
        <v/>
      </c>
      <c r="L166" s="12" t="e">
        <f t="shared" si="8"/>
        <v>#VALUE!</v>
      </c>
    </row>
    <row r="167" spans="1:12" ht="24" customHeight="1" x14ac:dyDescent="0.25">
      <c r="A167" s="9">
        <v>43137</v>
      </c>
      <c r="B167" s="10" t="s">
        <v>184</v>
      </c>
      <c r="C167" s="17">
        <v>3024</v>
      </c>
      <c r="D167" s="11" t="e">
        <f>+VLOOKUP(B167,#REF!,6,FALSE)/6</f>
        <v>#REF!</v>
      </c>
      <c r="E167" s="10">
        <f>13.2512/6</f>
        <v>2.2085333333333335</v>
      </c>
      <c r="F167" s="10"/>
      <c r="G167" s="10"/>
      <c r="H167" s="10"/>
      <c r="I167" s="11" t="e">
        <f>+VLOOKUP(B167,#REF!,7,FALSE)</f>
        <v>#REF!</v>
      </c>
      <c r="J167" s="12" t="str">
        <f t="shared" si="6"/>
        <v/>
      </c>
      <c r="K167" s="12" t="str">
        <f t="shared" si="7"/>
        <v/>
      </c>
      <c r="L167" s="12" t="e">
        <f t="shared" si="8"/>
        <v>#VALUE!</v>
      </c>
    </row>
    <row r="168" spans="1:12" ht="24" customHeight="1" x14ac:dyDescent="0.25">
      <c r="A168" s="9">
        <v>43137</v>
      </c>
      <c r="B168" s="10" t="s">
        <v>230</v>
      </c>
      <c r="C168" s="17">
        <v>17448</v>
      </c>
      <c r="D168" s="11" t="e">
        <f>+VLOOKUP(B168,#REF!,6,FALSE)</f>
        <v>#REF!</v>
      </c>
      <c r="E168" s="10">
        <f>3.2595/6</f>
        <v>0.54325000000000001</v>
      </c>
      <c r="F168" s="10"/>
      <c r="G168" s="10"/>
      <c r="H168" s="10"/>
      <c r="I168" s="11" t="e">
        <f>+VLOOKUP(B168,#REF!,7,FALSE)</f>
        <v>#REF!</v>
      </c>
      <c r="J168" s="12" t="str">
        <f t="shared" si="6"/>
        <v/>
      </c>
      <c r="K168" s="12" t="str">
        <f t="shared" si="7"/>
        <v/>
      </c>
      <c r="L168" s="12" t="e">
        <f t="shared" si="8"/>
        <v>#VALUE!</v>
      </c>
    </row>
    <row r="169" spans="1:12" ht="24" customHeight="1" x14ac:dyDescent="0.25">
      <c r="A169" s="9">
        <v>43138</v>
      </c>
      <c r="B169" s="10" t="s">
        <v>49</v>
      </c>
      <c r="C169" s="17">
        <v>98</v>
      </c>
      <c r="D169" s="11" t="e">
        <f>+VLOOKUP(B169,#REF!,6,FALSE)</f>
        <v>#REF!</v>
      </c>
      <c r="E169" s="10">
        <v>2.6686999999999999</v>
      </c>
      <c r="F169" s="10"/>
      <c r="G169" s="10"/>
      <c r="H169" s="10"/>
      <c r="I169" s="11" t="e">
        <f>+VLOOKUP(B169,#REF!,7,FALSE)</f>
        <v>#REF!</v>
      </c>
      <c r="J169" s="12" t="str">
        <f t="shared" si="6"/>
        <v/>
      </c>
      <c r="K169" s="12" t="str">
        <f t="shared" si="7"/>
        <v/>
      </c>
      <c r="L169" s="12" t="e">
        <f t="shared" si="8"/>
        <v>#VALUE!</v>
      </c>
    </row>
    <row r="170" spans="1:12" ht="24" customHeight="1" x14ac:dyDescent="0.25">
      <c r="A170" s="9">
        <v>43138</v>
      </c>
      <c r="B170" s="10" t="s">
        <v>54</v>
      </c>
      <c r="C170" s="17">
        <v>756</v>
      </c>
      <c r="D170" s="11" t="e">
        <f>+VLOOKUP(B170,#REF!,6,FALSE)</f>
        <v>#REF!</v>
      </c>
      <c r="E170" s="10">
        <f>7.0261/12</f>
        <v>0.5855083333333333</v>
      </c>
      <c r="F170" s="10"/>
      <c r="G170" s="10"/>
      <c r="H170" s="10"/>
      <c r="I170" s="11" t="e">
        <f>+VLOOKUP(B170,#REF!,7,FALSE)</f>
        <v>#REF!</v>
      </c>
      <c r="J170" s="12" t="str">
        <f t="shared" si="6"/>
        <v/>
      </c>
      <c r="K170" s="12" t="str">
        <f t="shared" si="7"/>
        <v/>
      </c>
      <c r="L170" s="12" t="e">
        <f t="shared" si="8"/>
        <v>#VALUE!</v>
      </c>
    </row>
    <row r="171" spans="1:12" ht="24" customHeight="1" x14ac:dyDescent="0.25">
      <c r="A171" s="9">
        <v>43138</v>
      </c>
      <c r="B171" s="10" t="s">
        <v>62</v>
      </c>
      <c r="C171" s="17">
        <v>654</v>
      </c>
      <c r="D171" s="11" t="e">
        <f>+VLOOKUP(B171,#REF!,6,FALSE)</f>
        <v>#REF!</v>
      </c>
      <c r="E171" s="10">
        <f>6.9039/6</f>
        <v>1.15065</v>
      </c>
      <c r="F171" s="10"/>
      <c r="G171" s="10"/>
      <c r="H171" s="10"/>
      <c r="I171" s="11" t="e">
        <f>+VLOOKUP(B171,#REF!,7,FALSE)</f>
        <v>#REF!</v>
      </c>
      <c r="J171" s="12" t="str">
        <f t="shared" si="6"/>
        <v/>
      </c>
      <c r="K171" s="12" t="str">
        <f t="shared" si="7"/>
        <v/>
      </c>
      <c r="L171" s="12" t="e">
        <f t="shared" si="8"/>
        <v>#VALUE!</v>
      </c>
    </row>
    <row r="172" spans="1:12" ht="24" customHeight="1" x14ac:dyDescent="0.25">
      <c r="A172" s="9">
        <v>43138</v>
      </c>
      <c r="B172" s="10" t="s">
        <v>63</v>
      </c>
      <c r="C172" s="17">
        <v>2880</v>
      </c>
      <c r="D172" s="11" t="e">
        <f>+VLOOKUP(B172,#REF!,6,FALSE)</f>
        <v>#REF!</v>
      </c>
      <c r="E172" s="10">
        <f>19.2245/72</f>
        <v>0.26700694444444445</v>
      </c>
      <c r="F172" s="10"/>
      <c r="G172" s="10"/>
      <c r="H172" s="10"/>
      <c r="I172" s="11" t="e">
        <f>+VLOOKUP(B172,#REF!,7,FALSE)</f>
        <v>#REF!</v>
      </c>
      <c r="J172" s="12" t="str">
        <f t="shared" si="6"/>
        <v/>
      </c>
      <c r="K172" s="12" t="str">
        <f t="shared" si="7"/>
        <v/>
      </c>
      <c r="L172" s="12" t="e">
        <f t="shared" si="8"/>
        <v>#VALUE!</v>
      </c>
    </row>
    <row r="173" spans="1:12" ht="24" customHeight="1" x14ac:dyDescent="0.25">
      <c r="A173" s="9">
        <v>43138</v>
      </c>
      <c r="B173" s="10" t="s">
        <v>101</v>
      </c>
      <c r="C173" s="17">
        <v>40680</v>
      </c>
      <c r="D173" s="11" t="e">
        <f>+VLOOKUP(B173,#REF!,6,FALSE)</f>
        <v>#REF!</v>
      </c>
      <c r="E173" s="10">
        <v>0.71870000000000001</v>
      </c>
      <c r="F173" s="10"/>
      <c r="G173" s="10"/>
      <c r="H173" s="10"/>
      <c r="I173" s="11" t="e">
        <f>+VLOOKUP(B173,#REF!,7,FALSE)</f>
        <v>#REF!</v>
      </c>
      <c r="J173" s="12" t="str">
        <f t="shared" si="6"/>
        <v/>
      </c>
      <c r="K173" s="12" t="str">
        <f t="shared" si="7"/>
        <v/>
      </c>
      <c r="L173" s="12" t="e">
        <f t="shared" si="8"/>
        <v>#VALUE!</v>
      </c>
    </row>
    <row r="174" spans="1:12" ht="24" customHeight="1" x14ac:dyDescent="0.25">
      <c r="A174" s="9">
        <v>43138</v>
      </c>
      <c r="B174" s="10" t="s">
        <v>109</v>
      </c>
      <c r="C174" s="17">
        <v>8076</v>
      </c>
      <c r="D174" s="11" t="e">
        <f>+VLOOKUP(B174,#REF!,6,FALSE)</f>
        <v>#REF!</v>
      </c>
      <c r="E174" s="10">
        <v>0.58199999999999996</v>
      </c>
      <c r="F174" s="10"/>
      <c r="G174" s="10"/>
      <c r="H174" s="10"/>
      <c r="I174" s="11" t="e">
        <f>+VLOOKUP(B174,#REF!,7,FALSE)</f>
        <v>#REF!</v>
      </c>
      <c r="J174" s="12" t="str">
        <f t="shared" si="6"/>
        <v/>
      </c>
      <c r="K174" s="12" t="str">
        <f t="shared" si="7"/>
        <v/>
      </c>
      <c r="L174" s="12" t="e">
        <f t="shared" si="8"/>
        <v>#VALUE!</v>
      </c>
    </row>
    <row r="175" spans="1:12" ht="24" customHeight="1" x14ac:dyDescent="0.25">
      <c r="A175" s="9">
        <v>43138</v>
      </c>
      <c r="B175" s="10" t="s">
        <v>110</v>
      </c>
      <c r="C175" s="17">
        <v>7572</v>
      </c>
      <c r="D175" s="11" t="e">
        <f>+VLOOKUP(B175,#REF!,6,FALSE)</f>
        <v>#REF!</v>
      </c>
      <c r="E175" s="10">
        <v>0.71650000000000003</v>
      </c>
      <c r="F175" s="10"/>
      <c r="G175" s="10"/>
      <c r="H175" s="10"/>
      <c r="I175" s="11" t="e">
        <f>+VLOOKUP(B175,#REF!,7,FALSE)</f>
        <v>#REF!</v>
      </c>
      <c r="J175" s="12" t="str">
        <f t="shared" si="6"/>
        <v/>
      </c>
      <c r="K175" s="12" t="str">
        <f t="shared" si="7"/>
        <v/>
      </c>
      <c r="L175" s="12" t="e">
        <f t="shared" si="8"/>
        <v>#VALUE!</v>
      </c>
    </row>
    <row r="176" spans="1:12" ht="24" customHeight="1" x14ac:dyDescent="0.25">
      <c r="A176" s="9">
        <v>43138</v>
      </c>
      <c r="B176" s="10" t="s">
        <v>171</v>
      </c>
      <c r="C176" s="17">
        <v>5352</v>
      </c>
      <c r="D176" s="11" t="e">
        <f>+VLOOKUP(B176,#REF!,6,FALSE)</f>
        <v>#REF!</v>
      </c>
      <c r="E176" s="10">
        <f>2.5635/8</f>
        <v>0.32043749999999999</v>
      </c>
      <c r="F176" s="10"/>
      <c r="G176" s="10"/>
      <c r="H176" s="10"/>
      <c r="I176" s="11" t="e">
        <f>+VLOOKUP(B176,#REF!,7,FALSE)</f>
        <v>#REF!</v>
      </c>
      <c r="J176" s="12" t="str">
        <f t="shared" si="6"/>
        <v/>
      </c>
      <c r="K176" s="12" t="str">
        <f t="shared" si="7"/>
        <v/>
      </c>
      <c r="L176" s="12" t="e">
        <f t="shared" si="8"/>
        <v>#VALUE!</v>
      </c>
    </row>
    <row r="177" spans="1:12" ht="24" customHeight="1" x14ac:dyDescent="0.25">
      <c r="A177" s="9">
        <v>43138</v>
      </c>
      <c r="B177" s="10" t="s">
        <v>190</v>
      </c>
      <c r="C177" s="17">
        <v>7074</v>
      </c>
      <c r="D177" s="11" t="e">
        <f>+VLOOKUP(B177,#REF!,6,FALSE)/6</f>
        <v>#REF!</v>
      </c>
      <c r="E177" s="10">
        <v>2.5634999999999999</v>
      </c>
      <c r="F177" s="10"/>
      <c r="G177" s="10"/>
      <c r="H177" s="10"/>
      <c r="I177" s="11" t="e">
        <f>+VLOOKUP(B177,#REF!,7,FALSE)</f>
        <v>#REF!</v>
      </c>
      <c r="J177" s="12" t="str">
        <f t="shared" si="6"/>
        <v/>
      </c>
      <c r="K177" s="12" t="str">
        <f t="shared" si="7"/>
        <v/>
      </c>
      <c r="L177" s="12" t="e">
        <f t="shared" si="8"/>
        <v>#VALUE!</v>
      </c>
    </row>
    <row r="178" spans="1:12" ht="24" customHeight="1" x14ac:dyDescent="0.25">
      <c r="A178" s="9">
        <v>43138</v>
      </c>
      <c r="B178" s="14" t="s">
        <v>441</v>
      </c>
      <c r="C178" s="17">
        <v>7368</v>
      </c>
      <c r="D178" s="11" t="e">
        <f>+VLOOKUP(B178,#REF!,6,FALSE)</f>
        <v>#REF!</v>
      </c>
      <c r="E178" s="10">
        <v>0.51380000000000003</v>
      </c>
      <c r="F178" s="10"/>
      <c r="G178" s="10"/>
      <c r="H178" s="10"/>
      <c r="I178" s="11" t="e">
        <f>+VLOOKUP(B178,#REF!,7,FALSE)</f>
        <v>#REF!</v>
      </c>
      <c r="J178" s="12" t="str">
        <f t="shared" si="6"/>
        <v/>
      </c>
      <c r="K178" s="12" t="str">
        <f t="shared" si="7"/>
        <v/>
      </c>
      <c r="L178" s="12" t="e">
        <f t="shared" si="8"/>
        <v>#VALUE!</v>
      </c>
    </row>
    <row r="179" spans="1:12" ht="24" customHeight="1" x14ac:dyDescent="0.25">
      <c r="A179" s="9">
        <v>43139</v>
      </c>
      <c r="B179" s="14" t="s">
        <v>49</v>
      </c>
      <c r="C179" s="17">
        <v>122</v>
      </c>
      <c r="D179" s="11" t="e">
        <f>+VLOOKUP(B179,#REF!,6,FALSE)</f>
        <v>#REF!</v>
      </c>
      <c r="E179" s="10">
        <v>2.7002999999999999</v>
      </c>
      <c r="F179" s="10"/>
      <c r="G179" s="10"/>
      <c r="H179" s="10"/>
      <c r="I179" s="11" t="e">
        <f>+VLOOKUP(B179,#REF!,7,FALSE)</f>
        <v>#REF!</v>
      </c>
      <c r="J179" s="12" t="str">
        <f t="shared" si="6"/>
        <v/>
      </c>
      <c r="K179" s="12" t="str">
        <f t="shared" si="7"/>
        <v/>
      </c>
      <c r="L179" s="12" t="e">
        <f t="shared" si="8"/>
        <v>#VALUE!</v>
      </c>
    </row>
    <row r="180" spans="1:12" ht="24" customHeight="1" x14ac:dyDescent="0.25">
      <c r="A180" s="9">
        <v>43139</v>
      </c>
      <c r="B180" s="14" t="s">
        <v>51</v>
      </c>
      <c r="C180" s="17">
        <v>900</v>
      </c>
      <c r="D180" s="11" t="e">
        <f>+VLOOKUP(B180,#REF!,6,FALSE)</f>
        <v>#REF!</v>
      </c>
      <c r="E180" s="10">
        <f>7.2271/12</f>
        <v>0.60225833333333334</v>
      </c>
      <c r="F180" s="10"/>
      <c r="G180" s="10"/>
      <c r="H180" s="10"/>
      <c r="I180" s="11" t="e">
        <f>+VLOOKUP(B180,#REF!,7,FALSE)</f>
        <v>#REF!</v>
      </c>
      <c r="J180" s="12" t="str">
        <f t="shared" si="6"/>
        <v/>
      </c>
      <c r="K180" s="12" t="str">
        <f t="shared" si="7"/>
        <v/>
      </c>
      <c r="L180" s="12" t="e">
        <f t="shared" si="8"/>
        <v>#VALUE!</v>
      </c>
    </row>
    <row r="181" spans="1:12" ht="24" customHeight="1" x14ac:dyDescent="0.25">
      <c r="A181" s="9">
        <v>43139</v>
      </c>
      <c r="B181" s="14" t="s">
        <v>58</v>
      </c>
      <c r="C181" s="17">
        <v>900</v>
      </c>
      <c r="D181" s="11" t="e">
        <f>+VLOOKUP(B181,#REF!,6,FALSE)</f>
        <v>#REF!</v>
      </c>
      <c r="E181" s="10">
        <f>6.8536/6</f>
        <v>1.1422666666666668</v>
      </c>
      <c r="F181" s="10"/>
      <c r="G181" s="10"/>
      <c r="H181" s="10"/>
      <c r="I181" s="11" t="e">
        <f>+VLOOKUP(B181,#REF!,7,FALSE)</f>
        <v>#REF!</v>
      </c>
      <c r="J181" s="12" t="str">
        <f t="shared" si="6"/>
        <v/>
      </c>
      <c r="K181" s="12" t="str">
        <f t="shared" si="7"/>
        <v/>
      </c>
      <c r="L181" s="12" t="e">
        <f t="shared" si="8"/>
        <v>#VALUE!</v>
      </c>
    </row>
    <row r="182" spans="1:12" ht="24" customHeight="1" x14ac:dyDescent="0.25">
      <c r="A182" s="9">
        <v>43139</v>
      </c>
      <c r="B182" s="14" t="s">
        <v>61</v>
      </c>
      <c r="C182" s="17">
        <v>4032</v>
      </c>
      <c r="D182" s="11" t="e">
        <f>+VLOOKUP(B182,#REF!,6,FALSE)</f>
        <v>#REF!</v>
      </c>
      <c r="E182" s="10">
        <f>18.721/72</f>
        <v>0.26001388888888888</v>
      </c>
      <c r="F182" s="10"/>
      <c r="G182" s="10"/>
      <c r="H182" s="10"/>
      <c r="I182" s="11" t="e">
        <f>+VLOOKUP(B182,#REF!,7,FALSE)/72</f>
        <v>#REF!</v>
      </c>
      <c r="J182" s="12" t="str">
        <f t="shared" si="6"/>
        <v/>
      </c>
      <c r="K182" s="12" t="str">
        <f t="shared" si="7"/>
        <v/>
      </c>
      <c r="L182" s="12" t="e">
        <f t="shared" si="8"/>
        <v>#VALUE!</v>
      </c>
    </row>
    <row r="183" spans="1:12" ht="24" customHeight="1" x14ac:dyDescent="0.25">
      <c r="A183" s="9">
        <v>43139</v>
      </c>
      <c r="B183" s="14" t="s">
        <v>96</v>
      </c>
      <c r="C183" s="17">
        <v>2292</v>
      </c>
      <c r="D183" s="11" t="e">
        <f>+VLOOKUP(B183,#REF!,6,FALSE)/6</f>
        <v>#REF!</v>
      </c>
      <c r="E183" s="10">
        <v>2.3574999999999999</v>
      </c>
      <c r="F183" s="10"/>
      <c r="G183" s="10"/>
      <c r="H183" s="10"/>
      <c r="I183" s="11" t="e">
        <f>+VLOOKUP(B183,#REF!,7,FALSE)</f>
        <v>#REF!</v>
      </c>
      <c r="J183" s="12" t="str">
        <f t="shared" si="6"/>
        <v/>
      </c>
      <c r="K183" s="12" t="str">
        <f t="shared" si="7"/>
        <v/>
      </c>
      <c r="L183" s="12" t="e">
        <f t="shared" si="8"/>
        <v>#VALUE!</v>
      </c>
    </row>
    <row r="184" spans="1:12" ht="24" customHeight="1" x14ac:dyDescent="0.25">
      <c r="A184" s="9">
        <v>43139</v>
      </c>
      <c r="B184" s="14" t="s">
        <v>97</v>
      </c>
      <c r="C184" s="17">
        <v>288</v>
      </c>
      <c r="D184" s="11" t="e">
        <f>+VLOOKUP(B184,#REF!,6,FALSE)/6</f>
        <v>#REF!</v>
      </c>
      <c r="E184" s="10">
        <f>32.6051/6</f>
        <v>5.4341833333333334</v>
      </c>
      <c r="F184" s="10"/>
      <c r="G184" s="10"/>
      <c r="H184" s="10"/>
      <c r="I184" s="11" t="e">
        <f>+VLOOKUP(B184,#REF!,7,FALSE)</f>
        <v>#REF!</v>
      </c>
      <c r="J184" s="12" t="str">
        <f t="shared" si="6"/>
        <v/>
      </c>
      <c r="K184" s="12" t="str">
        <f t="shared" si="7"/>
        <v/>
      </c>
      <c r="L184" s="12" t="e">
        <f t="shared" si="8"/>
        <v>#VALUE!</v>
      </c>
    </row>
    <row r="185" spans="1:12" ht="24" customHeight="1" x14ac:dyDescent="0.25">
      <c r="A185" s="9">
        <v>43139</v>
      </c>
      <c r="B185" s="14" t="s">
        <v>99</v>
      </c>
      <c r="C185" s="17">
        <v>16224</v>
      </c>
      <c r="D185" s="11" t="e">
        <f>+VLOOKUP(B185,#REF!,6,FALSE)</f>
        <v>#REF!</v>
      </c>
      <c r="E185" s="10">
        <v>2.5649000000000002</v>
      </c>
      <c r="F185" s="10"/>
      <c r="G185" s="10"/>
      <c r="H185" s="10"/>
      <c r="I185" s="11" t="e">
        <f>+VLOOKUP(B185,#REF!,7,FALSE)</f>
        <v>#REF!</v>
      </c>
      <c r="J185" s="12" t="str">
        <f t="shared" si="6"/>
        <v/>
      </c>
      <c r="K185" s="12" t="str">
        <f t="shared" si="7"/>
        <v/>
      </c>
      <c r="L185" s="12" t="e">
        <f t="shared" si="8"/>
        <v>#VALUE!</v>
      </c>
    </row>
    <row r="186" spans="1:12" ht="24" customHeight="1" x14ac:dyDescent="0.25">
      <c r="A186" s="9">
        <v>43139</v>
      </c>
      <c r="B186" s="14" t="s">
        <v>144</v>
      </c>
      <c r="C186" s="17">
        <v>5496</v>
      </c>
      <c r="D186" s="11" t="e">
        <f>+VLOOKUP(B186,#REF!,6,FALSE)</f>
        <v>#REF!</v>
      </c>
      <c r="E186" s="10">
        <f>7.15/12</f>
        <v>0.59583333333333333</v>
      </c>
      <c r="F186" s="10"/>
      <c r="G186" s="10"/>
      <c r="H186" s="10"/>
      <c r="I186" s="11" t="e">
        <f>+VLOOKUP(B186,#REF!,7,FALSE)</f>
        <v>#REF!</v>
      </c>
      <c r="J186" s="12" t="str">
        <f t="shared" si="6"/>
        <v/>
      </c>
      <c r="K186" s="12" t="str">
        <f t="shared" si="7"/>
        <v/>
      </c>
      <c r="L186" s="12" t="e">
        <f t="shared" si="8"/>
        <v>#VALUE!</v>
      </c>
    </row>
    <row r="187" spans="1:12" ht="24" customHeight="1" x14ac:dyDescent="0.25">
      <c r="A187" s="9">
        <v>43139</v>
      </c>
      <c r="B187" s="14" t="s">
        <v>191</v>
      </c>
      <c r="C187" s="17">
        <v>6816</v>
      </c>
      <c r="D187" s="11" t="e">
        <f>+VLOOKUP(B187,#REF!,6,FALSE)/6</f>
        <v>#REF!</v>
      </c>
      <c r="E187" s="10">
        <f>15.3122/6</f>
        <v>2.5520333333333336</v>
      </c>
      <c r="F187" s="10"/>
      <c r="G187" s="10"/>
      <c r="H187" s="10"/>
      <c r="I187" s="11" t="e">
        <f>+VLOOKUP(B187,#REF!,7,FALSE)</f>
        <v>#REF!</v>
      </c>
      <c r="J187" s="12" t="str">
        <f t="shared" si="6"/>
        <v/>
      </c>
      <c r="K187" s="12" t="str">
        <f t="shared" si="7"/>
        <v/>
      </c>
      <c r="L187" s="12" t="e">
        <f t="shared" si="8"/>
        <v>#VALUE!</v>
      </c>
    </row>
    <row r="188" spans="1:12" ht="24" customHeight="1" x14ac:dyDescent="0.25">
      <c r="A188" s="9">
        <v>43139</v>
      </c>
      <c r="B188" s="14" t="s">
        <v>420</v>
      </c>
      <c r="C188" s="17">
        <v>3438</v>
      </c>
      <c r="D188" s="11" t="e">
        <f>+VLOOKUP(B188,#REF!,6,FALSE)</f>
        <v>#REF!</v>
      </c>
      <c r="E188" s="10">
        <f>6.7517/6</f>
        <v>1.1252833333333332</v>
      </c>
      <c r="F188" s="10"/>
      <c r="G188" s="10"/>
      <c r="H188" s="10"/>
      <c r="I188" s="11" t="e">
        <f>+VLOOKUP(B188,#REF!,7,FALSE)</f>
        <v>#REF!</v>
      </c>
      <c r="J188" s="12" t="str">
        <f t="shared" si="6"/>
        <v/>
      </c>
      <c r="K188" s="12" t="str">
        <f t="shared" si="7"/>
        <v/>
      </c>
      <c r="L188" s="12" t="e">
        <f t="shared" si="8"/>
        <v>#VALUE!</v>
      </c>
    </row>
    <row r="189" spans="1:12" ht="24" customHeight="1" x14ac:dyDescent="0.25">
      <c r="A189" s="9">
        <v>43139</v>
      </c>
      <c r="B189" s="14" t="s">
        <v>440</v>
      </c>
      <c r="C189" s="17">
        <v>7610</v>
      </c>
      <c r="D189" s="11" t="e">
        <f>+VLOOKUP(B189,#REF!,6,FALSE)</f>
        <v>#REF!</v>
      </c>
      <c r="E189" s="10">
        <v>0.61619999999999997</v>
      </c>
      <c r="F189" s="10"/>
      <c r="G189" s="10"/>
      <c r="H189" s="10"/>
      <c r="I189" s="11" t="e">
        <f>+VLOOKUP(B189,#REF!,7,FALSE)</f>
        <v>#REF!</v>
      </c>
      <c r="J189" s="12" t="str">
        <f t="shared" si="6"/>
        <v/>
      </c>
      <c r="K189" s="12" t="str">
        <f t="shared" si="7"/>
        <v/>
      </c>
      <c r="L189" s="12" t="e">
        <f t="shared" si="8"/>
        <v>#VALUE!</v>
      </c>
    </row>
    <row r="190" spans="1:12" ht="24" customHeight="1" x14ac:dyDescent="0.25">
      <c r="A190" s="9">
        <v>43140</v>
      </c>
      <c r="B190" s="14" t="s">
        <v>99</v>
      </c>
      <c r="C190" s="17">
        <v>16002</v>
      </c>
      <c r="D190" s="11" t="e">
        <f>+VLOOKUP(B190,#REF!,6,FALSE)</f>
        <v>#REF!</v>
      </c>
      <c r="E190" s="10">
        <v>2.625</v>
      </c>
      <c r="F190" s="10"/>
      <c r="G190" s="10"/>
      <c r="H190" s="10"/>
      <c r="I190" s="11" t="e">
        <f>+VLOOKUP(B190,#REF!,7,FALSE)</f>
        <v>#REF!</v>
      </c>
      <c r="J190" s="12" t="str">
        <f t="shared" si="6"/>
        <v/>
      </c>
      <c r="K190" s="12" t="str">
        <f t="shared" si="7"/>
        <v/>
      </c>
      <c r="L190" s="12" t="e">
        <f t="shared" si="8"/>
        <v>#VALUE!</v>
      </c>
    </row>
    <row r="191" spans="1:12" ht="24" customHeight="1" x14ac:dyDescent="0.25">
      <c r="A191" s="9">
        <v>43140</v>
      </c>
      <c r="B191" s="14" t="s">
        <v>106</v>
      </c>
      <c r="C191" s="17">
        <v>7428</v>
      </c>
      <c r="D191" s="11" t="e">
        <f>+VLOOKUP(B191,#REF!,6,FALSE)</f>
        <v>#REF!</v>
      </c>
      <c r="E191" s="10">
        <v>0.63349999999999995</v>
      </c>
      <c r="F191" s="10"/>
      <c r="G191" s="10"/>
      <c r="H191" s="10"/>
      <c r="I191" s="11" t="e">
        <f>+VLOOKUP(B191,#REF!,7,FALSE)</f>
        <v>#REF!</v>
      </c>
      <c r="J191" s="12" t="str">
        <f t="shared" si="6"/>
        <v/>
      </c>
      <c r="K191" s="12" t="str">
        <f t="shared" si="7"/>
        <v/>
      </c>
      <c r="L191" s="12" t="e">
        <f t="shared" si="8"/>
        <v>#VALUE!</v>
      </c>
    </row>
    <row r="192" spans="1:12" ht="24" customHeight="1" x14ac:dyDescent="0.25">
      <c r="A192" s="9">
        <v>43140</v>
      </c>
      <c r="B192" s="14" t="s">
        <v>112</v>
      </c>
      <c r="C192" s="17">
        <v>145</v>
      </c>
      <c r="D192" s="11" t="e">
        <f>+VLOOKUP(B192,#REF!,6,FALSE)</f>
        <v>#REF!</v>
      </c>
      <c r="E192" s="10">
        <v>3.7629999999999999</v>
      </c>
      <c r="F192" s="10"/>
      <c r="G192" s="10"/>
      <c r="H192" s="10"/>
      <c r="I192" s="11" t="e">
        <f>+VLOOKUP(B192,#REF!,7,FALSE)</f>
        <v>#REF!</v>
      </c>
      <c r="J192" s="12" t="str">
        <f t="shared" si="6"/>
        <v/>
      </c>
      <c r="K192" s="12" t="str">
        <f t="shared" si="7"/>
        <v/>
      </c>
      <c r="L192" s="12" t="e">
        <f t="shared" si="8"/>
        <v>#VALUE!</v>
      </c>
    </row>
    <row r="193" spans="1:12" ht="24" customHeight="1" x14ac:dyDescent="0.25">
      <c r="A193" s="9">
        <v>43140</v>
      </c>
      <c r="B193" s="14" t="s">
        <v>154</v>
      </c>
      <c r="C193" s="17">
        <v>2988</v>
      </c>
      <c r="D193" s="11" t="e">
        <f>+VLOOKUP(B193,#REF!,6,FALSE)</f>
        <v>#REF!</v>
      </c>
      <c r="E193" s="10">
        <v>0.57450000000000001</v>
      </c>
      <c r="F193" s="10"/>
      <c r="G193" s="10"/>
      <c r="H193" s="10"/>
      <c r="I193" s="11" t="e">
        <f>+VLOOKUP(B193,#REF!,7,FALSE)</f>
        <v>#REF!</v>
      </c>
      <c r="J193" s="12" t="str">
        <f t="shared" si="6"/>
        <v/>
      </c>
      <c r="K193" s="12" t="str">
        <f t="shared" si="7"/>
        <v/>
      </c>
      <c r="L193" s="12" t="e">
        <f t="shared" si="8"/>
        <v>#VALUE!</v>
      </c>
    </row>
    <row r="194" spans="1:12" ht="24" customHeight="1" x14ac:dyDescent="0.25">
      <c r="A194" s="9">
        <v>43140</v>
      </c>
      <c r="B194" s="14" t="s">
        <v>167</v>
      </c>
      <c r="C194" s="17">
        <v>18</v>
      </c>
      <c r="D194" s="11" t="e">
        <f>+VLOOKUP(B194,#REF!,6,FALSE)</f>
        <v>#REF!</v>
      </c>
      <c r="E194" s="10">
        <v>10.228</v>
      </c>
      <c r="F194" s="10"/>
      <c r="G194" s="10"/>
      <c r="H194" s="10"/>
      <c r="I194" s="11" t="e">
        <f>+VLOOKUP(B194,#REF!,7,FALSE)</f>
        <v>#REF!</v>
      </c>
      <c r="J194" s="12" t="str">
        <f t="shared" si="6"/>
        <v/>
      </c>
      <c r="K194" s="12" t="str">
        <f t="shared" si="7"/>
        <v/>
      </c>
      <c r="L194" s="12" t="e">
        <f t="shared" si="8"/>
        <v>#VALUE!</v>
      </c>
    </row>
    <row r="195" spans="1:12" ht="24" customHeight="1" x14ac:dyDescent="0.25">
      <c r="A195" s="9">
        <v>43140</v>
      </c>
      <c r="B195" s="14" t="s">
        <v>440</v>
      </c>
      <c r="C195" s="17">
        <v>18360</v>
      </c>
      <c r="D195" s="11" t="e">
        <f>+VLOOKUP(B195,#REF!,6,FALSE)</f>
        <v>#REF!</v>
      </c>
      <c r="E195" s="10">
        <v>0.64980000000000004</v>
      </c>
      <c r="F195" s="10"/>
      <c r="G195" s="10"/>
      <c r="H195" s="10"/>
      <c r="I195" s="11" t="e">
        <f>+VLOOKUP(B195,#REF!,7,FALSE)</f>
        <v>#REF!</v>
      </c>
      <c r="J195" s="12" t="str">
        <f t="shared" si="6"/>
        <v/>
      </c>
      <c r="K195" s="12" t="str">
        <f t="shared" si="7"/>
        <v/>
      </c>
      <c r="L195" s="12" t="e">
        <f t="shared" si="8"/>
        <v>#VALUE!</v>
      </c>
    </row>
    <row r="196" spans="1:12" ht="24" customHeight="1" x14ac:dyDescent="0.25">
      <c r="A196" s="9">
        <v>43140</v>
      </c>
      <c r="B196" s="14" t="s">
        <v>456</v>
      </c>
      <c r="C196" s="17">
        <v>2658</v>
      </c>
      <c r="D196" s="11" t="e">
        <f>+VLOOKUP(B196,#REF!,6,FALSE)</f>
        <v>#REF!</v>
      </c>
      <c r="E196" s="10">
        <f>20.8117/6</f>
        <v>3.4686166666666662</v>
      </c>
      <c r="F196" s="10"/>
      <c r="G196" s="10"/>
      <c r="H196" s="10"/>
      <c r="I196" s="11" t="e">
        <f>+VLOOKUP(B196,#REF!,7,FALSE)</f>
        <v>#REF!</v>
      </c>
      <c r="J196" s="12" t="str">
        <f t="shared" ref="J196:J259" si="9">IFERROR((I196-(D196+F196))/I196,"")</f>
        <v/>
      </c>
      <c r="K196" s="12" t="str">
        <f t="shared" ref="K196:K259" si="10">IF(E196="","",IFERROR((I196-(E196+G196+H196))/I196,""))</f>
        <v/>
      </c>
      <c r="L196" s="12" t="e">
        <f t="shared" ref="L196:L259" si="11">J196-K196</f>
        <v>#VALUE!</v>
      </c>
    </row>
    <row r="197" spans="1:12" ht="24" customHeight="1" x14ac:dyDescent="0.25">
      <c r="A197" s="9">
        <v>43143</v>
      </c>
      <c r="B197" s="14" t="s">
        <v>52</v>
      </c>
      <c r="C197" s="17">
        <v>888</v>
      </c>
      <c r="D197" s="11" t="e">
        <f>+VLOOKUP(B197,#REF!,6,FALSE)</f>
        <v>#REF!</v>
      </c>
      <c r="E197" s="10">
        <f>6.7119/12</f>
        <v>0.55932499999999996</v>
      </c>
      <c r="F197" s="10"/>
      <c r="G197" s="10"/>
      <c r="H197" s="10"/>
      <c r="I197" s="11" t="e">
        <f>+VLOOKUP(B197,#REF!,7,FALSE)</f>
        <v>#REF!</v>
      </c>
      <c r="J197" s="12" t="str">
        <f t="shared" si="9"/>
        <v/>
      </c>
      <c r="K197" s="12" t="str">
        <f t="shared" si="10"/>
        <v/>
      </c>
      <c r="L197" s="12" t="e">
        <f t="shared" si="11"/>
        <v>#VALUE!</v>
      </c>
    </row>
    <row r="198" spans="1:12" ht="24" customHeight="1" x14ac:dyDescent="0.25">
      <c r="A198" s="9">
        <v>43143</v>
      </c>
      <c r="B198" s="14" t="s">
        <v>57</v>
      </c>
      <c r="C198" s="17">
        <v>1254</v>
      </c>
      <c r="D198" s="11" t="e">
        <f>+VLOOKUP(B198,#REF!,6,FALSE)</f>
        <v>#REF!</v>
      </c>
      <c r="E198" s="10">
        <f>6.661/6</f>
        <v>1.1101666666666665</v>
      </c>
      <c r="F198" s="10"/>
      <c r="G198" s="10"/>
      <c r="H198" s="10"/>
      <c r="I198" s="11" t="e">
        <f>+VLOOKUP(B198,#REF!,7,FALSE)</f>
        <v>#REF!</v>
      </c>
      <c r="J198" s="12" t="str">
        <f t="shared" si="9"/>
        <v/>
      </c>
      <c r="K198" s="12" t="str">
        <f t="shared" si="10"/>
        <v/>
      </c>
      <c r="L198" s="12" t="e">
        <f t="shared" si="11"/>
        <v>#VALUE!</v>
      </c>
    </row>
    <row r="199" spans="1:12" ht="24" customHeight="1" x14ac:dyDescent="0.25">
      <c r="A199" s="9">
        <v>43143</v>
      </c>
      <c r="B199" s="14" t="s">
        <v>59</v>
      </c>
      <c r="C199" s="17">
        <v>3024</v>
      </c>
      <c r="D199" s="11" t="e">
        <f>+VLOOKUP(B199,#REF!,6,FALSE)</f>
        <v>#REF!</v>
      </c>
      <c r="E199" s="10">
        <f>18.253/72</f>
        <v>0.25351388888888887</v>
      </c>
      <c r="F199" s="10"/>
      <c r="G199" s="10"/>
      <c r="H199" s="10"/>
      <c r="I199" s="11" t="e">
        <f>+VLOOKUP(B199,#REF!,7,FALSE)</f>
        <v>#REF!</v>
      </c>
      <c r="J199" s="12" t="str">
        <f t="shared" si="9"/>
        <v/>
      </c>
      <c r="K199" s="12" t="str">
        <f t="shared" si="10"/>
        <v/>
      </c>
      <c r="L199" s="12" t="e">
        <f t="shared" si="11"/>
        <v>#VALUE!</v>
      </c>
    </row>
    <row r="200" spans="1:12" ht="24" customHeight="1" x14ac:dyDescent="0.25">
      <c r="A200" s="9">
        <v>43143</v>
      </c>
      <c r="B200" s="14" t="s">
        <v>236</v>
      </c>
      <c r="C200" s="17">
        <v>10800</v>
      </c>
      <c r="D200" s="11" t="e">
        <f>+VLOOKUP(B200,#REF!,6,FALSE)</f>
        <v>#REF!</v>
      </c>
      <c r="E200" s="10">
        <f>9.6501/72</f>
        <v>0.13402916666666667</v>
      </c>
      <c r="F200" s="10"/>
      <c r="G200" s="10"/>
      <c r="H200" s="10"/>
      <c r="I200" s="11" t="e">
        <f>+VLOOKUP(B200,#REF!,7,FALSE)</f>
        <v>#REF!</v>
      </c>
      <c r="J200" s="12" t="str">
        <f t="shared" si="9"/>
        <v/>
      </c>
      <c r="K200" s="12" t="str">
        <f t="shared" si="10"/>
        <v/>
      </c>
      <c r="L200" s="12" t="e">
        <f t="shared" si="11"/>
        <v>#VALUE!</v>
      </c>
    </row>
    <row r="201" spans="1:12" ht="24" customHeight="1" x14ac:dyDescent="0.25">
      <c r="A201" s="9">
        <v>43143</v>
      </c>
      <c r="B201" s="14" t="s">
        <v>107</v>
      </c>
      <c r="C201" s="17">
        <v>876</v>
      </c>
      <c r="D201" s="11" t="e">
        <f>+VLOOKUP(B201,#REF!,6,FALSE)</f>
        <v>#REF!</v>
      </c>
      <c r="E201" s="10">
        <v>0.86970000000000003</v>
      </c>
      <c r="F201" s="10"/>
      <c r="G201" s="10"/>
      <c r="H201" s="10"/>
      <c r="I201" s="11" t="e">
        <f>+VLOOKUP(B201,#REF!,7,FALSE)</f>
        <v>#REF!</v>
      </c>
      <c r="J201" s="12" t="str">
        <f t="shared" si="9"/>
        <v/>
      </c>
      <c r="K201" s="12" t="str">
        <f t="shared" si="10"/>
        <v/>
      </c>
      <c r="L201" s="12" t="e">
        <f t="shared" si="11"/>
        <v>#VALUE!</v>
      </c>
    </row>
    <row r="202" spans="1:12" ht="24" customHeight="1" x14ac:dyDescent="0.25">
      <c r="A202" s="9">
        <v>43143</v>
      </c>
      <c r="B202" s="14" t="s">
        <v>113</v>
      </c>
      <c r="C202" s="17">
        <v>172</v>
      </c>
      <c r="D202" s="11" t="e">
        <f>+VLOOKUP(B202,#REF!,6,FALSE)</f>
        <v>#REF!</v>
      </c>
      <c r="E202" s="10">
        <v>4.4675000000000002</v>
      </c>
      <c r="F202" s="10"/>
      <c r="G202" s="10"/>
      <c r="H202" s="10"/>
      <c r="I202" s="11" t="e">
        <f>+VLOOKUP(B202,#REF!,7,FALSE)</f>
        <v>#REF!</v>
      </c>
      <c r="J202" s="12" t="str">
        <f t="shared" si="9"/>
        <v/>
      </c>
      <c r="K202" s="12" t="str">
        <f t="shared" si="10"/>
        <v/>
      </c>
      <c r="L202" s="12" t="e">
        <f t="shared" si="11"/>
        <v>#VALUE!</v>
      </c>
    </row>
    <row r="203" spans="1:12" ht="24" customHeight="1" x14ac:dyDescent="0.25">
      <c r="A203" s="9">
        <v>43143</v>
      </c>
      <c r="B203" s="14" t="s">
        <v>130</v>
      </c>
      <c r="C203" s="17">
        <v>598</v>
      </c>
      <c r="D203" s="11" t="e">
        <f>+VLOOKUP(B203,#REF!,6,FALSE)</f>
        <v>#REF!</v>
      </c>
      <c r="E203" s="10">
        <v>19.5793</v>
      </c>
      <c r="F203" s="10"/>
      <c r="G203" s="10"/>
      <c r="H203" s="10"/>
      <c r="I203" s="11" t="e">
        <f>+VLOOKUP(B203,#REF!,7,FALSE)</f>
        <v>#REF!</v>
      </c>
      <c r="J203" s="12" t="str">
        <f t="shared" si="9"/>
        <v/>
      </c>
      <c r="K203" s="12" t="str">
        <f t="shared" si="10"/>
        <v/>
      </c>
      <c r="L203" s="12" t="e">
        <f t="shared" si="11"/>
        <v>#VALUE!</v>
      </c>
    </row>
    <row r="204" spans="1:12" ht="24" customHeight="1" x14ac:dyDescent="0.25">
      <c r="A204" s="9">
        <v>43143</v>
      </c>
      <c r="B204" s="14" t="s">
        <v>149</v>
      </c>
      <c r="C204" s="17">
        <v>5184</v>
      </c>
      <c r="D204" s="11" t="e">
        <f>+VLOOKUP(B204,#REF!,6,FALSE)</f>
        <v>#REF!</v>
      </c>
      <c r="E204" s="10">
        <f>19.1097/72</f>
        <v>0.2654125</v>
      </c>
      <c r="F204" s="10"/>
      <c r="G204" s="10"/>
      <c r="H204" s="10"/>
      <c r="I204" s="11" t="e">
        <f>+VLOOKUP(B204,#REF!,7,FALSE)</f>
        <v>#REF!</v>
      </c>
      <c r="J204" s="12" t="str">
        <f t="shared" si="9"/>
        <v/>
      </c>
      <c r="K204" s="12" t="str">
        <f t="shared" si="10"/>
        <v/>
      </c>
      <c r="L204" s="12" t="e">
        <f t="shared" si="11"/>
        <v>#VALUE!</v>
      </c>
    </row>
    <row r="205" spans="1:12" ht="24" customHeight="1" x14ac:dyDescent="0.25">
      <c r="A205" s="9">
        <v>43143</v>
      </c>
      <c r="B205" s="14" t="s">
        <v>151</v>
      </c>
      <c r="C205" s="17">
        <v>5466</v>
      </c>
      <c r="D205" s="11" t="e">
        <f>+VLOOKUP(B205,#REF!,6,FALSE)</f>
        <v>#REF!</v>
      </c>
      <c r="E205" s="10">
        <v>3.1295000000000002</v>
      </c>
      <c r="F205" s="10"/>
      <c r="G205" s="10"/>
      <c r="H205" s="10"/>
      <c r="I205" s="11" t="e">
        <f>+VLOOKUP(B205,#REF!,7,FALSE)</f>
        <v>#REF!</v>
      </c>
      <c r="J205" s="12" t="str">
        <f t="shared" si="9"/>
        <v/>
      </c>
      <c r="K205" s="12" t="str">
        <f t="shared" si="10"/>
        <v/>
      </c>
      <c r="L205" s="12" t="e">
        <f t="shared" si="11"/>
        <v>#VALUE!</v>
      </c>
    </row>
    <row r="206" spans="1:12" ht="24" customHeight="1" x14ac:dyDescent="0.25">
      <c r="A206" s="9">
        <v>43143</v>
      </c>
      <c r="B206" s="14" t="s">
        <v>440</v>
      </c>
      <c r="C206" s="17">
        <v>17640</v>
      </c>
      <c r="D206" s="11" t="e">
        <f>+VLOOKUP(B206,#REF!,6,FALSE)</f>
        <v>#REF!</v>
      </c>
      <c r="E206" s="10">
        <v>0.5897</v>
      </c>
      <c r="F206" s="10"/>
      <c r="G206" s="10"/>
      <c r="H206" s="10"/>
      <c r="I206" s="11" t="e">
        <f>+VLOOKUP(B206,#REF!,7,FALSE)</f>
        <v>#REF!</v>
      </c>
      <c r="J206" s="12" t="str">
        <f t="shared" si="9"/>
        <v/>
      </c>
      <c r="K206" s="12" t="str">
        <f t="shared" si="10"/>
        <v/>
      </c>
      <c r="L206" s="12" t="e">
        <f t="shared" si="11"/>
        <v>#VALUE!</v>
      </c>
    </row>
    <row r="207" spans="1:12" ht="24" customHeight="1" x14ac:dyDescent="0.25">
      <c r="A207" s="9">
        <v>43143</v>
      </c>
      <c r="B207" s="14" t="s">
        <v>457</v>
      </c>
      <c r="C207" s="17">
        <v>2916</v>
      </c>
      <c r="D207" s="11" t="e">
        <f>+VLOOKUP(B207,#REF!,6,FALSE)</f>
        <v>#REF!</v>
      </c>
      <c r="E207" s="10">
        <f>19.6431/6</f>
        <v>3.2738499999999999</v>
      </c>
      <c r="F207" s="10"/>
      <c r="G207" s="10"/>
      <c r="H207" s="10"/>
      <c r="I207" s="11" t="e">
        <f>+VLOOKUP(B207,#REF!,7,FALSE)</f>
        <v>#REF!</v>
      </c>
      <c r="J207" s="12" t="str">
        <f t="shared" si="9"/>
        <v/>
      </c>
      <c r="K207" s="12" t="str">
        <f t="shared" si="10"/>
        <v/>
      </c>
      <c r="L207" s="12" t="e">
        <f t="shared" si="11"/>
        <v>#VALUE!</v>
      </c>
    </row>
    <row r="208" spans="1:12" ht="24" customHeight="1" x14ac:dyDescent="0.25">
      <c r="A208" s="9">
        <v>43144</v>
      </c>
      <c r="B208" s="14" t="s">
        <v>70</v>
      </c>
      <c r="C208" s="17">
        <v>1878</v>
      </c>
      <c r="D208" s="11" t="e">
        <f>+VLOOKUP(B208,#REF!,6,FALSE)</f>
        <v>#REF!</v>
      </c>
      <c r="E208" s="10">
        <f>11.9388/6</f>
        <v>1.9898</v>
      </c>
      <c r="F208" s="10"/>
      <c r="G208" s="10"/>
      <c r="H208" s="10"/>
      <c r="I208" s="11" t="e">
        <f>+VLOOKUP(B208,#REF!,7,FALSE)</f>
        <v>#REF!</v>
      </c>
      <c r="J208" s="12" t="str">
        <f t="shared" si="9"/>
        <v/>
      </c>
      <c r="K208" s="12" t="str">
        <f t="shared" si="10"/>
        <v/>
      </c>
      <c r="L208" s="12" t="e">
        <f t="shared" si="11"/>
        <v>#VALUE!</v>
      </c>
    </row>
    <row r="209" spans="1:12" ht="24" customHeight="1" x14ac:dyDescent="0.25">
      <c r="A209" s="9">
        <v>43144</v>
      </c>
      <c r="B209" s="14" t="s">
        <v>90</v>
      </c>
      <c r="C209" s="17">
        <v>4380</v>
      </c>
      <c r="D209" s="11" t="e">
        <f>+VLOOKUP(B209,#REF!,6,FALSE)</f>
        <v>#REF!</v>
      </c>
      <c r="E209" s="10">
        <f>9.5725/12</f>
        <v>0.79770833333333335</v>
      </c>
      <c r="F209" s="10"/>
      <c r="G209" s="10"/>
      <c r="H209" s="10"/>
      <c r="I209" s="11" t="e">
        <f>+VLOOKUP(B209,#REF!,7,FALSE)</f>
        <v>#REF!</v>
      </c>
      <c r="J209" s="12" t="str">
        <f t="shared" si="9"/>
        <v/>
      </c>
      <c r="K209" s="12" t="str">
        <f t="shared" si="10"/>
        <v/>
      </c>
      <c r="L209" s="12" t="e">
        <f t="shared" si="11"/>
        <v>#VALUE!</v>
      </c>
    </row>
    <row r="210" spans="1:12" ht="24" customHeight="1" x14ac:dyDescent="0.25">
      <c r="A210" s="9">
        <v>43144</v>
      </c>
      <c r="B210" s="14" t="s">
        <v>122</v>
      </c>
      <c r="C210" s="17">
        <v>7416</v>
      </c>
      <c r="D210" s="11" t="e">
        <f>+VLOOKUP(B210,#REF!,6,FALSE)</f>
        <v>#REF!</v>
      </c>
      <c r="E210" s="10">
        <f>9.5208/6</f>
        <v>1.5868</v>
      </c>
      <c r="F210" s="10"/>
      <c r="G210" s="10"/>
      <c r="H210" s="10"/>
      <c r="I210" s="11" t="e">
        <f>+VLOOKUP(B210,#REF!,7,FALSE)</f>
        <v>#REF!</v>
      </c>
      <c r="J210" s="12" t="str">
        <f t="shared" si="9"/>
        <v/>
      </c>
      <c r="K210" s="12" t="str">
        <f t="shared" si="10"/>
        <v/>
      </c>
      <c r="L210" s="12" t="e">
        <f t="shared" si="11"/>
        <v>#VALUE!</v>
      </c>
    </row>
    <row r="211" spans="1:12" ht="24" customHeight="1" x14ac:dyDescent="0.25">
      <c r="A211" s="9">
        <v>43144</v>
      </c>
      <c r="B211" s="14" t="s">
        <v>151</v>
      </c>
      <c r="C211" s="17">
        <v>4242</v>
      </c>
      <c r="D211" s="11" t="e">
        <f>+VLOOKUP(B211,#REF!,6,FALSE)</f>
        <v>#REF!</v>
      </c>
      <c r="E211" s="10">
        <v>2.8757000000000001</v>
      </c>
      <c r="F211" s="10"/>
      <c r="G211" s="10"/>
      <c r="H211" s="10"/>
      <c r="I211" s="11" t="e">
        <f>+VLOOKUP(B211,#REF!,7,FALSE)</f>
        <v>#REF!</v>
      </c>
      <c r="J211" s="12" t="str">
        <f t="shared" si="9"/>
        <v/>
      </c>
      <c r="K211" s="12" t="str">
        <f t="shared" si="10"/>
        <v/>
      </c>
      <c r="L211" s="12" t="e">
        <f t="shared" si="11"/>
        <v>#VALUE!</v>
      </c>
    </row>
    <row r="212" spans="1:12" ht="24" customHeight="1" x14ac:dyDescent="0.25">
      <c r="A212" s="9">
        <v>43144</v>
      </c>
      <c r="B212" s="14" t="s">
        <v>158</v>
      </c>
      <c r="C212" s="17">
        <v>6228</v>
      </c>
      <c r="D212" s="11" t="e">
        <f>+VLOOKUP(B212,#REF!,6,FALSE)</f>
        <v>#REF!</v>
      </c>
      <c r="E212" s="10">
        <f>10.9362/12</f>
        <v>0.91134999999999999</v>
      </c>
      <c r="F212" s="10"/>
      <c r="G212" s="10"/>
      <c r="H212" s="10"/>
      <c r="I212" s="11" t="e">
        <f>+VLOOKUP(B212,#REF!,7,FALSE)</f>
        <v>#REF!</v>
      </c>
      <c r="J212" s="12" t="str">
        <f t="shared" si="9"/>
        <v/>
      </c>
      <c r="K212" s="12" t="str">
        <f t="shared" si="10"/>
        <v/>
      </c>
      <c r="L212" s="12" t="e">
        <f t="shared" si="11"/>
        <v>#VALUE!</v>
      </c>
    </row>
    <row r="213" spans="1:12" ht="24" customHeight="1" x14ac:dyDescent="0.25">
      <c r="A213" s="9">
        <v>43144</v>
      </c>
      <c r="B213" s="14" t="s">
        <v>431</v>
      </c>
      <c r="C213" s="17">
        <v>4560</v>
      </c>
      <c r="D213" s="11" t="e">
        <f>+VLOOKUP(B213,#REF!,6,FALSE)</f>
        <v>#REF!</v>
      </c>
      <c r="E213" s="10">
        <f>3.8636/4</f>
        <v>0.96589999999999998</v>
      </c>
      <c r="F213" s="10"/>
      <c r="G213" s="10"/>
      <c r="H213" s="10"/>
      <c r="I213" s="11" t="e">
        <f>+VLOOKUP(B213,#REF!,7,FALSE)</f>
        <v>#REF!</v>
      </c>
      <c r="J213" s="12" t="str">
        <f t="shared" si="9"/>
        <v/>
      </c>
      <c r="K213" s="12" t="str">
        <f t="shared" si="10"/>
        <v/>
      </c>
      <c r="L213" s="12" t="e">
        <f t="shared" si="11"/>
        <v>#VALUE!</v>
      </c>
    </row>
    <row r="214" spans="1:12" ht="24" customHeight="1" x14ac:dyDescent="0.25">
      <c r="A214" s="9">
        <v>43144</v>
      </c>
      <c r="B214" s="14" t="s">
        <v>456</v>
      </c>
      <c r="C214" s="17">
        <v>3834</v>
      </c>
      <c r="D214" s="11" t="e">
        <f>+VLOOKUP(B214,#REF!,6,FALSE)</f>
        <v>#REF!</v>
      </c>
      <c r="E214" s="10">
        <f>19.3495/6</f>
        <v>3.2249166666666667</v>
      </c>
      <c r="F214" s="10"/>
      <c r="G214" s="10"/>
      <c r="H214" s="10"/>
      <c r="I214" s="11" t="e">
        <f>+VLOOKUP(B214,#REF!,7,FALSE)</f>
        <v>#REF!</v>
      </c>
      <c r="J214" s="12" t="str">
        <f t="shared" si="9"/>
        <v/>
      </c>
      <c r="K214" s="12" t="str">
        <f t="shared" si="10"/>
        <v/>
      </c>
      <c r="L214" s="12" t="e">
        <f t="shared" si="11"/>
        <v>#VALUE!</v>
      </c>
    </row>
    <row r="215" spans="1:12" ht="24" customHeight="1" x14ac:dyDescent="0.25">
      <c r="A215" s="9">
        <v>43145</v>
      </c>
      <c r="B215" s="14" t="s">
        <v>88</v>
      </c>
      <c r="C215" s="17">
        <v>654</v>
      </c>
      <c r="D215" s="11" t="e">
        <f>+VLOOKUP(B215,#REF!,6,FALSE)</f>
        <v>#REF!</v>
      </c>
      <c r="E215" s="10">
        <v>4.3190999999999997</v>
      </c>
      <c r="F215" s="10"/>
      <c r="G215" s="10"/>
      <c r="H215" s="10"/>
      <c r="I215" s="11" t="e">
        <f>+VLOOKUP(B215,#REF!,7,FALSE)</f>
        <v>#REF!</v>
      </c>
      <c r="J215" s="12" t="str">
        <f t="shared" si="9"/>
        <v/>
      </c>
      <c r="K215" s="12" t="str">
        <f t="shared" si="10"/>
        <v/>
      </c>
      <c r="L215" s="12" t="e">
        <f t="shared" si="11"/>
        <v>#VALUE!</v>
      </c>
    </row>
    <row r="216" spans="1:12" ht="24" customHeight="1" x14ac:dyDescent="0.25">
      <c r="A216" s="9">
        <v>43145</v>
      </c>
      <c r="B216" s="14" t="s">
        <v>123</v>
      </c>
      <c r="C216" s="17">
        <v>473</v>
      </c>
      <c r="D216" s="11" t="e">
        <f>+VLOOKUP(B216,#REF!,6,FALSE)</f>
        <v>#REF!</v>
      </c>
      <c r="E216" s="10">
        <v>4.7180999999999997</v>
      </c>
      <c r="F216" s="10"/>
      <c r="G216" s="10"/>
      <c r="H216" s="10"/>
      <c r="I216" s="11" t="e">
        <f>+VLOOKUP(B216,#REF!,7,FALSE)</f>
        <v>#REF!</v>
      </c>
      <c r="J216" s="12" t="str">
        <f t="shared" si="9"/>
        <v/>
      </c>
      <c r="K216" s="12" t="str">
        <f t="shared" si="10"/>
        <v/>
      </c>
      <c r="L216" s="12" t="e">
        <f t="shared" si="11"/>
        <v>#VALUE!</v>
      </c>
    </row>
    <row r="217" spans="1:12" ht="24" customHeight="1" x14ac:dyDescent="0.25">
      <c r="A217" s="9">
        <v>43145</v>
      </c>
      <c r="B217" s="14" t="s">
        <v>148</v>
      </c>
      <c r="C217" s="17">
        <v>15456</v>
      </c>
      <c r="D217" s="11" t="e">
        <f>+VLOOKUP(B217,#REF!,6,FALSE)</f>
        <v>#REF!</v>
      </c>
      <c r="E217" s="10">
        <f>7.2732/12</f>
        <v>0.60609999999999997</v>
      </c>
      <c r="F217" s="10"/>
      <c r="G217" s="10"/>
      <c r="H217" s="10"/>
      <c r="I217" s="11" t="e">
        <f>+VLOOKUP(B217,#REF!,7,FALSE)</f>
        <v>#REF!</v>
      </c>
      <c r="J217" s="12" t="str">
        <f t="shared" si="9"/>
        <v/>
      </c>
      <c r="K217" s="12" t="str">
        <f t="shared" si="10"/>
        <v/>
      </c>
      <c r="L217" s="12" t="e">
        <f t="shared" si="11"/>
        <v>#VALUE!</v>
      </c>
    </row>
    <row r="218" spans="1:12" ht="24" customHeight="1" x14ac:dyDescent="0.25">
      <c r="A218" s="9">
        <v>43145</v>
      </c>
      <c r="B218" s="14" t="s">
        <v>149</v>
      </c>
      <c r="C218" s="17">
        <v>17280</v>
      </c>
      <c r="D218" s="11" t="e">
        <f>+VLOOKUP(B218,#REF!,6,FALSE)</f>
        <v>#REF!</v>
      </c>
      <c r="E218" s="10">
        <f>18.9895/72</f>
        <v>0.26374305555555555</v>
      </c>
      <c r="F218" s="10"/>
      <c r="G218" s="10"/>
      <c r="H218" s="10"/>
      <c r="I218" s="11" t="e">
        <f>+VLOOKUP(B218,#REF!,7,FALSE)</f>
        <v>#REF!</v>
      </c>
      <c r="J218" s="12" t="str">
        <f t="shared" si="9"/>
        <v/>
      </c>
      <c r="K218" s="12" t="str">
        <f t="shared" si="10"/>
        <v/>
      </c>
      <c r="L218" s="12" t="e">
        <f t="shared" si="11"/>
        <v>#VALUE!</v>
      </c>
    </row>
    <row r="219" spans="1:12" ht="24" customHeight="1" x14ac:dyDescent="0.25">
      <c r="A219" s="9">
        <v>43145</v>
      </c>
      <c r="B219" s="14" t="s">
        <v>212</v>
      </c>
      <c r="C219" s="17">
        <v>17130</v>
      </c>
      <c r="D219" s="11" t="e">
        <f>+VLOOKUP(B219,#REF!,6,FALSE)/6</f>
        <v>#REF!</v>
      </c>
      <c r="E219" s="10">
        <f>8.4517/6</f>
        <v>1.4086166666666669</v>
      </c>
      <c r="F219" s="10"/>
      <c r="G219" s="10"/>
      <c r="H219" s="10"/>
      <c r="I219" s="11" t="e">
        <f>+VLOOKUP(B219,#REF!,7,FALSE)</f>
        <v>#REF!</v>
      </c>
      <c r="J219" s="12" t="str">
        <f t="shared" si="9"/>
        <v/>
      </c>
      <c r="K219" s="12" t="str">
        <f t="shared" si="10"/>
        <v/>
      </c>
      <c r="L219" s="12" t="e">
        <f t="shared" si="11"/>
        <v>#VALUE!</v>
      </c>
    </row>
    <row r="220" spans="1:12" ht="24" customHeight="1" x14ac:dyDescent="0.25">
      <c r="A220" s="9">
        <v>43145</v>
      </c>
      <c r="B220" s="14" t="s">
        <v>457</v>
      </c>
      <c r="C220" s="17">
        <v>4584</v>
      </c>
      <c r="D220" s="11" t="e">
        <f>+VLOOKUP(B220,#REF!,6,FALSE)</f>
        <v>#REF!</v>
      </c>
      <c r="E220" s="21">
        <f>19.7545/6</f>
        <v>3.2924166666666665</v>
      </c>
      <c r="F220" s="10"/>
      <c r="G220" s="10"/>
      <c r="H220" s="10"/>
      <c r="I220" s="11" t="e">
        <f>+VLOOKUP(B220,#REF!,7,FALSE)</f>
        <v>#REF!</v>
      </c>
      <c r="J220" s="12" t="str">
        <f t="shared" si="9"/>
        <v/>
      </c>
      <c r="K220" s="12" t="str">
        <f t="shared" si="10"/>
        <v/>
      </c>
      <c r="L220" s="12" t="e">
        <f t="shared" si="11"/>
        <v>#VALUE!</v>
      </c>
    </row>
    <row r="221" spans="1:12" ht="24" customHeight="1" x14ac:dyDescent="0.25">
      <c r="A221" s="9">
        <v>43146</v>
      </c>
      <c r="B221" s="14" t="s">
        <v>23</v>
      </c>
      <c r="C221" s="17">
        <v>560</v>
      </c>
      <c r="D221" s="11" t="e">
        <f>+VLOOKUP(B221,#REF!,6,FALSE)</f>
        <v>#REF!</v>
      </c>
      <c r="E221" s="10">
        <v>2.8645999999999998</v>
      </c>
      <c r="F221" s="10"/>
      <c r="G221" s="10"/>
      <c r="H221" s="10"/>
      <c r="I221" s="11" t="e">
        <f>+VLOOKUP(B221,#REF!,7,FALSE)</f>
        <v>#REF!</v>
      </c>
      <c r="J221" s="12" t="str">
        <f t="shared" si="9"/>
        <v/>
      </c>
      <c r="K221" s="12" t="str">
        <f t="shared" si="10"/>
        <v/>
      </c>
      <c r="L221" s="12" t="e">
        <f t="shared" si="11"/>
        <v>#VALUE!</v>
      </c>
    </row>
    <row r="222" spans="1:12" ht="24" customHeight="1" x14ac:dyDescent="0.25">
      <c r="A222" s="9">
        <v>43146</v>
      </c>
      <c r="B222" s="14" t="s">
        <v>69</v>
      </c>
      <c r="C222" s="17">
        <v>1944</v>
      </c>
      <c r="D222" s="11" t="e">
        <f>+VLOOKUP(B222,#REF!,6,FALSE)</f>
        <v>#REF!</v>
      </c>
      <c r="E222" s="10">
        <f>11.3991/6</f>
        <v>1.89985</v>
      </c>
      <c r="F222" s="10"/>
      <c r="G222" s="10"/>
      <c r="H222" s="10"/>
      <c r="I222" s="11" t="e">
        <f>+VLOOKUP(B222,#REF!,7,FALSE)</f>
        <v>#REF!</v>
      </c>
      <c r="J222" s="12" t="str">
        <f t="shared" si="9"/>
        <v/>
      </c>
      <c r="K222" s="12" t="str">
        <f t="shared" si="10"/>
        <v/>
      </c>
      <c r="L222" s="12" t="e">
        <f t="shared" si="11"/>
        <v>#VALUE!</v>
      </c>
    </row>
    <row r="223" spans="1:12" ht="24" customHeight="1" x14ac:dyDescent="0.25">
      <c r="A223" s="9">
        <v>43146</v>
      </c>
      <c r="B223" s="14" t="s">
        <v>121</v>
      </c>
      <c r="C223" s="17">
        <v>8424</v>
      </c>
      <c r="D223" s="11" t="e">
        <f>+VLOOKUP(B223,#REF!,6,FALSE)</f>
        <v>#REF!</v>
      </c>
      <c r="E223" s="10">
        <f>9.7692/6</f>
        <v>1.6281999999999999</v>
      </c>
      <c r="F223" s="10"/>
      <c r="G223" s="10"/>
      <c r="H223" s="10"/>
      <c r="I223" s="11" t="e">
        <f>+VLOOKUP(B223,#REF!,7,FALSE)</f>
        <v>#REF!</v>
      </c>
      <c r="J223" s="12" t="str">
        <f t="shared" si="9"/>
        <v/>
      </c>
      <c r="K223" s="12" t="str">
        <f t="shared" si="10"/>
        <v/>
      </c>
      <c r="L223" s="12" t="e">
        <f t="shared" si="11"/>
        <v>#VALUE!</v>
      </c>
    </row>
    <row r="224" spans="1:12" ht="24" customHeight="1" x14ac:dyDescent="0.25">
      <c r="A224" s="9">
        <v>43146</v>
      </c>
      <c r="B224" s="14" t="s">
        <v>188</v>
      </c>
      <c r="C224" s="17">
        <v>1532</v>
      </c>
      <c r="D224" s="11" t="e">
        <f>+VLOOKUP(B224,#REF!,6,FALSE)/4</f>
        <v>#REF!</v>
      </c>
      <c r="E224" s="10">
        <f>13.477/4</f>
        <v>3.3692500000000001</v>
      </c>
      <c r="F224" s="10"/>
      <c r="G224" s="10"/>
      <c r="H224" s="10"/>
      <c r="I224" s="11" t="e">
        <f>+VLOOKUP(B224,#REF!,7,FALSE)</f>
        <v>#REF!</v>
      </c>
      <c r="J224" s="12" t="str">
        <f t="shared" si="9"/>
        <v/>
      </c>
      <c r="K224" s="12" t="str">
        <f t="shared" si="10"/>
        <v/>
      </c>
      <c r="L224" s="12" t="e">
        <f t="shared" si="11"/>
        <v>#VALUE!</v>
      </c>
    </row>
    <row r="225" spans="1:12" ht="24" customHeight="1" x14ac:dyDescent="0.25">
      <c r="A225" s="9">
        <v>43146</v>
      </c>
      <c r="B225" s="14" t="s">
        <v>212</v>
      </c>
      <c r="C225" s="17">
        <v>17772</v>
      </c>
      <c r="D225" s="11" t="e">
        <f>+VLOOKUP(B225,#REF!,6,FALSE)/6</f>
        <v>#REF!</v>
      </c>
      <c r="E225" s="10">
        <f>8.6628/6</f>
        <v>1.4438000000000002</v>
      </c>
      <c r="F225" s="10"/>
      <c r="G225" s="10"/>
      <c r="H225" s="10"/>
      <c r="I225" s="11" t="e">
        <f>+VLOOKUP(B225,#REF!,7,FALSE)</f>
        <v>#REF!</v>
      </c>
      <c r="J225" s="12" t="str">
        <f t="shared" si="9"/>
        <v/>
      </c>
      <c r="K225" s="12" t="str">
        <f t="shared" si="10"/>
        <v/>
      </c>
      <c r="L225" s="12" t="e">
        <f t="shared" si="11"/>
        <v>#VALUE!</v>
      </c>
    </row>
    <row r="226" spans="1:12" ht="24" customHeight="1" x14ac:dyDescent="0.25">
      <c r="A226" s="9">
        <v>43146</v>
      </c>
      <c r="B226" s="14" t="s">
        <v>441</v>
      </c>
      <c r="C226" s="17">
        <v>15372</v>
      </c>
      <c r="D226" s="11" t="e">
        <f>+VLOOKUP(B226,#REF!,6,FALSE)</f>
        <v>#REF!</v>
      </c>
      <c r="E226" s="10">
        <v>0.49969999999999998</v>
      </c>
      <c r="F226" s="10"/>
      <c r="G226" s="10"/>
      <c r="H226" s="10"/>
      <c r="I226" s="11" t="e">
        <f>+VLOOKUP(B226,#REF!,7,FALSE)</f>
        <v>#REF!</v>
      </c>
      <c r="J226" s="12" t="str">
        <f t="shared" si="9"/>
        <v/>
      </c>
      <c r="K226" s="12" t="str">
        <f t="shared" si="10"/>
        <v/>
      </c>
      <c r="L226" s="12" t="e">
        <f t="shared" si="11"/>
        <v>#VALUE!</v>
      </c>
    </row>
    <row r="227" spans="1:12" ht="24" customHeight="1" x14ac:dyDescent="0.25">
      <c r="A227" s="9">
        <v>43147</v>
      </c>
      <c r="B227" s="14" t="s">
        <v>31</v>
      </c>
      <c r="C227" s="17">
        <v>2016</v>
      </c>
      <c r="D227" s="11" t="e">
        <f>+VLOOKUP(B227,#REF!,6,FALSE)</f>
        <v>#REF!</v>
      </c>
      <c r="E227" s="10">
        <v>4.0807000000000002</v>
      </c>
      <c r="F227" s="10"/>
      <c r="G227" s="10"/>
      <c r="H227" s="10"/>
      <c r="I227" s="11" t="e">
        <f>+VLOOKUP(B227,#REF!,7,FALSE)</f>
        <v>#REF!</v>
      </c>
      <c r="J227" s="12" t="str">
        <f t="shared" si="9"/>
        <v/>
      </c>
      <c r="K227" s="12" t="str">
        <f t="shared" si="10"/>
        <v/>
      </c>
      <c r="L227" s="12" t="e">
        <f t="shared" si="11"/>
        <v>#VALUE!</v>
      </c>
    </row>
    <row r="228" spans="1:12" ht="24" customHeight="1" x14ac:dyDescent="0.25">
      <c r="A228" s="9">
        <v>43147</v>
      </c>
      <c r="B228" s="14" t="s">
        <v>120</v>
      </c>
      <c r="C228" s="17">
        <v>9270</v>
      </c>
      <c r="D228" s="11" t="e">
        <f>+VLOOKUP(B228,#REF!,6,FALSE)</f>
        <v>#REF!</v>
      </c>
      <c r="E228" s="10">
        <f>9.6352/6</f>
        <v>1.6058666666666666</v>
      </c>
      <c r="F228" s="10"/>
      <c r="G228" s="10"/>
      <c r="H228" s="10"/>
      <c r="I228" s="11" t="e">
        <f>+VLOOKUP(B228,#REF!,7,FALSE)</f>
        <v>#REF!</v>
      </c>
      <c r="J228" s="12" t="str">
        <f t="shared" si="9"/>
        <v/>
      </c>
      <c r="K228" s="12" t="str">
        <f t="shared" si="10"/>
        <v/>
      </c>
      <c r="L228" s="12" t="e">
        <f t="shared" si="11"/>
        <v>#VALUE!</v>
      </c>
    </row>
    <row r="229" spans="1:12" ht="24" customHeight="1" x14ac:dyDescent="0.25">
      <c r="A229" s="9">
        <v>43147</v>
      </c>
      <c r="B229" s="14" t="s">
        <v>138</v>
      </c>
      <c r="C229" s="17">
        <v>17928</v>
      </c>
      <c r="D229" s="11" t="e">
        <f>+VLOOKUP(B229,#REF!,6,FALSE)</f>
        <v>#REF!</v>
      </c>
      <c r="E229" s="10">
        <f>10.6966/12</f>
        <v>0.89138333333333331</v>
      </c>
      <c r="F229" s="10"/>
      <c r="G229" s="10"/>
      <c r="H229" s="10"/>
      <c r="I229" s="11" t="e">
        <f>+VLOOKUP(B229,#REF!,7,FALSE)</f>
        <v>#REF!</v>
      </c>
      <c r="J229" s="12" t="str">
        <f t="shared" si="9"/>
        <v/>
      </c>
      <c r="K229" s="12" t="str">
        <f t="shared" si="10"/>
        <v/>
      </c>
      <c r="L229" s="12" t="e">
        <f t="shared" si="11"/>
        <v>#VALUE!</v>
      </c>
    </row>
    <row r="230" spans="1:12" ht="24" customHeight="1" x14ac:dyDescent="0.25">
      <c r="A230" s="9">
        <v>43147</v>
      </c>
      <c r="B230" s="14" t="s">
        <v>139</v>
      </c>
      <c r="C230" s="17">
        <v>6400</v>
      </c>
      <c r="D230" s="11" t="e">
        <f>+VLOOKUP(B230,#REF!,6,FALSE)/4</f>
        <v>#REF!</v>
      </c>
      <c r="E230" s="10">
        <f>14.9956/4</f>
        <v>3.7488999999999999</v>
      </c>
      <c r="F230" s="10"/>
      <c r="G230" s="10"/>
      <c r="H230" s="10"/>
      <c r="I230" s="11" t="e">
        <f>+VLOOKUP(B230,#REF!,7,FALSE)</f>
        <v>#REF!</v>
      </c>
      <c r="J230" s="12" t="str">
        <f t="shared" si="9"/>
        <v/>
      </c>
      <c r="K230" s="12" t="str">
        <f t="shared" si="10"/>
        <v/>
      </c>
      <c r="L230" s="12" t="e">
        <f t="shared" si="11"/>
        <v>#VALUE!</v>
      </c>
    </row>
    <row r="231" spans="1:12" ht="24" customHeight="1" x14ac:dyDescent="0.25">
      <c r="A231" s="9">
        <v>43147</v>
      </c>
      <c r="B231" s="14" t="s">
        <v>152</v>
      </c>
      <c r="C231" s="17">
        <v>6228</v>
      </c>
      <c r="D231" s="11" t="e">
        <f>+VLOOKUP(B231,#REF!,6,FALSE)/12</f>
        <v>#REF!</v>
      </c>
      <c r="E231" s="10">
        <f>8.3897/12</f>
        <v>0.69914166666666666</v>
      </c>
      <c r="F231" s="10"/>
      <c r="G231" s="10"/>
      <c r="H231" s="10"/>
      <c r="I231" s="11" t="e">
        <f>+VLOOKUP(B231,#REF!,7,FALSE)</f>
        <v>#REF!</v>
      </c>
      <c r="J231" s="12" t="str">
        <f t="shared" si="9"/>
        <v/>
      </c>
      <c r="K231" s="12" t="str">
        <f t="shared" si="10"/>
        <v/>
      </c>
      <c r="L231" s="12" t="e">
        <f t="shared" si="11"/>
        <v>#VALUE!</v>
      </c>
    </row>
    <row r="232" spans="1:12" ht="24" customHeight="1" x14ac:dyDescent="0.25">
      <c r="A232" s="9">
        <v>43147</v>
      </c>
      <c r="B232" s="14" t="s">
        <v>153</v>
      </c>
      <c r="C232" s="17">
        <v>5136</v>
      </c>
      <c r="D232" s="11" t="e">
        <f>+VLOOKUP(B232,#REF!,6,FALSE)/12</f>
        <v>#REF!</v>
      </c>
      <c r="E232" s="10">
        <f>8.0333/12</f>
        <v>0.66944166666666671</v>
      </c>
      <c r="F232" s="10"/>
      <c r="G232" s="10"/>
      <c r="H232" s="10"/>
      <c r="I232" s="11" t="e">
        <f>+VLOOKUP(B232,#REF!,7,FALSE)</f>
        <v>#REF!</v>
      </c>
      <c r="J232" s="12" t="str">
        <f t="shared" si="9"/>
        <v/>
      </c>
      <c r="K232" s="12" t="str">
        <f t="shared" si="10"/>
        <v/>
      </c>
      <c r="L232" s="12" t="e">
        <f t="shared" si="11"/>
        <v>#VALUE!</v>
      </c>
    </row>
    <row r="233" spans="1:12" ht="24" customHeight="1" x14ac:dyDescent="0.25">
      <c r="A233" s="9">
        <v>43147</v>
      </c>
      <c r="B233" s="14" t="s">
        <v>204</v>
      </c>
      <c r="C233" s="17">
        <v>205</v>
      </c>
      <c r="D233" s="11" t="e">
        <f>+VLOOKUP(B233,#REF!,6,FALSE)</f>
        <v>#REF!</v>
      </c>
      <c r="E233" s="10">
        <v>18.823599999999999</v>
      </c>
      <c r="F233" s="10"/>
      <c r="G233" s="10"/>
      <c r="H233" s="10"/>
      <c r="I233" s="11" t="e">
        <f>+VLOOKUP(B233,#REF!,7,FALSE)</f>
        <v>#REF!</v>
      </c>
      <c r="J233" s="12" t="str">
        <f t="shared" si="9"/>
        <v/>
      </c>
      <c r="K233" s="12" t="str">
        <f t="shared" si="10"/>
        <v/>
      </c>
      <c r="L233" s="12" t="e">
        <f t="shared" si="11"/>
        <v>#VALUE!</v>
      </c>
    </row>
    <row r="234" spans="1:12" ht="24" customHeight="1" x14ac:dyDescent="0.25">
      <c r="A234" s="9">
        <v>43147</v>
      </c>
      <c r="B234" s="14" t="s">
        <v>205</v>
      </c>
      <c r="C234" s="17">
        <v>552</v>
      </c>
      <c r="D234" s="11" t="e">
        <f>+VLOOKUP(B234,#REF!,6,FALSE)</f>
        <v>#REF!</v>
      </c>
      <c r="E234" s="10">
        <v>18.716200000000001</v>
      </c>
      <c r="F234" s="10"/>
      <c r="G234" s="10"/>
      <c r="H234" s="10"/>
      <c r="I234" s="11" t="e">
        <f>+VLOOKUP(B234,#REF!,7,FALSE)</f>
        <v>#REF!</v>
      </c>
      <c r="J234" s="12" t="str">
        <f t="shared" si="9"/>
        <v/>
      </c>
      <c r="K234" s="12" t="str">
        <f t="shared" si="10"/>
        <v/>
      </c>
      <c r="L234" s="12" t="e">
        <f t="shared" si="11"/>
        <v>#VALUE!</v>
      </c>
    </row>
    <row r="235" spans="1:12" ht="24" customHeight="1" x14ac:dyDescent="0.25">
      <c r="A235" s="9">
        <v>43150</v>
      </c>
      <c r="B235" s="14" t="s">
        <v>27</v>
      </c>
      <c r="C235" s="17">
        <v>3312</v>
      </c>
      <c r="D235" s="11" t="e">
        <f>+VLOOKUP(B235,#REF!,6,FALSE)</f>
        <v>#REF!</v>
      </c>
      <c r="E235" s="10">
        <f>11.8972/6</f>
        <v>1.9828666666666666</v>
      </c>
      <c r="F235" s="10"/>
      <c r="G235" s="10"/>
      <c r="H235" s="10"/>
      <c r="I235" s="11" t="e">
        <f>+VLOOKUP(B235,#REF!,7,FALSE)</f>
        <v>#REF!</v>
      </c>
      <c r="J235" s="12" t="str">
        <f t="shared" si="9"/>
        <v/>
      </c>
      <c r="K235" s="12" t="str">
        <f t="shared" si="10"/>
        <v/>
      </c>
      <c r="L235" s="12" t="e">
        <f t="shared" si="11"/>
        <v>#VALUE!</v>
      </c>
    </row>
    <row r="236" spans="1:12" ht="24" customHeight="1" x14ac:dyDescent="0.25">
      <c r="A236" s="9">
        <v>43150</v>
      </c>
      <c r="B236" s="10" t="s">
        <v>33</v>
      </c>
      <c r="C236" s="17">
        <v>357</v>
      </c>
      <c r="D236" s="11" t="e">
        <f>+VLOOKUP(B236,#REF!,6,FALSE)</f>
        <v>#REF!</v>
      </c>
      <c r="E236" s="10">
        <v>4.5198</v>
      </c>
      <c r="F236" s="10"/>
      <c r="G236" s="10"/>
      <c r="H236" s="10"/>
      <c r="I236" s="11" t="e">
        <f>+VLOOKUP(B236,#REF!,7,FALSE)</f>
        <v>#REF!</v>
      </c>
      <c r="J236" s="12" t="str">
        <f t="shared" si="9"/>
        <v/>
      </c>
      <c r="K236" s="12" t="str">
        <f t="shared" si="10"/>
        <v/>
      </c>
      <c r="L236" s="12" t="e">
        <f t="shared" si="11"/>
        <v>#VALUE!</v>
      </c>
    </row>
    <row r="237" spans="1:12" ht="24" customHeight="1" x14ac:dyDescent="0.25">
      <c r="A237" s="9">
        <v>43150</v>
      </c>
      <c r="B237" s="10" t="s">
        <v>53</v>
      </c>
      <c r="C237" s="17">
        <v>756</v>
      </c>
      <c r="D237" s="11" t="e">
        <f>+VLOOKUP(B237,#REF!,6,FALSE)</f>
        <v>#REF!</v>
      </c>
      <c r="E237" s="10">
        <f>6.0795/12</f>
        <v>0.50662499999999999</v>
      </c>
      <c r="F237" s="10"/>
      <c r="G237" s="10"/>
      <c r="H237" s="10"/>
      <c r="I237" s="11" t="e">
        <f>+VLOOKUP(B237,#REF!,7,FALSE)</f>
        <v>#REF!</v>
      </c>
      <c r="J237" s="12" t="str">
        <f t="shared" si="9"/>
        <v/>
      </c>
      <c r="K237" s="12" t="str">
        <f t="shared" si="10"/>
        <v/>
      </c>
      <c r="L237" s="12" t="e">
        <f t="shared" si="11"/>
        <v>#VALUE!</v>
      </c>
    </row>
    <row r="238" spans="1:12" ht="24" customHeight="1" x14ac:dyDescent="0.25">
      <c r="A238" s="9">
        <v>43150</v>
      </c>
      <c r="B238" s="10" t="s">
        <v>56</v>
      </c>
      <c r="C238" s="17">
        <v>1110</v>
      </c>
      <c r="D238" s="11" t="e">
        <f>+VLOOKUP(B238,#REF!,6,FALSE)</f>
        <v>#REF!</v>
      </c>
      <c r="E238" s="10">
        <f>5.7349/6</f>
        <v>0.95581666666666665</v>
      </c>
      <c r="F238" s="10"/>
      <c r="G238" s="10"/>
      <c r="H238" s="10"/>
      <c r="I238" s="11" t="e">
        <f>+VLOOKUP(B238,#REF!,7,FALSE)</f>
        <v>#REF!</v>
      </c>
      <c r="J238" s="12" t="str">
        <f t="shared" si="9"/>
        <v/>
      </c>
      <c r="K238" s="12" t="str">
        <f t="shared" si="10"/>
        <v/>
      </c>
      <c r="L238" s="12" t="e">
        <f t="shared" si="11"/>
        <v>#VALUE!</v>
      </c>
    </row>
    <row r="239" spans="1:12" ht="24" customHeight="1" x14ac:dyDescent="0.25">
      <c r="A239" s="9">
        <v>43150</v>
      </c>
      <c r="B239" s="10" t="s">
        <v>60</v>
      </c>
      <c r="C239" s="17">
        <v>3024</v>
      </c>
      <c r="D239" s="11" t="e">
        <f>+VLOOKUP(B239,#REF!,6,FALSE)</f>
        <v>#REF!</v>
      </c>
      <c r="E239" s="10">
        <f>22.1453/72</f>
        <v>0.30757361111111109</v>
      </c>
      <c r="F239" s="10"/>
      <c r="G239" s="10"/>
      <c r="H239" s="10"/>
      <c r="I239" s="11" t="e">
        <f>+VLOOKUP(B239,#REF!,7,FALSE)</f>
        <v>#REF!</v>
      </c>
      <c r="J239" s="12" t="str">
        <f t="shared" si="9"/>
        <v/>
      </c>
      <c r="K239" s="12" t="str">
        <f t="shared" si="10"/>
        <v/>
      </c>
      <c r="L239" s="12" t="e">
        <f t="shared" si="11"/>
        <v>#VALUE!</v>
      </c>
    </row>
    <row r="240" spans="1:12" ht="24" customHeight="1" x14ac:dyDescent="0.25">
      <c r="A240" s="9">
        <v>43150</v>
      </c>
      <c r="B240" s="10" t="s">
        <v>89</v>
      </c>
      <c r="C240" s="17">
        <v>775</v>
      </c>
      <c r="D240" s="11" t="e">
        <f>+VLOOKUP(B240,#REF!,6,FALSE)</f>
        <v>#REF!</v>
      </c>
      <c r="E240" s="10">
        <v>3.2570999999999999</v>
      </c>
      <c r="F240" s="10"/>
      <c r="G240" s="10"/>
      <c r="H240" s="10"/>
      <c r="I240" s="11" t="e">
        <f>+VLOOKUP(B240,#REF!,7,FALSE)</f>
        <v>#REF!</v>
      </c>
      <c r="J240" s="12" t="str">
        <f t="shared" si="9"/>
        <v/>
      </c>
      <c r="K240" s="12" t="str">
        <f t="shared" si="10"/>
        <v/>
      </c>
      <c r="L240" s="12" t="e">
        <f t="shared" si="11"/>
        <v>#VALUE!</v>
      </c>
    </row>
    <row r="241" spans="1:12" ht="24" customHeight="1" x14ac:dyDescent="0.25">
      <c r="A241" s="9">
        <v>43150</v>
      </c>
      <c r="B241" s="10" t="s">
        <v>93</v>
      </c>
      <c r="C241" s="17">
        <v>1284</v>
      </c>
      <c r="D241" s="11" t="e">
        <f>+VLOOKUP(B241,#REF!,6,FALSE)</f>
        <v>#REF!</v>
      </c>
      <c r="E241" s="10">
        <v>18.3111</v>
      </c>
      <c r="F241" s="10"/>
      <c r="G241" s="10"/>
      <c r="H241" s="10"/>
      <c r="I241" s="11" t="e">
        <f>+VLOOKUP(B241,#REF!,7,FALSE)</f>
        <v>#REF!</v>
      </c>
      <c r="J241" s="12" t="str">
        <f t="shared" si="9"/>
        <v/>
      </c>
      <c r="K241" s="12" t="str">
        <f t="shared" si="10"/>
        <v/>
      </c>
      <c r="L241" s="12" t="e">
        <f t="shared" si="11"/>
        <v>#VALUE!</v>
      </c>
    </row>
    <row r="242" spans="1:12" ht="24" customHeight="1" x14ac:dyDescent="0.25">
      <c r="A242" s="9">
        <v>43150</v>
      </c>
      <c r="B242" s="10" t="s">
        <v>131</v>
      </c>
      <c r="C242" s="17">
        <v>439</v>
      </c>
      <c r="D242" s="11" t="e">
        <f>+VLOOKUP(B242,#REF!,6,FALSE)</f>
        <v>#REF!</v>
      </c>
      <c r="E242" s="10">
        <v>17.2818</v>
      </c>
      <c r="F242" s="10"/>
      <c r="G242" s="10"/>
      <c r="H242" s="10"/>
      <c r="I242" s="11" t="e">
        <f>+VLOOKUP(B242,#REF!,7,FALSE)</f>
        <v>#REF!</v>
      </c>
      <c r="J242" s="12" t="str">
        <f t="shared" si="9"/>
        <v/>
      </c>
      <c r="K242" s="12" t="str">
        <f t="shared" si="10"/>
        <v/>
      </c>
      <c r="L242" s="12" t="e">
        <f t="shared" si="11"/>
        <v>#VALUE!</v>
      </c>
    </row>
    <row r="243" spans="1:12" ht="24" customHeight="1" x14ac:dyDescent="0.25">
      <c r="A243" s="9">
        <v>43150</v>
      </c>
      <c r="B243" s="10" t="s">
        <v>139</v>
      </c>
      <c r="C243" s="17">
        <v>3420</v>
      </c>
      <c r="D243" s="11" t="e">
        <f>+VLOOKUP(B243,#REF!,6,FALSE)/4</f>
        <v>#REF!</v>
      </c>
      <c r="E243" s="10">
        <f>15.3089/4</f>
        <v>3.8272249999999999</v>
      </c>
      <c r="F243" s="10"/>
      <c r="G243" s="10"/>
      <c r="H243" s="10"/>
      <c r="I243" s="11" t="e">
        <f>+VLOOKUP(B243,#REF!,7,FALSE)</f>
        <v>#REF!</v>
      </c>
      <c r="J243" s="12" t="str">
        <f t="shared" si="9"/>
        <v/>
      </c>
      <c r="K243" s="12" t="str">
        <f t="shared" si="10"/>
        <v/>
      </c>
      <c r="L243" s="12" t="e">
        <f t="shared" si="11"/>
        <v>#VALUE!</v>
      </c>
    </row>
    <row r="244" spans="1:12" ht="24" customHeight="1" x14ac:dyDescent="0.25">
      <c r="A244" s="9">
        <v>43150</v>
      </c>
      <c r="B244" s="10" t="s">
        <v>146</v>
      </c>
      <c r="C244" s="17">
        <v>10152</v>
      </c>
      <c r="D244" s="11" t="e">
        <f>+VLOOKUP(B244,#REF!,6,FALSE)</f>
        <v>#REF!</v>
      </c>
      <c r="E244" s="10">
        <f>7.462/12</f>
        <v>0.62183333333333335</v>
      </c>
      <c r="F244" s="10"/>
      <c r="G244" s="10"/>
      <c r="H244" s="10"/>
      <c r="I244" s="11" t="e">
        <f>+VLOOKUP(B244,#REF!,7,FALSE)</f>
        <v>#REF!</v>
      </c>
      <c r="J244" s="12" t="str">
        <f t="shared" si="9"/>
        <v/>
      </c>
      <c r="K244" s="12" t="str">
        <f t="shared" si="10"/>
        <v/>
      </c>
      <c r="L244" s="12" t="e">
        <f t="shared" si="11"/>
        <v>#VALUE!</v>
      </c>
    </row>
    <row r="245" spans="1:12" ht="24" customHeight="1" x14ac:dyDescent="0.25">
      <c r="A245" s="9">
        <v>43150</v>
      </c>
      <c r="B245" s="10" t="s">
        <v>147</v>
      </c>
      <c r="C245" s="17">
        <v>9792</v>
      </c>
      <c r="D245" s="11" t="e">
        <f>+VLOOKUP(B245,#REF!,6,FALSE)</f>
        <v>#REF!</v>
      </c>
      <c r="E245" s="10">
        <f>17.0338/72</f>
        <v>0.23658055555555554</v>
      </c>
      <c r="F245" s="10"/>
      <c r="G245" s="10"/>
      <c r="H245" s="10"/>
      <c r="I245" s="11" t="e">
        <f>+VLOOKUP(B245,#REF!,7,FALSE)</f>
        <v>#REF!</v>
      </c>
      <c r="J245" s="12" t="str">
        <f t="shared" si="9"/>
        <v/>
      </c>
      <c r="K245" s="12" t="str">
        <f t="shared" si="10"/>
        <v/>
      </c>
      <c r="L245" s="12" t="e">
        <f t="shared" si="11"/>
        <v>#VALUE!</v>
      </c>
    </row>
    <row r="246" spans="1:12" ht="24" customHeight="1" x14ac:dyDescent="0.25">
      <c r="A246" s="9">
        <v>43150</v>
      </c>
      <c r="B246" s="10" t="s">
        <v>395</v>
      </c>
      <c r="C246" s="17">
        <v>95</v>
      </c>
      <c r="D246" s="11" t="e">
        <f>+VLOOKUP(B246,#REF!,6,FALSE)</f>
        <v>#REF!</v>
      </c>
      <c r="E246" s="10">
        <v>7.2312000000000003</v>
      </c>
      <c r="F246" s="10"/>
      <c r="G246" s="10"/>
      <c r="H246" s="10"/>
      <c r="I246" s="11" t="e">
        <f>+VLOOKUP(B246,#REF!,7,FALSE)</f>
        <v>#REF!</v>
      </c>
      <c r="J246" s="12" t="str">
        <f t="shared" si="9"/>
        <v/>
      </c>
      <c r="K246" s="12" t="str">
        <f t="shared" si="10"/>
        <v/>
      </c>
      <c r="L246" s="12" t="e">
        <f t="shared" si="11"/>
        <v>#VALUE!</v>
      </c>
    </row>
    <row r="247" spans="1:12" ht="24" customHeight="1" x14ac:dyDescent="0.25">
      <c r="A247" s="9">
        <v>43150</v>
      </c>
      <c r="B247" s="10" t="s">
        <v>226</v>
      </c>
      <c r="C247" s="17">
        <v>7392</v>
      </c>
      <c r="D247" s="11" t="e">
        <f>+VLOOKUP(B247,#REF!,6,FALSE)</f>
        <v>#REF!</v>
      </c>
      <c r="E247" s="10">
        <v>1.8167</v>
      </c>
      <c r="F247" s="10"/>
      <c r="G247" s="10"/>
      <c r="H247" s="10"/>
      <c r="I247" s="11" t="e">
        <f>+VLOOKUP(B247,#REF!,7,FALSE)</f>
        <v>#REF!</v>
      </c>
      <c r="J247" s="12" t="str">
        <f t="shared" si="9"/>
        <v/>
      </c>
      <c r="K247" s="12" t="str">
        <f t="shared" si="10"/>
        <v/>
      </c>
      <c r="L247" s="12" t="e">
        <f t="shared" si="11"/>
        <v>#VALUE!</v>
      </c>
    </row>
    <row r="248" spans="1:12" ht="24" customHeight="1" x14ac:dyDescent="0.25">
      <c r="A248" s="9">
        <v>43151</v>
      </c>
      <c r="B248" s="10" t="s">
        <v>128</v>
      </c>
      <c r="C248" s="17">
        <v>50760</v>
      </c>
      <c r="D248" s="11" t="e">
        <f>+VLOOKUP(B248,#REF!,6,FALSE)</f>
        <v>#REF!</v>
      </c>
      <c r="E248" s="10">
        <f>17.8986/72</f>
        <v>0.24859166666666666</v>
      </c>
      <c r="F248" s="10"/>
      <c r="G248" s="10"/>
      <c r="H248" s="10"/>
      <c r="I248" s="11" t="e">
        <f>+VLOOKUP(B248,#REF!,7,FALSE)</f>
        <v>#REF!</v>
      </c>
      <c r="J248" s="12" t="str">
        <f t="shared" si="9"/>
        <v/>
      </c>
      <c r="K248" s="12" t="str">
        <f t="shared" si="10"/>
        <v/>
      </c>
      <c r="L248" s="12" t="e">
        <f t="shared" si="11"/>
        <v>#VALUE!</v>
      </c>
    </row>
    <row r="249" spans="1:12" ht="24" customHeight="1" x14ac:dyDescent="0.25">
      <c r="A249" s="9">
        <v>43151</v>
      </c>
      <c r="B249" s="10" t="s">
        <v>139</v>
      </c>
      <c r="C249" s="17">
        <v>7132</v>
      </c>
      <c r="D249" s="11" t="e">
        <f>+VLOOKUP(B249,#REF!,6,FALSE)/4</f>
        <v>#REF!</v>
      </c>
      <c r="E249" s="10">
        <f>14.2977/4</f>
        <v>3.5744250000000002</v>
      </c>
      <c r="F249" s="10"/>
      <c r="G249" s="10"/>
      <c r="H249" s="10"/>
      <c r="I249" s="11" t="e">
        <f>+VLOOKUP(B249,#REF!,7,FALSE)</f>
        <v>#REF!</v>
      </c>
      <c r="J249" s="12" t="str">
        <f t="shared" si="9"/>
        <v/>
      </c>
      <c r="K249" s="12" t="str">
        <f t="shared" si="10"/>
        <v/>
      </c>
      <c r="L249" s="12" t="e">
        <f t="shared" si="11"/>
        <v>#VALUE!</v>
      </c>
    </row>
    <row r="250" spans="1:12" ht="24" customHeight="1" x14ac:dyDescent="0.25">
      <c r="A250" s="9">
        <v>43151</v>
      </c>
      <c r="B250" s="10" t="s">
        <v>164</v>
      </c>
      <c r="C250" s="17">
        <v>9960</v>
      </c>
      <c r="D250" s="11" t="e">
        <f>+VLOOKUP(B250,#REF!,6,FALSE)/12</f>
        <v>#REF!</v>
      </c>
      <c r="E250" s="10">
        <f>9.1441/12</f>
        <v>0.76200833333333329</v>
      </c>
      <c r="F250" s="10"/>
      <c r="G250" s="10"/>
      <c r="H250" s="10"/>
      <c r="I250" s="11" t="e">
        <f>+VLOOKUP(B250,#REF!,7,FALSE)</f>
        <v>#REF!</v>
      </c>
      <c r="J250" s="12" t="str">
        <f t="shared" si="9"/>
        <v/>
      </c>
      <c r="K250" s="12" t="str">
        <f t="shared" si="10"/>
        <v/>
      </c>
      <c r="L250" s="12" t="e">
        <f t="shared" si="11"/>
        <v>#VALUE!</v>
      </c>
    </row>
    <row r="251" spans="1:12" ht="24" customHeight="1" x14ac:dyDescent="0.25">
      <c r="A251" s="9">
        <v>43151</v>
      </c>
      <c r="B251" s="10" t="s">
        <v>226</v>
      </c>
      <c r="C251" s="17">
        <f>35898/6</f>
        <v>5983</v>
      </c>
      <c r="D251" s="11" t="e">
        <f>+VLOOKUP(B251,#REF!,6,FALSE)</f>
        <v>#REF!</v>
      </c>
      <c r="E251" s="10">
        <v>1.7986</v>
      </c>
      <c r="F251" s="10"/>
      <c r="G251" s="10"/>
      <c r="H251" s="10"/>
      <c r="I251" s="11" t="e">
        <f>+VLOOKUP(B251,#REF!,7,FALSE)</f>
        <v>#REF!</v>
      </c>
      <c r="J251" s="12" t="str">
        <f t="shared" si="9"/>
        <v/>
      </c>
      <c r="K251" s="12" t="str">
        <f t="shared" si="10"/>
        <v/>
      </c>
      <c r="L251" s="12" t="e">
        <f t="shared" si="11"/>
        <v>#VALUE!</v>
      </c>
    </row>
    <row r="252" spans="1:12" ht="24" customHeight="1" x14ac:dyDescent="0.25">
      <c r="A252" s="9">
        <v>43152</v>
      </c>
      <c r="B252" s="10" t="s">
        <v>71</v>
      </c>
      <c r="C252" s="17">
        <v>834</v>
      </c>
      <c r="D252" s="11" t="e">
        <f>+VLOOKUP(B252,#REF!,6,FALSE)</f>
        <v>#REF!</v>
      </c>
      <c r="E252" s="10">
        <f>11.7446/6</f>
        <v>1.9574333333333334</v>
      </c>
      <c r="F252" s="10"/>
      <c r="G252" s="10"/>
      <c r="H252" s="10"/>
      <c r="I252" s="11" t="e">
        <f>+VLOOKUP(B252,#REF!,7,FALSE)</f>
        <v>#REF!</v>
      </c>
      <c r="J252" s="12" t="str">
        <f t="shared" si="9"/>
        <v/>
      </c>
      <c r="K252" s="12" t="str">
        <f t="shared" si="10"/>
        <v/>
      </c>
      <c r="L252" s="12" t="e">
        <f t="shared" si="11"/>
        <v>#VALUE!</v>
      </c>
    </row>
    <row r="253" spans="1:12" ht="24" customHeight="1" x14ac:dyDescent="0.25">
      <c r="A253" s="9">
        <v>43152</v>
      </c>
      <c r="B253" s="10" t="s">
        <v>72</v>
      </c>
      <c r="C253" s="17">
        <v>1200</v>
      </c>
      <c r="D253" s="11" t="e">
        <f>+VLOOKUP(B253,#REF!,6,FALSE)</f>
        <v>#REF!</v>
      </c>
      <c r="E253" s="10">
        <f>9.6832/6</f>
        <v>1.6138666666666666</v>
      </c>
      <c r="F253" s="10"/>
      <c r="G253" s="10"/>
      <c r="H253" s="10"/>
      <c r="I253" s="11" t="e">
        <f>+VLOOKUP(B253,#REF!,7,FALSE)</f>
        <v>#REF!</v>
      </c>
      <c r="J253" s="12" t="str">
        <f t="shared" si="9"/>
        <v/>
      </c>
      <c r="K253" s="12" t="str">
        <f t="shared" si="10"/>
        <v/>
      </c>
      <c r="L253" s="12" t="e">
        <f t="shared" si="11"/>
        <v>#VALUE!</v>
      </c>
    </row>
    <row r="254" spans="1:12" ht="24" customHeight="1" x14ac:dyDescent="0.25">
      <c r="A254" s="9">
        <v>43152</v>
      </c>
      <c r="B254" s="10" t="s">
        <v>104</v>
      </c>
      <c r="C254" s="17">
        <v>1233</v>
      </c>
      <c r="D254" s="11" t="e">
        <f>+VLOOKUP(B254,#REF!,6,FALSE)</f>
        <v>#REF!</v>
      </c>
      <c r="E254" s="10">
        <v>6.6936</v>
      </c>
      <c r="F254" s="10"/>
      <c r="G254" s="10"/>
      <c r="H254" s="10"/>
      <c r="I254" s="11" t="e">
        <f>+VLOOKUP(B254,#REF!,7,FALSE)</f>
        <v>#REF!</v>
      </c>
      <c r="J254" s="12" t="str">
        <f t="shared" si="9"/>
        <v/>
      </c>
      <c r="K254" s="12" t="str">
        <f t="shared" si="10"/>
        <v/>
      </c>
      <c r="L254" s="12" t="e">
        <f t="shared" si="11"/>
        <v>#VALUE!</v>
      </c>
    </row>
    <row r="255" spans="1:12" ht="24" customHeight="1" x14ac:dyDescent="0.25">
      <c r="A255" s="9">
        <v>43152</v>
      </c>
      <c r="B255" s="10" t="s">
        <v>118</v>
      </c>
      <c r="C255" s="17">
        <v>3804</v>
      </c>
      <c r="D255" s="11" t="e">
        <f>+VLOOKUP(B255,#REF!,6,FALSE)</f>
        <v>#REF!</v>
      </c>
      <c r="E255" s="10">
        <f>9.6393/6</f>
        <v>1.6065500000000001</v>
      </c>
      <c r="F255" s="10"/>
      <c r="G255" s="10"/>
      <c r="H255" s="10"/>
      <c r="I255" s="11" t="e">
        <f>+VLOOKUP(B255,#REF!,7,FALSE)</f>
        <v>#REF!</v>
      </c>
      <c r="J255" s="12" t="str">
        <f t="shared" si="9"/>
        <v/>
      </c>
      <c r="K255" s="12" t="str">
        <f t="shared" si="10"/>
        <v/>
      </c>
      <c r="L255" s="12" t="e">
        <f t="shared" si="11"/>
        <v>#VALUE!</v>
      </c>
    </row>
    <row r="256" spans="1:12" ht="24" customHeight="1" x14ac:dyDescent="0.25">
      <c r="A256" s="9">
        <v>43152</v>
      </c>
      <c r="B256" s="10" t="s">
        <v>135</v>
      </c>
      <c r="C256" s="17">
        <v>4026</v>
      </c>
      <c r="D256" s="11" t="e">
        <f>+VLOOKUP(B256,#REF!,6,FALSE)</f>
        <v>#REF!</v>
      </c>
      <c r="E256" s="10">
        <f>9.3743/6</f>
        <v>1.5623833333333332</v>
      </c>
      <c r="F256" s="10"/>
      <c r="G256" s="10"/>
      <c r="H256" s="10"/>
      <c r="I256" s="11" t="e">
        <f>+VLOOKUP(B256,#REF!,7,FALSE)</f>
        <v>#REF!</v>
      </c>
      <c r="J256" s="12" t="str">
        <f t="shared" si="9"/>
        <v/>
      </c>
      <c r="K256" s="12" t="str">
        <f t="shared" si="10"/>
        <v/>
      </c>
      <c r="L256" s="12" t="e">
        <f t="shared" si="11"/>
        <v>#VALUE!</v>
      </c>
    </row>
    <row r="257" spans="1:12" ht="24" customHeight="1" x14ac:dyDescent="0.25">
      <c r="A257" s="9">
        <v>43152</v>
      </c>
      <c r="B257" s="10" t="s">
        <v>230</v>
      </c>
      <c r="C257" s="17">
        <v>19752</v>
      </c>
      <c r="D257" s="11" t="e">
        <f>+VLOOKUP(B257,#REF!,6,FALSE)</f>
        <v>#REF!</v>
      </c>
      <c r="E257" s="21">
        <f>3.1761/6</f>
        <v>0.52934999999999999</v>
      </c>
      <c r="F257" s="10"/>
      <c r="G257" s="10"/>
      <c r="H257" s="10"/>
      <c r="I257" s="11" t="e">
        <f>+VLOOKUP(B257,#REF!,7,FALSE)</f>
        <v>#REF!</v>
      </c>
      <c r="J257" s="12" t="str">
        <f t="shared" si="9"/>
        <v/>
      </c>
      <c r="K257" s="12" t="str">
        <f t="shared" si="10"/>
        <v/>
      </c>
      <c r="L257" s="12" t="e">
        <f t="shared" si="11"/>
        <v>#VALUE!</v>
      </c>
    </row>
    <row r="258" spans="1:12" ht="24" customHeight="1" x14ac:dyDescent="0.25">
      <c r="A258" s="9">
        <v>43152</v>
      </c>
      <c r="B258" s="10" t="s">
        <v>211</v>
      </c>
      <c r="C258" s="17">
        <v>8088</v>
      </c>
      <c r="D258" s="11" t="e">
        <f>+VLOOKUP(B258,#REF!,6,FALSE)/6</f>
        <v>#REF!</v>
      </c>
      <c r="E258" s="10">
        <f>9.2386/6</f>
        <v>1.5397666666666667</v>
      </c>
      <c r="F258" s="10"/>
      <c r="G258" s="10"/>
      <c r="H258" s="10"/>
      <c r="I258" s="11" t="e">
        <f>+VLOOKUP(B258,#REF!,7,FALSE)</f>
        <v>#REF!</v>
      </c>
      <c r="J258" s="12" t="str">
        <f t="shared" si="9"/>
        <v/>
      </c>
      <c r="K258" s="12" t="str">
        <f t="shared" si="10"/>
        <v/>
      </c>
      <c r="L258" s="12" t="e">
        <f t="shared" si="11"/>
        <v>#VALUE!</v>
      </c>
    </row>
    <row r="259" spans="1:12" ht="24" customHeight="1" x14ac:dyDescent="0.25">
      <c r="A259" s="9">
        <v>43152</v>
      </c>
      <c r="B259" s="10" t="s">
        <v>440</v>
      </c>
      <c r="C259" s="17">
        <v>17160</v>
      </c>
      <c r="D259" s="11" t="e">
        <f>+VLOOKUP(B259,#REF!,6,FALSE)</f>
        <v>#REF!</v>
      </c>
      <c r="E259" s="10">
        <f>0.5781</f>
        <v>0.57809999999999995</v>
      </c>
      <c r="F259" s="10"/>
      <c r="G259" s="10"/>
      <c r="H259" s="10"/>
      <c r="I259" s="11" t="e">
        <f>+VLOOKUP(B259,#REF!,7,FALSE)</f>
        <v>#REF!</v>
      </c>
      <c r="J259" s="12" t="str">
        <f t="shared" si="9"/>
        <v/>
      </c>
      <c r="K259" s="12" t="str">
        <f t="shared" si="10"/>
        <v/>
      </c>
      <c r="L259" s="12" t="e">
        <f t="shared" si="11"/>
        <v>#VALUE!</v>
      </c>
    </row>
    <row r="260" spans="1:12" ht="24" customHeight="1" x14ac:dyDescent="0.25">
      <c r="A260" s="9">
        <v>43153</v>
      </c>
      <c r="B260" s="10" t="s">
        <v>73</v>
      </c>
      <c r="C260" s="17">
        <v>2610</v>
      </c>
      <c r="D260" s="11" t="e">
        <f>+VLOOKUP(B260,#REF!,6,FALSE)</f>
        <v>#REF!</v>
      </c>
      <c r="E260" s="10">
        <f>12.1578/6</f>
        <v>2.0263</v>
      </c>
      <c r="F260" s="10"/>
      <c r="G260" s="10"/>
      <c r="H260" s="10"/>
      <c r="I260" s="11" t="e">
        <f>+VLOOKUP(B260,#REF!,7,FALSE)</f>
        <v>#REF!</v>
      </c>
      <c r="J260" s="12" t="str">
        <f t="shared" ref="J260:J323" si="12">IFERROR((I260-(D260+F260))/I260,"")</f>
        <v/>
      </c>
      <c r="K260" s="12" t="str">
        <f t="shared" ref="K260:K323" si="13">IF(E260="","",IFERROR((I260-(E260+G260+H260))/I260,""))</f>
        <v/>
      </c>
      <c r="L260" s="12" t="e">
        <f t="shared" ref="L260:L323" si="14">J260-K260</f>
        <v>#VALUE!</v>
      </c>
    </row>
    <row r="261" spans="1:12" ht="24" customHeight="1" x14ac:dyDescent="0.25">
      <c r="A261" s="9">
        <v>43153</v>
      </c>
      <c r="B261" s="10" t="s">
        <v>93</v>
      </c>
      <c r="C261" s="17">
        <v>607</v>
      </c>
      <c r="D261" s="11" t="e">
        <f>+VLOOKUP(B261,#REF!,6,FALSE)</f>
        <v>#REF!</v>
      </c>
      <c r="E261" s="10">
        <v>18.720500000000001</v>
      </c>
      <c r="F261" s="10"/>
      <c r="G261" s="10"/>
      <c r="H261" s="10"/>
      <c r="I261" s="11" t="e">
        <f>+VLOOKUP(B261,#REF!,7,FALSE)</f>
        <v>#REF!</v>
      </c>
      <c r="J261" s="12" t="str">
        <f t="shared" si="12"/>
        <v/>
      </c>
      <c r="K261" s="12" t="str">
        <f t="shared" si="13"/>
        <v/>
      </c>
      <c r="L261" s="12" t="e">
        <f t="shared" si="14"/>
        <v>#VALUE!</v>
      </c>
    </row>
    <row r="262" spans="1:12" ht="24" customHeight="1" x14ac:dyDescent="0.25">
      <c r="A262" s="9">
        <v>43153</v>
      </c>
      <c r="B262" s="10" t="s">
        <v>117</v>
      </c>
      <c r="C262" s="17">
        <f>33252/12</f>
        <v>2771</v>
      </c>
      <c r="D262" s="11" t="e">
        <f>+VLOOKUP(B262,#REF!,6,FALSE)</f>
        <v>#REF!</v>
      </c>
      <c r="E262" s="10">
        <v>3.2566000000000002</v>
      </c>
      <c r="F262" s="10"/>
      <c r="G262" s="10"/>
      <c r="H262" s="10"/>
      <c r="I262" s="11" t="e">
        <f>+VLOOKUP(B262,#REF!,7,FALSE)</f>
        <v>#REF!</v>
      </c>
      <c r="J262" s="12" t="str">
        <f t="shared" si="12"/>
        <v/>
      </c>
      <c r="K262" s="12" t="str">
        <f t="shared" si="13"/>
        <v/>
      </c>
      <c r="L262" s="12" t="e">
        <f t="shared" si="14"/>
        <v>#VALUE!</v>
      </c>
    </row>
    <row r="263" spans="1:12" ht="24" customHeight="1" x14ac:dyDescent="0.25">
      <c r="A263" s="9">
        <v>43153</v>
      </c>
      <c r="B263" s="10" t="s">
        <v>133</v>
      </c>
      <c r="C263" s="17">
        <v>1530</v>
      </c>
      <c r="D263" s="11" t="e">
        <f>+VLOOKUP(B263,#REF!,6,FALSE)</f>
        <v>#REF!</v>
      </c>
      <c r="E263" s="10">
        <f>1.6239</f>
        <v>1.6238999999999999</v>
      </c>
      <c r="F263" s="10"/>
      <c r="G263" s="10"/>
      <c r="H263" s="10"/>
      <c r="I263" s="11" t="e">
        <f>+VLOOKUP(B263,#REF!,7,FALSE)</f>
        <v>#REF!</v>
      </c>
      <c r="J263" s="12" t="str">
        <f t="shared" si="12"/>
        <v/>
      </c>
      <c r="K263" s="12" t="str">
        <f t="shared" si="13"/>
        <v/>
      </c>
      <c r="L263" s="12" t="e">
        <f t="shared" si="14"/>
        <v>#VALUE!</v>
      </c>
    </row>
    <row r="264" spans="1:12" ht="24" customHeight="1" x14ac:dyDescent="0.25">
      <c r="A264" s="9">
        <v>43153</v>
      </c>
      <c r="B264" s="10" t="s">
        <v>134</v>
      </c>
      <c r="C264" s="17">
        <v>5586</v>
      </c>
      <c r="D264" s="11" t="e">
        <f>+VLOOKUP(B264,#REF!,6,FALSE)</f>
        <v>#REF!</v>
      </c>
      <c r="E264" s="10">
        <f>9.7864/6</f>
        <v>1.6310666666666667</v>
      </c>
      <c r="F264" s="10"/>
      <c r="G264" s="10"/>
      <c r="H264" s="10"/>
      <c r="I264" s="11" t="e">
        <f>+VLOOKUP(B264,#REF!,7,FALSE)</f>
        <v>#REF!</v>
      </c>
      <c r="J264" s="12" t="str">
        <f t="shared" si="12"/>
        <v/>
      </c>
      <c r="K264" s="12" t="str">
        <f t="shared" si="13"/>
        <v/>
      </c>
      <c r="L264" s="12" t="e">
        <f t="shared" si="14"/>
        <v>#VALUE!</v>
      </c>
    </row>
    <row r="265" spans="1:12" ht="24" customHeight="1" x14ac:dyDescent="0.25">
      <c r="A265" s="9">
        <v>43153</v>
      </c>
      <c r="B265" s="10" t="s">
        <v>158</v>
      </c>
      <c r="C265" s="17">
        <v>600</v>
      </c>
      <c r="D265" s="11" t="e">
        <f>+VLOOKUP(B265,#REF!,6,FALSE)</f>
        <v>#REF!</v>
      </c>
      <c r="E265" s="10">
        <f>11.2221/12</f>
        <v>0.93517499999999998</v>
      </c>
      <c r="F265" s="10"/>
      <c r="G265" s="10"/>
      <c r="H265" s="10"/>
      <c r="I265" s="11" t="e">
        <f>+VLOOKUP(B265,#REF!,7,FALSE)</f>
        <v>#REF!</v>
      </c>
      <c r="J265" s="12" t="str">
        <f t="shared" si="12"/>
        <v/>
      </c>
      <c r="K265" s="12" t="str">
        <f t="shared" si="13"/>
        <v/>
      </c>
      <c r="L265" s="12" t="e">
        <f t="shared" si="14"/>
        <v>#VALUE!</v>
      </c>
    </row>
    <row r="266" spans="1:12" ht="24" customHeight="1" x14ac:dyDescent="0.25">
      <c r="A266" s="9">
        <v>43153</v>
      </c>
      <c r="B266" s="10" t="s">
        <v>230</v>
      </c>
      <c r="C266" s="17">
        <v>20010</v>
      </c>
      <c r="D266" s="11" t="e">
        <f>+VLOOKUP(B266,#REF!,6,FALSE)</f>
        <v>#REF!</v>
      </c>
      <c r="E266" s="10">
        <f>3.3866/6</f>
        <v>0.56443333333333334</v>
      </c>
      <c r="F266" s="10"/>
      <c r="G266" s="10"/>
      <c r="H266" s="10"/>
      <c r="I266" s="11" t="e">
        <f>+VLOOKUP(B266,#REF!,7,FALSE)</f>
        <v>#REF!</v>
      </c>
      <c r="J266" s="12" t="str">
        <f t="shared" si="12"/>
        <v/>
      </c>
      <c r="K266" s="12" t="str">
        <f t="shared" si="13"/>
        <v/>
      </c>
      <c r="L266" s="12" t="e">
        <f t="shared" si="14"/>
        <v>#VALUE!</v>
      </c>
    </row>
    <row r="267" spans="1:12" ht="24" customHeight="1" x14ac:dyDescent="0.25">
      <c r="A267" s="9">
        <v>43154</v>
      </c>
      <c r="B267" s="10" t="s">
        <v>72</v>
      </c>
      <c r="C267" s="17">
        <v>1470</v>
      </c>
      <c r="D267" s="11" t="e">
        <f>+VLOOKUP(B267,#REF!,6,FALSE)</f>
        <v>#REF!</v>
      </c>
      <c r="E267" s="10">
        <f>10.9808/6</f>
        <v>1.8301333333333334</v>
      </c>
      <c r="F267" s="10"/>
      <c r="G267" s="10"/>
      <c r="H267" s="10"/>
      <c r="I267" s="11" t="e">
        <f>+VLOOKUP(B267,#REF!,7,FALSE)</f>
        <v>#REF!</v>
      </c>
      <c r="J267" s="12" t="str">
        <f t="shared" si="12"/>
        <v/>
      </c>
      <c r="K267" s="12" t="str">
        <f t="shared" si="13"/>
        <v/>
      </c>
      <c r="L267" s="12" t="e">
        <f t="shared" si="14"/>
        <v>#VALUE!</v>
      </c>
    </row>
    <row r="268" spans="1:12" ht="24" customHeight="1" x14ac:dyDescent="0.25">
      <c r="A268" s="9">
        <v>43154</v>
      </c>
      <c r="B268" s="10" t="s">
        <v>116</v>
      </c>
      <c r="C268" s="17">
        <f>24408/12</f>
        <v>2034</v>
      </c>
      <c r="D268" s="11" t="e">
        <f>+VLOOKUP(B268,#REF!,6,FALSE)</f>
        <v>#REF!</v>
      </c>
      <c r="E268" s="10">
        <v>3.0695000000000001</v>
      </c>
      <c r="F268" s="10"/>
      <c r="G268" s="10"/>
      <c r="H268" s="10"/>
      <c r="I268" s="11" t="e">
        <f>+VLOOKUP(B268,#REF!,7,FALSE)</f>
        <v>#REF!</v>
      </c>
      <c r="J268" s="12" t="str">
        <f t="shared" si="12"/>
        <v/>
      </c>
      <c r="K268" s="12" t="str">
        <f t="shared" si="13"/>
        <v/>
      </c>
      <c r="L268" s="12" t="e">
        <f t="shared" si="14"/>
        <v>#VALUE!</v>
      </c>
    </row>
    <row r="269" spans="1:12" ht="24" customHeight="1" x14ac:dyDescent="0.25">
      <c r="A269" s="9">
        <v>43154</v>
      </c>
      <c r="B269" s="10" t="s">
        <v>118</v>
      </c>
      <c r="C269" s="17">
        <v>9664</v>
      </c>
      <c r="D269" s="11" t="e">
        <f>+VLOOKUP(B269,#REF!,6,FALSE)</f>
        <v>#REF!</v>
      </c>
      <c r="E269" s="10">
        <f>9.4778/6</f>
        <v>1.5796333333333334</v>
      </c>
      <c r="F269" s="10"/>
      <c r="G269" s="10"/>
      <c r="H269" s="10"/>
      <c r="I269" s="11" t="e">
        <f>+VLOOKUP(B269,#REF!,7,FALSE)</f>
        <v>#REF!</v>
      </c>
      <c r="J269" s="12" t="str">
        <f t="shared" si="12"/>
        <v/>
      </c>
      <c r="K269" s="12" t="str">
        <f t="shared" si="13"/>
        <v/>
      </c>
      <c r="L269" s="12" t="e">
        <f t="shared" si="14"/>
        <v>#VALUE!</v>
      </c>
    </row>
    <row r="270" spans="1:12" ht="24" customHeight="1" x14ac:dyDescent="0.25">
      <c r="A270" s="9">
        <v>43154</v>
      </c>
      <c r="B270" s="10" t="s">
        <v>140</v>
      </c>
      <c r="C270" s="17">
        <v>4932</v>
      </c>
      <c r="D270" s="11" t="e">
        <f>+VLOOKUP(B270,#REF!,6,FALSE)</f>
        <v>#REF!</v>
      </c>
      <c r="E270" s="10">
        <f>14.5116/4</f>
        <v>3.6278999999999999</v>
      </c>
      <c r="F270" s="10"/>
      <c r="G270" s="10"/>
      <c r="H270" s="10"/>
      <c r="I270" s="11" t="e">
        <f>+VLOOKUP(B270,#REF!,7,FALSE)</f>
        <v>#REF!</v>
      </c>
      <c r="J270" s="12" t="str">
        <f t="shared" si="12"/>
        <v/>
      </c>
      <c r="K270" s="12" t="str">
        <f t="shared" si="13"/>
        <v/>
      </c>
      <c r="L270" s="12" t="e">
        <f t="shared" si="14"/>
        <v>#VALUE!</v>
      </c>
    </row>
    <row r="271" spans="1:12" ht="24" customHeight="1" x14ac:dyDescent="0.25">
      <c r="A271" s="9">
        <v>43154</v>
      </c>
      <c r="B271" s="10" t="s">
        <v>178</v>
      </c>
      <c r="C271" s="17">
        <v>8916</v>
      </c>
      <c r="D271" s="11" t="e">
        <f>+VLOOKUP(B271,#REF!,6,FALSE)/6</f>
        <v>#REF!</v>
      </c>
      <c r="E271" s="10">
        <f>3.0255/6</f>
        <v>0.50424999999999998</v>
      </c>
      <c r="F271" s="10"/>
      <c r="G271" s="10"/>
      <c r="H271" s="10"/>
      <c r="I271" s="11" t="e">
        <f>+VLOOKUP(B271,#REF!,7,FALSE)</f>
        <v>#REF!</v>
      </c>
      <c r="J271" s="12" t="str">
        <f t="shared" si="12"/>
        <v/>
      </c>
      <c r="K271" s="12" t="str">
        <f t="shared" si="13"/>
        <v/>
      </c>
      <c r="L271" s="12" t="e">
        <f t="shared" si="14"/>
        <v>#VALUE!</v>
      </c>
    </row>
    <row r="272" spans="1:12" ht="24" customHeight="1" x14ac:dyDescent="0.25">
      <c r="A272" s="9">
        <v>43154</v>
      </c>
      <c r="B272" s="10" t="s">
        <v>458</v>
      </c>
      <c r="C272" s="17">
        <v>8640</v>
      </c>
      <c r="D272" s="11" t="e">
        <f>+VLOOKUP(B272,#REF!,6,FALSE)</f>
        <v>#REF!</v>
      </c>
      <c r="E272" s="10">
        <v>2.5280999999999998</v>
      </c>
      <c r="F272" s="10"/>
      <c r="G272" s="10"/>
      <c r="H272" s="10"/>
      <c r="I272" s="11" t="e">
        <f>+VLOOKUP(B272,#REF!,7,FALSE)</f>
        <v>#REF!</v>
      </c>
      <c r="J272" s="12" t="str">
        <f t="shared" si="12"/>
        <v/>
      </c>
      <c r="K272" s="12" t="str">
        <f t="shared" si="13"/>
        <v/>
      </c>
      <c r="L272" s="12" t="e">
        <f t="shared" si="14"/>
        <v>#VALUE!</v>
      </c>
    </row>
    <row r="273" spans="1:12" ht="24" customHeight="1" x14ac:dyDescent="0.25">
      <c r="A273" s="9">
        <v>43157</v>
      </c>
      <c r="B273" s="10" t="s">
        <v>23</v>
      </c>
      <c r="C273" s="17">
        <v>140</v>
      </c>
      <c r="D273" s="11" t="e">
        <f>+VLOOKUP(B273,#REF!,6,FALSE)</f>
        <v>#REF!</v>
      </c>
      <c r="E273" s="10">
        <v>2.9028999999999998</v>
      </c>
      <c r="F273" s="10"/>
      <c r="G273" s="10"/>
      <c r="H273" s="10"/>
      <c r="I273" s="11" t="e">
        <f>+VLOOKUP(B273,#REF!,7,FALSE)</f>
        <v>#REF!</v>
      </c>
      <c r="J273" s="12" t="str">
        <f t="shared" si="12"/>
        <v/>
      </c>
      <c r="K273" s="12" t="str">
        <f t="shared" si="13"/>
        <v/>
      </c>
      <c r="L273" s="12" t="e">
        <f t="shared" si="14"/>
        <v>#VALUE!</v>
      </c>
    </row>
    <row r="274" spans="1:12" ht="24" customHeight="1" x14ac:dyDescent="0.25">
      <c r="A274" s="9">
        <v>43157</v>
      </c>
      <c r="B274" s="10" t="s">
        <v>119</v>
      </c>
      <c r="C274" s="17">
        <v>3564</v>
      </c>
      <c r="D274" s="11" t="e">
        <f>+VLOOKUP(B274,#REF!,6,FALSE)</f>
        <v>#REF!</v>
      </c>
      <c r="E274" s="10">
        <f>9.9438/6</f>
        <v>1.6573</v>
      </c>
      <c r="F274" s="10"/>
      <c r="G274" s="10"/>
      <c r="H274" s="10"/>
      <c r="I274" s="11" t="e">
        <f>+VLOOKUP(B274,#REF!,7,FALSE)</f>
        <v>#REF!</v>
      </c>
      <c r="J274" s="12" t="str">
        <f t="shared" si="12"/>
        <v/>
      </c>
      <c r="K274" s="12" t="str">
        <f t="shared" si="13"/>
        <v/>
      </c>
      <c r="L274" s="12" t="e">
        <f t="shared" si="14"/>
        <v>#VALUE!</v>
      </c>
    </row>
    <row r="275" spans="1:12" ht="24" customHeight="1" x14ac:dyDescent="0.25">
      <c r="A275" s="9">
        <v>43157</v>
      </c>
      <c r="B275" s="10" t="s">
        <v>134</v>
      </c>
      <c r="C275" s="17">
        <v>396</v>
      </c>
      <c r="D275" s="11" t="e">
        <f>+VLOOKUP(B275,#REF!,6,FALSE)</f>
        <v>#REF!</v>
      </c>
      <c r="E275" s="10">
        <f>10.2057/6</f>
        <v>1.70095</v>
      </c>
      <c r="F275" s="10"/>
      <c r="G275" s="10"/>
      <c r="H275" s="10"/>
      <c r="I275" s="11" t="e">
        <f>+VLOOKUP(B275,#REF!,7,FALSE)</f>
        <v>#REF!</v>
      </c>
      <c r="J275" s="12" t="str">
        <f t="shared" si="12"/>
        <v/>
      </c>
      <c r="K275" s="12" t="str">
        <f t="shared" si="13"/>
        <v/>
      </c>
      <c r="L275" s="12" t="e">
        <f t="shared" si="14"/>
        <v>#VALUE!</v>
      </c>
    </row>
    <row r="276" spans="1:12" ht="24" customHeight="1" x14ac:dyDescent="0.25">
      <c r="A276" s="9">
        <v>43157</v>
      </c>
      <c r="B276" s="10" t="s">
        <v>135</v>
      </c>
      <c r="C276" s="17">
        <v>1398</v>
      </c>
      <c r="D276" s="11" t="e">
        <f>+VLOOKUP(B276,#REF!,6,FALSE)</f>
        <v>#REF!</v>
      </c>
      <c r="E276" s="10">
        <f>9.1413/6</f>
        <v>1.52355</v>
      </c>
      <c r="F276" s="10"/>
      <c r="G276" s="10"/>
      <c r="H276" s="10"/>
      <c r="I276" s="11" t="e">
        <f>+VLOOKUP(B276,#REF!,7,FALSE)</f>
        <v>#REF!</v>
      </c>
      <c r="J276" s="12" t="str">
        <f t="shared" si="12"/>
        <v/>
      </c>
      <c r="K276" s="12" t="str">
        <f t="shared" si="13"/>
        <v/>
      </c>
      <c r="L276" s="12" t="e">
        <f t="shared" si="14"/>
        <v>#VALUE!</v>
      </c>
    </row>
    <row r="277" spans="1:12" ht="24" customHeight="1" x14ac:dyDescent="0.25">
      <c r="A277" s="9">
        <v>43157</v>
      </c>
      <c r="B277" s="10" t="s">
        <v>150</v>
      </c>
      <c r="C277" s="17">
        <v>11784</v>
      </c>
      <c r="D277" s="11" t="e">
        <f>+VLOOKUP(B277,#REF!,6,FALSE)/6</f>
        <v>#REF!</v>
      </c>
      <c r="E277" s="10">
        <f>5.5233/6</f>
        <v>0.92054999999999998</v>
      </c>
      <c r="F277" s="10"/>
      <c r="G277" s="10"/>
      <c r="H277" s="10"/>
      <c r="I277" s="11" t="e">
        <f>+VLOOKUP(B277,#REF!,7,FALSE)</f>
        <v>#REF!</v>
      </c>
      <c r="J277" s="12" t="str">
        <f t="shared" si="12"/>
        <v/>
      </c>
      <c r="K277" s="12" t="str">
        <f t="shared" si="13"/>
        <v/>
      </c>
      <c r="L277" s="12" t="e">
        <f t="shared" si="14"/>
        <v>#VALUE!</v>
      </c>
    </row>
    <row r="278" spans="1:12" ht="24" customHeight="1" x14ac:dyDescent="0.25">
      <c r="A278" s="9">
        <v>43157</v>
      </c>
      <c r="B278" s="10" t="s">
        <v>163</v>
      </c>
      <c r="C278" s="17">
        <v>5574</v>
      </c>
      <c r="D278" s="11" t="e">
        <f>+VLOOKUP(B278,#REF!,6,FALSE)/6</f>
        <v>#REF!</v>
      </c>
      <c r="E278" s="10">
        <f>13.1016/6</f>
        <v>2.1835999999999998</v>
      </c>
      <c r="F278" s="10"/>
      <c r="G278" s="10"/>
      <c r="H278" s="10"/>
      <c r="I278" s="11" t="e">
        <f>+VLOOKUP(B278,#REF!,7,FALSE)</f>
        <v>#REF!</v>
      </c>
      <c r="J278" s="12" t="str">
        <f t="shared" si="12"/>
        <v/>
      </c>
      <c r="K278" s="12" t="str">
        <f t="shared" si="13"/>
        <v/>
      </c>
      <c r="L278" s="12" t="e">
        <f t="shared" si="14"/>
        <v>#VALUE!</v>
      </c>
    </row>
    <row r="279" spans="1:12" ht="24" customHeight="1" x14ac:dyDescent="0.25">
      <c r="A279" s="9">
        <v>43157</v>
      </c>
      <c r="B279" s="10" t="s">
        <v>458</v>
      </c>
      <c r="C279" s="17">
        <v>9120</v>
      </c>
      <c r="D279" s="11" t="e">
        <f>+VLOOKUP(B279,#REF!,6,FALSE)</f>
        <v>#REF!</v>
      </c>
      <c r="E279" s="10">
        <v>2.4731000000000001</v>
      </c>
      <c r="F279" s="10"/>
      <c r="G279" s="10"/>
      <c r="H279" s="10"/>
      <c r="I279" s="11" t="e">
        <f>+VLOOKUP(B279,#REF!,7,FALSE)</f>
        <v>#REF!</v>
      </c>
      <c r="J279" s="12" t="str">
        <f t="shared" si="12"/>
        <v/>
      </c>
      <c r="K279" s="12" t="str">
        <f t="shared" si="13"/>
        <v/>
      </c>
      <c r="L279" s="12" t="e">
        <f t="shared" si="14"/>
        <v>#VALUE!</v>
      </c>
    </row>
    <row r="280" spans="1:12" ht="24" customHeight="1" x14ac:dyDescent="0.25">
      <c r="A280" s="9">
        <v>43157</v>
      </c>
      <c r="B280" s="10" t="s">
        <v>459</v>
      </c>
      <c r="C280" s="17">
        <v>3312</v>
      </c>
      <c r="D280" s="11" t="e">
        <f>+VLOOKUP(B280,#REF!,6,FALSE)</f>
        <v>#REF!</v>
      </c>
      <c r="E280" s="10">
        <f>17.0104/8</f>
        <v>2.1263000000000001</v>
      </c>
      <c r="F280" s="10"/>
      <c r="G280" s="10"/>
      <c r="H280" s="10"/>
      <c r="I280" s="11" t="e">
        <f>+VLOOKUP(B280,#REF!,7,FALSE)</f>
        <v>#REF!</v>
      </c>
      <c r="J280" s="12" t="str">
        <f t="shared" si="12"/>
        <v/>
      </c>
      <c r="K280" s="12" t="str">
        <f t="shared" si="13"/>
        <v/>
      </c>
      <c r="L280" s="12" t="e">
        <f t="shared" si="14"/>
        <v>#VALUE!</v>
      </c>
    </row>
    <row r="281" spans="1:12" ht="24" customHeight="1" x14ac:dyDescent="0.25">
      <c r="A281" s="9">
        <v>43158</v>
      </c>
      <c r="B281" s="10" t="s">
        <v>66</v>
      </c>
      <c r="C281" s="17">
        <v>1170</v>
      </c>
      <c r="D281" s="11" t="e">
        <f>+VLOOKUP(B281,#REF!,6,FALSE)</f>
        <v>#REF!</v>
      </c>
      <c r="E281" s="10">
        <v>2.2856000000000001</v>
      </c>
      <c r="F281" s="10"/>
      <c r="G281" s="10"/>
      <c r="H281" s="10"/>
      <c r="I281" s="11" t="e">
        <f>+VLOOKUP(B281,#REF!,7,FALSE)/6</f>
        <v>#REF!</v>
      </c>
      <c r="J281" s="12" t="str">
        <f t="shared" si="12"/>
        <v/>
      </c>
      <c r="K281" s="12" t="str">
        <f t="shared" si="13"/>
        <v/>
      </c>
      <c r="L281" s="12" t="e">
        <f t="shared" si="14"/>
        <v>#VALUE!</v>
      </c>
    </row>
    <row r="282" spans="1:12" ht="24" customHeight="1" x14ac:dyDescent="0.25">
      <c r="A282" s="9">
        <v>43158</v>
      </c>
      <c r="B282" s="10" t="s">
        <v>75</v>
      </c>
      <c r="C282" s="17">
        <v>1148</v>
      </c>
      <c r="D282" s="11" t="e">
        <f>+VLOOKUP(B282,#REF!,6,FALSE)</f>
        <v>#REF!</v>
      </c>
      <c r="E282" s="10">
        <v>2.9965000000000002</v>
      </c>
      <c r="F282" s="10"/>
      <c r="G282" s="10"/>
      <c r="H282" s="10"/>
      <c r="I282" s="11" t="e">
        <f>+VLOOKUP(B282,#REF!,7,FALSE)/4</f>
        <v>#REF!</v>
      </c>
      <c r="J282" s="12" t="str">
        <f t="shared" si="12"/>
        <v/>
      </c>
      <c r="K282" s="12" t="str">
        <f t="shared" si="13"/>
        <v/>
      </c>
      <c r="L282" s="12" t="e">
        <f t="shared" si="14"/>
        <v>#VALUE!</v>
      </c>
    </row>
    <row r="283" spans="1:12" ht="24" customHeight="1" x14ac:dyDescent="0.25">
      <c r="A283" s="9">
        <v>43158</v>
      </c>
      <c r="B283" s="10" t="s">
        <v>76</v>
      </c>
      <c r="C283" s="17">
        <v>1240</v>
      </c>
      <c r="D283" s="11" t="e">
        <f>+VLOOKUP(B283,#REF!,6,FALSE)</f>
        <v>#REF!</v>
      </c>
      <c r="E283" s="10">
        <v>1.8747</v>
      </c>
      <c r="F283" s="10"/>
      <c r="G283" s="10"/>
      <c r="H283" s="10"/>
      <c r="I283" s="11" t="e">
        <f>+VLOOKUP(B283,#REF!,7,FALSE)/4</f>
        <v>#REF!</v>
      </c>
      <c r="J283" s="12" t="str">
        <f t="shared" si="12"/>
        <v/>
      </c>
      <c r="K283" s="12" t="str">
        <f t="shared" si="13"/>
        <v/>
      </c>
      <c r="L283" s="12" t="e">
        <f t="shared" si="14"/>
        <v>#VALUE!</v>
      </c>
    </row>
    <row r="284" spans="1:12" ht="24" customHeight="1" x14ac:dyDescent="0.25">
      <c r="A284" s="9">
        <v>43158</v>
      </c>
      <c r="B284" s="10" t="s">
        <v>77</v>
      </c>
      <c r="C284" s="17">
        <v>1956</v>
      </c>
      <c r="D284" s="11" t="e">
        <f>+VLOOKUP(B284,#REF!,6,FALSE)/6</f>
        <v>#REF!</v>
      </c>
      <c r="E284" s="10">
        <f>12.4707/6</f>
        <v>2.0784500000000001</v>
      </c>
      <c r="F284" s="10"/>
      <c r="G284" s="10"/>
      <c r="H284" s="10"/>
      <c r="I284" s="11" t="e">
        <f>+VLOOKUP(B284,#REF!,7,FALSE)</f>
        <v>#REF!</v>
      </c>
      <c r="J284" s="12" t="str">
        <f t="shared" si="12"/>
        <v/>
      </c>
      <c r="K284" s="12" t="str">
        <f t="shared" si="13"/>
        <v/>
      </c>
      <c r="L284" s="12" t="e">
        <f t="shared" si="14"/>
        <v>#VALUE!</v>
      </c>
    </row>
    <row r="285" spans="1:12" ht="24" customHeight="1" x14ac:dyDescent="0.25">
      <c r="A285" s="9">
        <v>43158</v>
      </c>
      <c r="B285" s="10" t="s">
        <v>81</v>
      </c>
      <c r="C285" s="17">
        <v>992</v>
      </c>
      <c r="D285" s="11" t="e">
        <f>+VLOOKUP(B285,#REF!,6,FALSE)/8</f>
        <v>#REF!</v>
      </c>
      <c r="E285" s="10">
        <f>20.5893/8</f>
        <v>2.5736625000000002</v>
      </c>
      <c r="F285" s="10"/>
      <c r="G285" s="10"/>
      <c r="H285" s="10"/>
      <c r="I285" s="11" t="e">
        <f>+VLOOKUP(B285,#REF!,7,FALSE)</f>
        <v>#REF!</v>
      </c>
      <c r="J285" s="12" t="str">
        <f t="shared" si="12"/>
        <v/>
      </c>
      <c r="K285" s="12" t="str">
        <f t="shared" si="13"/>
        <v/>
      </c>
      <c r="L285" s="12" t="e">
        <f t="shared" si="14"/>
        <v>#VALUE!</v>
      </c>
    </row>
    <row r="286" spans="1:12" ht="24" customHeight="1" x14ac:dyDescent="0.25">
      <c r="A286" s="9">
        <v>43158</v>
      </c>
      <c r="B286" s="10" t="s">
        <v>119</v>
      </c>
      <c r="C286" s="17">
        <v>5958</v>
      </c>
      <c r="D286" s="11" t="e">
        <f>+VLOOKUP(B286,#REF!,6,FALSE)</f>
        <v>#REF!</v>
      </c>
      <c r="E286" s="10">
        <f>9.8093/6</f>
        <v>1.6348833333333335</v>
      </c>
      <c r="F286" s="10"/>
      <c r="G286" s="10"/>
      <c r="H286" s="10"/>
      <c r="I286" s="11" t="e">
        <f>+VLOOKUP(B286,#REF!,7,FALSE)</f>
        <v>#REF!</v>
      </c>
      <c r="J286" s="12" t="str">
        <f t="shared" si="12"/>
        <v/>
      </c>
      <c r="K286" s="12" t="str">
        <f t="shared" si="13"/>
        <v/>
      </c>
      <c r="L286" s="12" t="e">
        <f t="shared" si="14"/>
        <v>#VALUE!</v>
      </c>
    </row>
    <row r="287" spans="1:12" ht="24" customHeight="1" x14ac:dyDescent="0.25">
      <c r="A287" s="9">
        <v>43158</v>
      </c>
      <c r="B287" s="10" t="s">
        <v>458</v>
      </c>
      <c r="C287" s="17">
        <v>7200</v>
      </c>
      <c r="D287" s="11" t="e">
        <f>+VLOOKUP(B287,#REF!,6,FALSE)</f>
        <v>#REF!</v>
      </c>
      <c r="E287" s="10">
        <v>2.2663000000000002</v>
      </c>
      <c r="F287" s="10"/>
      <c r="G287" s="10"/>
      <c r="H287" s="10"/>
      <c r="I287" s="11" t="e">
        <f>+VLOOKUP(B287,#REF!,7,FALSE)</f>
        <v>#REF!</v>
      </c>
      <c r="J287" s="12" t="str">
        <f t="shared" si="12"/>
        <v/>
      </c>
      <c r="K287" s="12" t="str">
        <f t="shared" si="13"/>
        <v/>
      </c>
      <c r="L287" s="12" t="e">
        <f t="shared" si="14"/>
        <v>#VALUE!</v>
      </c>
    </row>
    <row r="288" spans="1:12" ht="24" customHeight="1" x14ac:dyDescent="0.25">
      <c r="A288" s="9">
        <v>43159</v>
      </c>
      <c r="B288" s="10" t="s">
        <v>77</v>
      </c>
      <c r="C288" s="17">
        <v>240</v>
      </c>
      <c r="D288" s="11" t="e">
        <f>+VLOOKUP(B288,#REF!,6,FALSE)/6</f>
        <v>#REF!</v>
      </c>
      <c r="E288" s="10">
        <f>12.4137/6</f>
        <v>2.0689500000000001</v>
      </c>
      <c r="F288" s="10"/>
      <c r="G288" s="10"/>
      <c r="H288" s="10"/>
      <c r="I288" s="11" t="e">
        <f>+VLOOKUP(B288,#REF!,7,FALSE)</f>
        <v>#REF!</v>
      </c>
      <c r="J288" s="12" t="str">
        <f t="shared" si="12"/>
        <v/>
      </c>
      <c r="K288" s="12" t="str">
        <f t="shared" si="13"/>
        <v/>
      </c>
      <c r="L288" s="12" t="e">
        <f t="shared" si="14"/>
        <v>#VALUE!</v>
      </c>
    </row>
    <row r="289" spans="1:12" ht="24" customHeight="1" x14ac:dyDescent="0.25">
      <c r="A289" s="9">
        <v>43159</v>
      </c>
      <c r="B289" s="10" t="s">
        <v>103</v>
      </c>
      <c r="C289" s="17">
        <v>3450</v>
      </c>
      <c r="D289" s="11" t="e">
        <f>+VLOOKUP(B289,#REF!,6,FALSE)/6</f>
        <v>#REF!</v>
      </c>
      <c r="E289" s="10">
        <f>10.6539/6</f>
        <v>1.77565</v>
      </c>
      <c r="F289" s="10"/>
      <c r="G289" s="10"/>
      <c r="H289" s="10"/>
      <c r="I289" s="11" t="e">
        <f>+VLOOKUP(B289,#REF!,7,FALSE)</f>
        <v>#REF!</v>
      </c>
      <c r="J289" s="12" t="str">
        <f t="shared" si="12"/>
        <v/>
      </c>
      <c r="K289" s="12" t="str">
        <f t="shared" si="13"/>
        <v/>
      </c>
      <c r="L289" s="12" t="e">
        <f t="shared" si="14"/>
        <v>#VALUE!</v>
      </c>
    </row>
    <row r="290" spans="1:12" ht="24" customHeight="1" x14ac:dyDescent="0.25">
      <c r="A290" s="9">
        <v>43159</v>
      </c>
      <c r="B290" s="10" t="s">
        <v>134</v>
      </c>
      <c r="C290" s="17">
        <v>3084</v>
      </c>
      <c r="D290" s="11" t="e">
        <f>+VLOOKUP(B290,#REF!,6,FALSE)</f>
        <v>#REF!</v>
      </c>
      <c r="E290" s="10">
        <f>7.1519/6</f>
        <v>1.1919833333333334</v>
      </c>
      <c r="F290" s="10"/>
      <c r="G290" s="10"/>
      <c r="H290" s="10"/>
      <c r="I290" s="11" t="e">
        <f>+VLOOKUP(B290,#REF!,7,FALSE)</f>
        <v>#REF!</v>
      </c>
      <c r="J290" s="12" t="str">
        <f t="shared" si="12"/>
        <v/>
      </c>
      <c r="K290" s="12" t="str">
        <f t="shared" si="13"/>
        <v/>
      </c>
      <c r="L290" s="12" t="e">
        <f t="shared" si="14"/>
        <v>#VALUE!</v>
      </c>
    </row>
    <row r="291" spans="1:12" ht="24" customHeight="1" x14ac:dyDescent="0.25">
      <c r="A291" s="9">
        <v>43159</v>
      </c>
      <c r="B291" s="10" t="s">
        <v>165</v>
      </c>
      <c r="C291" s="17">
        <f>9684/12</f>
        <v>807</v>
      </c>
      <c r="D291" s="11" t="e">
        <f>+VLOOKUP(B291,#REF!,6,FALSE)</f>
        <v>#REF!</v>
      </c>
      <c r="E291" s="10">
        <v>5.3581000000000003</v>
      </c>
      <c r="F291" s="10"/>
      <c r="G291" s="10"/>
      <c r="H291" s="10"/>
      <c r="I291" s="11" t="e">
        <f>+VLOOKUP(B291,#REF!,7,FALSE)*12</f>
        <v>#REF!</v>
      </c>
      <c r="J291" s="12" t="str">
        <f t="shared" si="12"/>
        <v/>
      </c>
      <c r="K291" s="12" t="str">
        <f t="shared" si="13"/>
        <v/>
      </c>
      <c r="L291" s="12" t="e">
        <f t="shared" si="14"/>
        <v>#VALUE!</v>
      </c>
    </row>
    <row r="292" spans="1:12" ht="24" customHeight="1" x14ac:dyDescent="0.25">
      <c r="A292" s="9">
        <v>43159</v>
      </c>
      <c r="B292" s="10" t="s">
        <v>190</v>
      </c>
      <c r="C292" s="17">
        <v>2766</v>
      </c>
      <c r="D292" s="11" t="e">
        <f>+VLOOKUP(B292,#REF!,6,FALSE)/6</f>
        <v>#REF!</v>
      </c>
      <c r="E292" s="10">
        <f>16.8615/6</f>
        <v>2.8102499999999999</v>
      </c>
      <c r="F292" s="10"/>
      <c r="G292" s="10"/>
      <c r="H292" s="10"/>
      <c r="I292" s="11" t="e">
        <f>+VLOOKUP(B292,#REF!,7,FALSE)</f>
        <v>#REF!</v>
      </c>
      <c r="J292" s="12" t="str">
        <f t="shared" si="12"/>
        <v/>
      </c>
      <c r="K292" s="12" t="str">
        <f t="shared" si="13"/>
        <v/>
      </c>
      <c r="L292" s="12" t="e">
        <f t="shared" si="14"/>
        <v>#VALUE!</v>
      </c>
    </row>
    <row r="293" spans="1:12" ht="24" customHeight="1" x14ac:dyDescent="0.25">
      <c r="A293" s="9">
        <v>43159</v>
      </c>
      <c r="B293" s="10" t="s">
        <v>191</v>
      </c>
      <c r="C293" s="17">
        <v>1854</v>
      </c>
      <c r="D293" s="11" t="e">
        <f>+VLOOKUP(B293,#REF!,6,FALSE)/6</f>
        <v>#REF!</v>
      </c>
      <c r="E293" s="10">
        <f>15.5368/6</f>
        <v>2.5894666666666666</v>
      </c>
      <c r="F293" s="10"/>
      <c r="G293" s="10"/>
      <c r="H293" s="10"/>
      <c r="I293" s="11" t="e">
        <f>+VLOOKUP(B293,#REF!,7,FALSE)</f>
        <v>#REF!</v>
      </c>
      <c r="J293" s="12" t="str">
        <f t="shared" si="12"/>
        <v/>
      </c>
      <c r="K293" s="12" t="str">
        <f t="shared" si="13"/>
        <v/>
      </c>
      <c r="L293" s="12" t="e">
        <f t="shared" si="14"/>
        <v>#VALUE!</v>
      </c>
    </row>
    <row r="294" spans="1:12" ht="24" customHeight="1" x14ac:dyDescent="0.25">
      <c r="A294" s="9">
        <v>43159</v>
      </c>
      <c r="B294" s="10" t="s">
        <v>207</v>
      </c>
      <c r="C294" s="17">
        <v>5632</v>
      </c>
      <c r="D294" s="11" t="e">
        <f>+VLOOKUP(B294,#REF!,6,FALSE)/8</f>
        <v>#REF!</v>
      </c>
      <c r="E294" s="10">
        <f>8.219/8</f>
        <v>1.0273749999999999</v>
      </c>
      <c r="F294" s="10"/>
      <c r="G294" s="10"/>
      <c r="H294" s="10"/>
      <c r="I294" s="11" t="e">
        <f>+VLOOKUP(B294,#REF!,7,FALSE)</f>
        <v>#REF!</v>
      </c>
      <c r="J294" s="12" t="str">
        <f t="shared" si="12"/>
        <v/>
      </c>
      <c r="K294" s="12" t="str">
        <f t="shared" si="13"/>
        <v/>
      </c>
      <c r="L294" s="12" t="e">
        <f t="shared" si="14"/>
        <v>#VALUE!</v>
      </c>
    </row>
    <row r="295" spans="1:12" ht="24" customHeight="1" x14ac:dyDescent="0.25">
      <c r="A295" s="9">
        <v>43159</v>
      </c>
      <c r="B295" s="10" t="s">
        <v>209</v>
      </c>
      <c r="C295" s="17">
        <v>1050</v>
      </c>
      <c r="D295" s="11" t="e">
        <f>+VLOOKUP(B295,#REF!,6,FALSE)/6</f>
        <v>#REF!</v>
      </c>
      <c r="E295" s="10">
        <f>8.2298/6</f>
        <v>1.3716333333333333</v>
      </c>
      <c r="F295" s="10"/>
      <c r="G295" s="10"/>
      <c r="H295" s="10"/>
      <c r="I295" s="11" t="e">
        <f>+VLOOKUP(B295,#REF!,7,FALSE)</f>
        <v>#REF!</v>
      </c>
      <c r="J295" s="12" t="str">
        <f t="shared" si="12"/>
        <v/>
      </c>
      <c r="K295" s="12" t="str">
        <f t="shared" si="13"/>
        <v/>
      </c>
      <c r="L295" s="12" t="e">
        <f t="shared" si="14"/>
        <v>#VALUE!</v>
      </c>
    </row>
    <row r="296" spans="1:12" ht="24" customHeight="1" x14ac:dyDescent="0.25">
      <c r="A296" s="9">
        <v>43159</v>
      </c>
      <c r="B296" s="10" t="s">
        <v>458</v>
      </c>
      <c r="C296" s="17">
        <v>10218</v>
      </c>
      <c r="D296" s="11" t="e">
        <f>+VLOOKUP(B296,#REF!,6,FALSE)</f>
        <v>#REF!</v>
      </c>
      <c r="E296" s="10">
        <v>2.4859</v>
      </c>
      <c r="F296" s="10"/>
      <c r="G296" s="10"/>
      <c r="H296" s="10"/>
      <c r="I296" s="11" t="e">
        <f>+VLOOKUP(B296,#REF!,7,FALSE)</f>
        <v>#REF!</v>
      </c>
      <c r="J296" s="12" t="str">
        <f t="shared" si="12"/>
        <v/>
      </c>
      <c r="K296" s="12" t="str">
        <f t="shared" si="13"/>
        <v/>
      </c>
      <c r="L296" s="12" t="e">
        <f t="shared" si="14"/>
        <v>#VALUE!</v>
      </c>
    </row>
    <row r="297" spans="1:12" ht="24" customHeight="1" x14ac:dyDescent="0.25">
      <c r="A297" s="9">
        <v>43159</v>
      </c>
      <c r="B297" s="10" t="s">
        <v>460</v>
      </c>
      <c r="C297" s="17">
        <v>2424</v>
      </c>
      <c r="D297" s="11" t="e">
        <f>+VLOOKUP(B297,#REF!,6,FALSE)</f>
        <v>#REF!</v>
      </c>
      <c r="E297" s="10">
        <v>0.87090000000000001</v>
      </c>
      <c r="F297" s="10"/>
      <c r="G297" s="10"/>
      <c r="H297" s="10"/>
      <c r="I297" s="11" t="e">
        <f>+VLOOKUP(B297,#REF!,7,FALSE)</f>
        <v>#REF!</v>
      </c>
      <c r="J297" s="12" t="str">
        <f t="shared" si="12"/>
        <v/>
      </c>
      <c r="K297" s="12" t="str">
        <f t="shared" si="13"/>
        <v/>
      </c>
      <c r="L297" s="12" t="e">
        <f t="shared" si="14"/>
        <v>#VALUE!</v>
      </c>
    </row>
    <row r="298" spans="1:12" ht="24" customHeight="1" x14ac:dyDescent="0.25">
      <c r="A298" s="9">
        <v>43159</v>
      </c>
      <c r="B298" s="10" t="s">
        <v>461</v>
      </c>
      <c r="C298" s="17">
        <v>3084</v>
      </c>
      <c r="D298" s="11" t="e">
        <f>+VLOOKUP(B298,#REF!,6,FALSE)</f>
        <v>#REF!</v>
      </c>
      <c r="E298" s="10">
        <v>0.72240000000000004</v>
      </c>
      <c r="F298" s="10"/>
      <c r="G298" s="10"/>
      <c r="H298" s="10"/>
      <c r="I298" s="11" t="e">
        <f>+VLOOKUP(B298,#REF!,7,FALSE)</f>
        <v>#REF!</v>
      </c>
      <c r="J298" s="12" t="str">
        <f t="shared" si="12"/>
        <v/>
      </c>
      <c r="K298" s="12" t="str">
        <f t="shared" si="13"/>
        <v/>
      </c>
      <c r="L298" s="12" t="e">
        <f t="shared" si="14"/>
        <v>#VALUE!</v>
      </c>
    </row>
    <row r="299" spans="1:12" ht="24" customHeight="1" x14ac:dyDescent="0.25">
      <c r="A299" s="9">
        <v>43160</v>
      </c>
      <c r="B299" s="10" t="s">
        <v>59</v>
      </c>
      <c r="C299" s="17">
        <v>4536</v>
      </c>
      <c r="D299" s="11" t="e">
        <f>+VLOOKUP(B299,#REF!,6,FALSE)</f>
        <v>#REF!</v>
      </c>
      <c r="E299" s="10">
        <f>18.6831/72</f>
        <v>0.25948749999999998</v>
      </c>
      <c r="F299" s="10"/>
      <c r="G299" s="10"/>
      <c r="H299" s="10"/>
      <c r="I299" s="11" t="e">
        <f>+VLOOKUP(B299,#REF!,7,FALSE)/72</f>
        <v>#REF!</v>
      </c>
      <c r="J299" s="12" t="str">
        <f t="shared" si="12"/>
        <v/>
      </c>
      <c r="K299" s="12" t="str">
        <f t="shared" si="13"/>
        <v/>
      </c>
      <c r="L299" s="12" t="e">
        <f t="shared" si="14"/>
        <v>#VALUE!</v>
      </c>
    </row>
    <row r="300" spans="1:12" ht="24" customHeight="1" x14ac:dyDescent="0.25">
      <c r="A300" s="9">
        <v>43160</v>
      </c>
      <c r="B300" s="10" t="s">
        <v>61</v>
      </c>
      <c r="C300" s="17">
        <v>1440</v>
      </c>
      <c r="D300" s="11" t="e">
        <f>+VLOOKUP(B300,#REF!,6,FALSE)</f>
        <v>#REF!</v>
      </c>
      <c r="E300" s="10">
        <f>25.2235/72</f>
        <v>0.3503263888888889</v>
      </c>
      <c r="F300" s="10"/>
      <c r="G300" s="10"/>
      <c r="H300" s="10"/>
      <c r="I300" s="11" t="e">
        <f>+VLOOKUP(B300,#REF!,7,FALSE)/72</f>
        <v>#REF!</v>
      </c>
      <c r="J300" s="12" t="str">
        <f t="shared" si="12"/>
        <v/>
      </c>
      <c r="K300" s="12" t="str">
        <f t="shared" si="13"/>
        <v/>
      </c>
      <c r="L300" s="12" t="e">
        <f t="shared" si="14"/>
        <v>#VALUE!</v>
      </c>
    </row>
    <row r="301" spans="1:12" ht="24" customHeight="1" x14ac:dyDescent="0.25">
      <c r="A301" s="9">
        <v>43160</v>
      </c>
      <c r="B301" s="10" t="s">
        <v>65</v>
      </c>
      <c r="C301" s="17">
        <v>780</v>
      </c>
      <c r="D301" s="11" t="e">
        <f>+VLOOKUP(B301,#REF!,6,FALSE)</f>
        <v>#REF!</v>
      </c>
      <c r="E301" s="10">
        <v>1.0286999999999999</v>
      </c>
      <c r="F301" s="10"/>
      <c r="G301" s="10"/>
      <c r="H301" s="10"/>
      <c r="I301" s="11" t="e">
        <f>+VLOOKUP(B301,#REF!,7,FALSE)</f>
        <v>#REF!</v>
      </c>
      <c r="J301" s="12" t="str">
        <f t="shared" si="12"/>
        <v/>
      </c>
      <c r="K301" s="12" t="str">
        <f t="shared" si="13"/>
        <v/>
      </c>
      <c r="L301" s="12" t="e">
        <f t="shared" si="14"/>
        <v>#VALUE!</v>
      </c>
    </row>
    <row r="302" spans="1:12" ht="24" customHeight="1" x14ac:dyDescent="0.25">
      <c r="A302" s="9">
        <v>43160</v>
      </c>
      <c r="B302" s="10" t="s">
        <v>110</v>
      </c>
      <c r="C302" s="17">
        <v>72</v>
      </c>
      <c r="D302" s="11" t="e">
        <f>+VLOOKUP(B302,#REF!,6,FALSE)</f>
        <v>#REF!</v>
      </c>
      <c r="E302" s="10">
        <v>0.72450000000000003</v>
      </c>
      <c r="F302" s="10"/>
      <c r="G302" s="10"/>
      <c r="H302" s="10"/>
      <c r="I302" s="11" t="e">
        <f>+VLOOKUP(B302,#REF!,7,FALSE)</f>
        <v>#REF!</v>
      </c>
      <c r="J302" s="12" t="str">
        <f t="shared" si="12"/>
        <v/>
      </c>
      <c r="K302" s="12" t="str">
        <f t="shared" si="13"/>
        <v/>
      </c>
      <c r="L302" s="12" t="e">
        <f t="shared" si="14"/>
        <v>#VALUE!</v>
      </c>
    </row>
    <row r="303" spans="1:12" ht="24" customHeight="1" x14ac:dyDescent="0.25">
      <c r="A303" s="9">
        <v>43160</v>
      </c>
      <c r="B303" s="10" t="s">
        <v>145</v>
      </c>
      <c r="C303" s="17">
        <v>18000</v>
      </c>
      <c r="D303" s="11" t="e">
        <f>+VLOOKUP(B303,#REF!,6,FALSE)</f>
        <v>#REF!</v>
      </c>
      <c r="E303" s="10">
        <f>15.7421/72</f>
        <v>0.21864027777777778</v>
      </c>
      <c r="F303" s="10"/>
      <c r="G303" s="10"/>
      <c r="H303" s="10"/>
      <c r="I303" s="11" t="e">
        <f>+VLOOKUP(B303,#REF!,7,FALSE)</f>
        <v>#REF!</v>
      </c>
      <c r="J303" s="12" t="str">
        <f t="shared" si="12"/>
        <v/>
      </c>
      <c r="K303" s="12" t="str">
        <f t="shared" si="13"/>
        <v/>
      </c>
      <c r="L303" s="12" t="e">
        <f t="shared" si="14"/>
        <v>#VALUE!</v>
      </c>
    </row>
    <row r="304" spans="1:12" ht="24" customHeight="1" x14ac:dyDescent="0.25">
      <c r="A304" s="9">
        <v>43160</v>
      </c>
      <c r="B304" s="10" t="s">
        <v>460</v>
      </c>
      <c r="C304" s="17">
        <v>1260</v>
      </c>
      <c r="D304" s="11" t="e">
        <f>+VLOOKUP(B304,#REF!,6,FALSE)</f>
        <v>#REF!</v>
      </c>
      <c r="E304" s="10">
        <v>0.72629999999999995</v>
      </c>
      <c r="F304" s="10"/>
      <c r="G304" s="10"/>
      <c r="H304" s="10"/>
      <c r="I304" s="11" t="e">
        <f>+VLOOKUP(B304,#REF!,7,FALSE)</f>
        <v>#REF!</v>
      </c>
      <c r="J304" s="12" t="str">
        <f t="shared" si="12"/>
        <v/>
      </c>
      <c r="K304" s="12" t="str">
        <f t="shared" si="13"/>
        <v/>
      </c>
      <c r="L304" s="12" t="e">
        <f t="shared" si="14"/>
        <v>#VALUE!</v>
      </c>
    </row>
    <row r="305" spans="1:12" ht="24" customHeight="1" x14ac:dyDescent="0.25">
      <c r="A305" s="9">
        <v>43160</v>
      </c>
      <c r="B305" s="10" t="s">
        <v>459</v>
      </c>
      <c r="C305" s="17">
        <v>4384</v>
      </c>
      <c r="D305" s="11" t="e">
        <f>+VLOOKUP(B305,#REF!,6,FALSE)</f>
        <v>#REF!</v>
      </c>
      <c r="E305" s="10">
        <f>16.9242/8</f>
        <v>2.1155249999999999</v>
      </c>
      <c r="F305" s="10"/>
      <c r="G305" s="10"/>
      <c r="H305" s="10"/>
      <c r="I305" s="11" t="e">
        <f>+VLOOKUP(B305,#REF!,7,FALSE)</f>
        <v>#REF!</v>
      </c>
      <c r="J305" s="12" t="str">
        <f t="shared" si="12"/>
        <v/>
      </c>
      <c r="K305" s="12" t="str">
        <f t="shared" si="13"/>
        <v/>
      </c>
      <c r="L305" s="12" t="e">
        <f t="shared" si="14"/>
        <v>#VALUE!</v>
      </c>
    </row>
    <row r="306" spans="1:12" ht="24" customHeight="1" x14ac:dyDescent="0.25">
      <c r="A306" s="9">
        <v>43161</v>
      </c>
      <c r="B306" s="10" t="s">
        <v>69</v>
      </c>
      <c r="C306" s="17">
        <v>390</v>
      </c>
      <c r="D306" s="11" t="e">
        <f>+VLOOKUP(B306,#REF!,6,FALSE)</f>
        <v>#REF!</v>
      </c>
      <c r="E306" s="10">
        <f>10.5975/6</f>
        <v>1.7662500000000001</v>
      </c>
      <c r="F306" s="10"/>
      <c r="G306" s="10"/>
      <c r="H306" s="10"/>
      <c r="I306" s="11" t="e">
        <f>+VLOOKUP(B306,#REF!,7,FALSE)</f>
        <v>#REF!</v>
      </c>
      <c r="J306" s="12" t="str">
        <f t="shared" si="12"/>
        <v/>
      </c>
      <c r="K306" s="12" t="str">
        <f t="shared" si="13"/>
        <v/>
      </c>
      <c r="L306" s="12" t="e">
        <f t="shared" si="14"/>
        <v>#VALUE!</v>
      </c>
    </row>
    <row r="307" spans="1:12" ht="24" customHeight="1" x14ac:dyDescent="0.25">
      <c r="A307" s="9">
        <v>43161</v>
      </c>
      <c r="B307" s="10" t="s">
        <v>70</v>
      </c>
      <c r="C307" s="17">
        <v>78</v>
      </c>
      <c r="D307" s="11" t="e">
        <f>+VLOOKUP(B307,#REF!,6,FALSE)</f>
        <v>#REF!</v>
      </c>
      <c r="E307" s="10">
        <f>11.0848/6</f>
        <v>1.8474666666666666</v>
      </c>
      <c r="F307" s="10"/>
      <c r="G307" s="10"/>
      <c r="H307" s="10"/>
      <c r="I307" s="11" t="e">
        <f>+VLOOKUP(B307,#REF!,7,FALSE)</f>
        <v>#REF!</v>
      </c>
      <c r="J307" s="12" t="str">
        <f t="shared" si="12"/>
        <v/>
      </c>
      <c r="K307" s="12" t="str">
        <f t="shared" si="13"/>
        <v/>
      </c>
      <c r="L307" s="12" t="e">
        <f t="shared" si="14"/>
        <v>#VALUE!</v>
      </c>
    </row>
    <row r="308" spans="1:12" ht="24" customHeight="1" x14ac:dyDescent="0.25">
      <c r="A308" s="9">
        <v>43161</v>
      </c>
      <c r="B308" s="10" t="s">
        <v>90</v>
      </c>
      <c r="C308" s="17">
        <v>5964</v>
      </c>
      <c r="D308" s="11" t="e">
        <f>+VLOOKUP(B308,#REF!,6,FALSE)</f>
        <v>#REF!</v>
      </c>
      <c r="E308" s="10">
        <f>10.9917/12</f>
        <v>0.91597499999999998</v>
      </c>
      <c r="F308" s="10"/>
      <c r="G308" s="10"/>
      <c r="H308" s="10"/>
      <c r="I308" s="11" t="e">
        <f>+VLOOKUP(B308,#REF!,7,FALSE)</f>
        <v>#REF!</v>
      </c>
      <c r="J308" s="12" t="str">
        <f t="shared" si="12"/>
        <v/>
      </c>
      <c r="K308" s="12" t="str">
        <f t="shared" si="13"/>
        <v/>
      </c>
      <c r="L308" s="12" t="e">
        <f t="shared" si="14"/>
        <v>#VALUE!</v>
      </c>
    </row>
    <row r="309" spans="1:12" ht="24" customHeight="1" x14ac:dyDescent="0.25">
      <c r="A309" s="9">
        <v>43161</v>
      </c>
      <c r="B309" s="10" t="s">
        <v>106</v>
      </c>
      <c r="C309" s="17">
        <v>3288</v>
      </c>
      <c r="D309" s="11" t="e">
        <f>+VLOOKUP(B309,#REF!,6,FALSE)</f>
        <v>#REF!</v>
      </c>
      <c r="E309" s="10">
        <v>0.57920000000000005</v>
      </c>
      <c r="F309" s="10"/>
      <c r="G309" s="10"/>
      <c r="H309" s="10"/>
      <c r="I309" s="11" t="e">
        <f>+VLOOKUP(B309,#REF!,7,FALSE)</f>
        <v>#REF!</v>
      </c>
      <c r="J309" s="12" t="str">
        <f t="shared" si="12"/>
        <v/>
      </c>
      <c r="K309" s="12" t="str">
        <f t="shared" si="13"/>
        <v/>
      </c>
      <c r="L309" s="12" t="e">
        <f t="shared" si="14"/>
        <v>#VALUE!</v>
      </c>
    </row>
    <row r="310" spans="1:12" ht="24" customHeight="1" x14ac:dyDescent="0.25">
      <c r="A310" s="9">
        <v>43161</v>
      </c>
      <c r="B310" s="10" t="s">
        <v>107</v>
      </c>
      <c r="C310" s="17">
        <v>48</v>
      </c>
      <c r="D310" s="11" t="e">
        <f>+VLOOKUP(B310,#REF!,6,FALSE)</f>
        <v>#REF!</v>
      </c>
      <c r="E310" s="10">
        <v>0.73109999999999997</v>
      </c>
      <c r="F310" s="10"/>
      <c r="G310" s="10"/>
      <c r="H310" s="10"/>
      <c r="I310" s="11" t="e">
        <f>+VLOOKUP(B310,#REF!,7,FALSE)</f>
        <v>#REF!</v>
      </c>
      <c r="J310" s="12" t="str">
        <f t="shared" si="12"/>
        <v/>
      </c>
      <c r="K310" s="12" t="str">
        <f t="shared" si="13"/>
        <v/>
      </c>
      <c r="L310" s="12" t="e">
        <f t="shared" si="14"/>
        <v>#VALUE!</v>
      </c>
    </row>
    <row r="311" spans="1:12" ht="24" customHeight="1" x14ac:dyDescent="0.25">
      <c r="A311" s="9">
        <v>43161</v>
      </c>
      <c r="B311" s="10" t="s">
        <v>120</v>
      </c>
      <c r="C311" s="17">
        <v>342</v>
      </c>
      <c r="D311" s="11" t="e">
        <f>+VLOOKUP(B311,#REF!,6,FALSE)</f>
        <v>#REF!</v>
      </c>
      <c r="E311" s="10">
        <f>10.2469/6</f>
        <v>1.7078166666666668</v>
      </c>
      <c r="F311" s="10"/>
      <c r="G311" s="10"/>
      <c r="H311" s="10"/>
      <c r="I311" s="11" t="e">
        <f>+VLOOKUP(B311,#REF!,7,FALSE)</f>
        <v>#REF!</v>
      </c>
      <c r="J311" s="12" t="str">
        <f t="shared" si="12"/>
        <v/>
      </c>
      <c r="K311" s="12" t="str">
        <f t="shared" si="13"/>
        <v/>
      </c>
      <c r="L311" s="12" t="e">
        <f t="shared" si="14"/>
        <v>#VALUE!</v>
      </c>
    </row>
    <row r="312" spans="1:12" ht="24" customHeight="1" x14ac:dyDescent="0.25">
      <c r="A312" s="9">
        <v>43161</v>
      </c>
      <c r="B312" s="10" t="s">
        <v>121</v>
      </c>
      <c r="C312" s="17">
        <v>2514</v>
      </c>
      <c r="D312" s="11" t="e">
        <f>+VLOOKUP(B312,#REF!,6,FALSE)</f>
        <v>#REF!</v>
      </c>
      <c r="E312" s="10">
        <f>8.6344/6</f>
        <v>1.4390666666666665</v>
      </c>
      <c r="F312" s="10"/>
      <c r="G312" s="10"/>
      <c r="H312" s="10"/>
      <c r="I312" s="11" t="e">
        <f>+VLOOKUP(B312,#REF!,7,FALSE)</f>
        <v>#REF!</v>
      </c>
      <c r="J312" s="12" t="str">
        <f t="shared" si="12"/>
        <v/>
      </c>
      <c r="K312" s="12" t="str">
        <f t="shared" si="13"/>
        <v/>
      </c>
      <c r="L312" s="12" t="e">
        <f t="shared" si="14"/>
        <v>#VALUE!</v>
      </c>
    </row>
    <row r="313" spans="1:12" ht="24" customHeight="1" x14ac:dyDescent="0.25">
      <c r="A313" s="9">
        <v>43161</v>
      </c>
      <c r="B313" s="10" t="s">
        <v>122</v>
      </c>
      <c r="C313" s="17">
        <v>1596</v>
      </c>
      <c r="D313" s="11" t="e">
        <f>+VLOOKUP(B313,#REF!,6,FALSE)</f>
        <v>#REF!</v>
      </c>
      <c r="E313" s="10">
        <f>10.2844/6</f>
        <v>1.7140666666666666</v>
      </c>
      <c r="F313" s="10"/>
      <c r="G313" s="10"/>
      <c r="H313" s="10"/>
      <c r="I313" s="11" t="e">
        <f>+VLOOKUP(B313,#REF!,7,FALSE)</f>
        <v>#REF!</v>
      </c>
      <c r="J313" s="12" t="str">
        <f t="shared" si="12"/>
        <v/>
      </c>
      <c r="K313" s="12" t="str">
        <f t="shared" si="13"/>
        <v/>
      </c>
      <c r="L313" s="12" t="e">
        <f t="shared" si="14"/>
        <v>#VALUE!</v>
      </c>
    </row>
    <row r="314" spans="1:12" ht="24" customHeight="1" x14ac:dyDescent="0.25">
      <c r="A314" s="9">
        <v>43161</v>
      </c>
      <c r="B314" s="10" t="s">
        <v>144</v>
      </c>
      <c r="C314" s="17">
        <v>3540</v>
      </c>
      <c r="D314" s="11" t="e">
        <f>+VLOOKUP(B314,#REF!,6,FALSE)</f>
        <v>#REF!</v>
      </c>
      <c r="E314" s="10">
        <f>6.0104/12</f>
        <v>0.50086666666666668</v>
      </c>
      <c r="F314" s="10"/>
      <c r="G314" s="10"/>
      <c r="H314" s="10"/>
      <c r="I314" s="11" t="e">
        <f>+VLOOKUP(B314,#REF!,7,FALSE)</f>
        <v>#REF!</v>
      </c>
      <c r="J314" s="12" t="str">
        <f t="shared" si="12"/>
        <v/>
      </c>
      <c r="K314" s="12" t="str">
        <f t="shared" si="13"/>
        <v/>
      </c>
      <c r="L314" s="12" t="e">
        <f t="shared" si="14"/>
        <v>#VALUE!</v>
      </c>
    </row>
    <row r="315" spans="1:12" ht="24" customHeight="1" x14ac:dyDescent="0.25">
      <c r="A315" s="9">
        <v>43161</v>
      </c>
      <c r="B315" s="10" t="s">
        <v>145</v>
      </c>
      <c r="C315" s="17">
        <v>4824</v>
      </c>
      <c r="D315" s="11" t="e">
        <f>+VLOOKUP(B315,#REF!,6,FALSE)</f>
        <v>#REF!</v>
      </c>
      <c r="E315" s="10">
        <f>15.5537/72</f>
        <v>0.2160236111111111</v>
      </c>
      <c r="F315" s="10"/>
      <c r="G315" s="10"/>
      <c r="H315" s="10"/>
      <c r="I315" s="11" t="e">
        <f>+VLOOKUP(B315,#REF!,7,FALSE)</f>
        <v>#REF!</v>
      </c>
      <c r="J315" s="12" t="str">
        <f t="shared" si="12"/>
        <v/>
      </c>
      <c r="K315" s="12" t="str">
        <f t="shared" si="13"/>
        <v/>
      </c>
      <c r="L315" s="12" t="e">
        <f t="shared" si="14"/>
        <v>#VALUE!</v>
      </c>
    </row>
    <row r="316" spans="1:12" ht="24" customHeight="1" x14ac:dyDescent="0.25">
      <c r="A316" s="9">
        <v>43161</v>
      </c>
      <c r="B316" s="10" t="s">
        <v>154</v>
      </c>
      <c r="C316" s="17">
        <v>180</v>
      </c>
      <c r="D316" s="11" t="e">
        <f>+VLOOKUP(B316,#REF!,6,FALSE)</f>
        <v>#REF!</v>
      </c>
      <c r="E316" s="10">
        <v>0.4864</v>
      </c>
      <c r="F316" s="10"/>
      <c r="G316" s="10"/>
      <c r="H316" s="10"/>
      <c r="I316" s="11" t="e">
        <f>+VLOOKUP(B316,#REF!,7,FALSE)</f>
        <v>#REF!</v>
      </c>
      <c r="J316" s="12" t="str">
        <f t="shared" si="12"/>
        <v/>
      </c>
      <c r="K316" s="12" t="str">
        <f t="shared" si="13"/>
        <v/>
      </c>
      <c r="L316" s="12" t="e">
        <f t="shared" si="14"/>
        <v>#VALUE!</v>
      </c>
    </row>
    <row r="317" spans="1:12" ht="24" customHeight="1" x14ac:dyDescent="0.25">
      <c r="A317" s="9">
        <v>43161</v>
      </c>
      <c r="B317" s="10" t="s">
        <v>10</v>
      </c>
      <c r="C317" s="17">
        <v>3432</v>
      </c>
      <c r="D317" s="11" t="e">
        <f>+VLOOKUP(B317,#REF!,6,FALSE)/6</f>
        <v>#REF!</v>
      </c>
      <c r="E317" s="10">
        <f>14.755/6</f>
        <v>2.4591666666666669</v>
      </c>
      <c r="F317" s="10"/>
      <c r="G317" s="10"/>
      <c r="H317" s="10"/>
      <c r="I317" s="11" t="e">
        <f>+VLOOKUP(B317,#REF!,7,FALSE)</f>
        <v>#REF!</v>
      </c>
      <c r="J317" s="12" t="str">
        <f t="shared" si="12"/>
        <v/>
      </c>
      <c r="K317" s="12" t="str">
        <f t="shared" si="13"/>
        <v/>
      </c>
      <c r="L317" s="12" t="e">
        <f t="shared" si="14"/>
        <v>#VALUE!</v>
      </c>
    </row>
    <row r="318" spans="1:12" ht="24" customHeight="1" x14ac:dyDescent="0.25">
      <c r="A318" s="9">
        <v>43161</v>
      </c>
      <c r="B318" s="10" t="s">
        <v>462</v>
      </c>
      <c r="C318" s="17">
        <v>1664</v>
      </c>
      <c r="D318" s="11" t="e">
        <f>+VLOOKUP(B318,#REF!,6,FALSE)</f>
        <v>#REF!</v>
      </c>
      <c r="E318" s="10">
        <f>17.3971/8</f>
        <v>2.1746374999999998</v>
      </c>
      <c r="F318" s="10"/>
      <c r="G318" s="10"/>
      <c r="H318" s="10"/>
      <c r="I318" s="11" t="e">
        <f>+VLOOKUP(B318,#REF!,7,FALSE)</f>
        <v>#REF!</v>
      </c>
      <c r="J318" s="12" t="str">
        <f t="shared" si="12"/>
        <v/>
      </c>
      <c r="K318" s="12" t="str">
        <f t="shared" si="13"/>
        <v/>
      </c>
      <c r="L318" s="12" t="e">
        <f t="shared" si="14"/>
        <v>#VALUE!</v>
      </c>
    </row>
    <row r="319" spans="1:12" ht="24" customHeight="1" x14ac:dyDescent="0.25">
      <c r="A319" s="9">
        <v>43161</v>
      </c>
      <c r="B319" s="10" t="s">
        <v>463</v>
      </c>
      <c r="C319" s="17">
        <v>3216</v>
      </c>
      <c r="D319" s="11" t="e">
        <f>+VLOOKUP(B319,#REF!,6,FALSE)</f>
        <v>#REF!</v>
      </c>
      <c r="E319" s="10">
        <f>22.831/6</f>
        <v>3.8051666666666666</v>
      </c>
      <c r="F319" s="10"/>
      <c r="G319" s="10"/>
      <c r="H319" s="10"/>
      <c r="I319" s="11" t="e">
        <f>+VLOOKUP(B319,#REF!,7,FALSE)</f>
        <v>#REF!</v>
      </c>
      <c r="J319" s="12" t="str">
        <f t="shared" si="12"/>
        <v/>
      </c>
      <c r="K319" s="12" t="str">
        <f t="shared" si="13"/>
        <v/>
      </c>
      <c r="L319" s="12" t="e">
        <f t="shared" si="14"/>
        <v>#VALUE!</v>
      </c>
    </row>
    <row r="320" spans="1:12" ht="24" customHeight="1" x14ac:dyDescent="0.25">
      <c r="A320" s="9">
        <v>43161</v>
      </c>
      <c r="B320" s="10" t="s">
        <v>464</v>
      </c>
      <c r="C320" s="17">
        <v>3204</v>
      </c>
      <c r="D320" s="11" t="e">
        <f>+VLOOKUP(B320,#REF!,6,FALSE)</f>
        <v>#REF!</v>
      </c>
      <c r="E320" s="10">
        <f>12.268/12</f>
        <v>1.0223333333333333</v>
      </c>
      <c r="F320" s="10"/>
      <c r="G320" s="10"/>
      <c r="H320" s="10"/>
      <c r="I320" s="11" t="e">
        <f>+VLOOKUP(B320,#REF!,7,FALSE)</f>
        <v>#REF!</v>
      </c>
      <c r="J320" s="12" t="str">
        <f t="shared" si="12"/>
        <v/>
      </c>
      <c r="K320" s="12" t="str">
        <f t="shared" si="13"/>
        <v/>
      </c>
      <c r="L320" s="12" t="e">
        <f t="shared" si="14"/>
        <v>#VALUE!</v>
      </c>
    </row>
    <row r="321" spans="1:12" ht="24" customHeight="1" x14ac:dyDescent="0.25">
      <c r="A321" s="9">
        <v>43164</v>
      </c>
      <c r="B321" s="10" t="s">
        <v>60</v>
      </c>
      <c r="C321" s="17">
        <v>2664</v>
      </c>
      <c r="D321" s="11" t="e">
        <f>+VLOOKUP(B321,#REF!,6,FALSE)</f>
        <v>#REF!</v>
      </c>
      <c r="E321" s="10">
        <f>18.1562/72</f>
        <v>0.25216944444444445</v>
      </c>
      <c r="F321" s="10"/>
      <c r="G321" s="10"/>
      <c r="H321" s="10"/>
      <c r="I321" s="11" t="e">
        <f>+VLOOKUP(B321,#REF!,7,FALSE)/72</f>
        <v>#REF!</v>
      </c>
      <c r="J321" s="12" t="str">
        <f t="shared" si="12"/>
        <v/>
      </c>
      <c r="K321" s="12" t="str">
        <f t="shared" si="13"/>
        <v/>
      </c>
      <c r="L321" s="12" t="e">
        <f t="shared" si="14"/>
        <v>#VALUE!</v>
      </c>
    </row>
    <row r="322" spans="1:12" ht="24" customHeight="1" x14ac:dyDescent="0.25">
      <c r="A322" s="9">
        <v>43164</v>
      </c>
      <c r="B322" s="10" t="s">
        <v>63</v>
      </c>
      <c r="C322" s="17">
        <v>2592</v>
      </c>
      <c r="D322" s="11" t="e">
        <f>+VLOOKUP(B322,#REF!,6,FALSE)</f>
        <v>#REF!</v>
      </c>
      <c r="E322" s="10">
        <f>23.7604/72</f>
        <v>0.33000555555555555</v>
      </c>
      <c r="F322" s="10"/>
      <c r="G322" s="10"/>
      <c r="H322" s="10"/>
      <c r="I322" s="11" t="e">
        <f>+VLOOKUP(B322,#REF!,7,FALSE)/72</f>
        <v>#REF!</v>
      </c>
      <c r="J322" s="12" t="str">
        <f t="shared" si="12"/>
        <v/>
      </c>
      <c r="K322" s="12" t="str">
        <f t="shared" si="13"/>
        <v/>
      </c>
      <c r="L322" s="12" t="e">
        <f t="shared" si="14"/>
        <v>#VALUE!</v>
      </c>
    </row>
    <row r="323" spans="1:12" ht="24" customHeight="1" x14ac:dyDescent="0.25">
      <c r="A323" s="9">
        <v>43164</v>
      </c>
      <c r="B323" s="10" t="s">
        <v>81</v>
      </c>
      <c r="C323" s="17">
        <v>768</v>
      </c>
      <c r="D323" s="11" t="e">
        <f>+VLOOKUP(B323,#REF!,6,FALSE)/8</f>
        <v>#REF!</v>
      </c>
      <c r="E323" s="10">
        <f>21.1062/8</f>
        <v>2.6382750000000001</v>
      </c>
      <c r="F323" s="10"/>
      <c r="G323" s="10"/>
      <c r="H323" s="10"/>
      <c r="I323" s="11" t="e">
        <f>+VLOOKUP(B323,#REF!,7,FALSE)</f>
        <v>#REF!</v>
      </c>
      <c r="J323" s="12" t="str">
        <f t="shared" si="12"/>
        <v/>
      </c>
      <c r="K323" s="12" t="str">
        <f t="shared" si="13"/>
        <v/>
      </c>
      <c r="L323" s="12" t="e">
        <f t="shared" si="14"/>
        <v>#VALUE!</v>
      </c>
    </row>
    <row r="324" spans="1:12" ht="24" customHeight="1" x14ac:dyDescent="0.25">
      <c r="A324" s="9">
        <v>43164</v>
      </c>
      <c r="B324" s="10" t="s">
        <v>144</v>
      </c>
      <c r="C324" s="17">
        <v>480</v>
      </c>
      <c r="D324" s="11" t="e">
        <f>+VLOOKUP(B324,#REF!,6,FALSE)</f>
        <v>#REF!</v>
      </c>
      <c r="E324" s="10">
        <f>6.4458/12</f>
        <v>0.53715000000000002</v>
      </c>
      <c r="F324" s="10"/>
      <c r="G324" s="10"/>
      <c r="H324" s="10"/>
      <c r="I324" s="11" t="e">
        <f>+VLOOKUP(B324,#REF!,7,FALSE)</f>
        <v>#REF!</v>
      </c>
      <c r="J324" s="12" t="str">
        <f t="shared" ref="J324:J387" si="15">IFERROR((I324-(D324+F324))/I324,"")</f>
        <v/>
      </c>
      <c r="K324" s="12" t="str">
        <f t="shared" ref="K324:K387" si="16">IF(E324="","",IFERROR((I324-(E324+G324+H324))/I324,""))</f>
        <v/>
      </c>
      <c r="L324" s="12" t="e">
        <f t="shared" ref="L324:L387" si="17">J324-K324</f>
        <v>#VALUE!</v>
      </c>
    </row>
    <row r="325" spans="1:12" ht="24" customHeight="1" x14ac:dyDescent="0.25">
      <c r="A325" s="9">
        <v>43164</v>
      </c>
      <c r="B325" s="10" t="s">
        <v>146</v>
      </c>
      <c r="C325" s="17">
        <v>1680</v>
      </c>
      <c r="D325" s="11" t="e">
        <f>+VLOOKUP(B325,#REF!,6,FALSE)</f>
        <v>#REF!</v>
      </c>
      <c r="E325" s="10">
        <f>7.5269/12</f>
        <v>0.6272416666666667</v>
      </c>
      <c r="F325" s="10"/>
      <c r="G325" s="10"/>
      <c r="H325" s="10"/>
      <c r="I325" s="11" t="e">
        <f>+VLOOKUP(B325,#REF!,7,FALSE)</f>
        <v>#REF!</v>
      </c>
      <c r="J325" s="12" t="str">
        <f t="shared" si="15"/>
        <v/>
      </c>
      <c r="K325" s="12" t="str">
        <f t="shared" si="16"/>
        <v/>
      </c>
      <c r="L325" s="12" t="e">
        <f t="shared" si="17"/>
        <v>#VALUE!</v>
      </c>
    </row>
    <row r="326" spans="1:12" ht="24" customHeight="1" x14ac:dyDescent="0.25">
      <c r="A326" s="9">
        <v>43164</v>
      </c>
      <c r="B326" s="10" t="s">
        <v>147</v>
      </c>
      <c r="C326" s="17">
        <v>7200</v>
      </c>
      <c r="D326" s="11" t="e">
        <f>+VLOOKUP(B326,#REF!,6,FALSE)</f>
        <v>#REF!</v>
      </c>
      <c r="E326" s="10">
        <f>17.015/72</f>
        <v>0.23631944444444444</v>
      </c>
      <c r="F326" s="10"/>
      <c r="G326" s="10"/>
      <c r="H326" s="10"/>
      <c r="I326" s="11" t="e">
        <f>+VLOOKUP(B326,#REF!,7,FALSE)</f>
        <v>#REF!</v>
      </c>
      <c r="J326" s="12" t="str">
        <f t="shared" si="15"/>
        <v/>
      </c>
      <c r="K326" s="12" t="str">
        <f t="shared" si="16"/>
        <v/>
      </c>
      <c r="L326" s="12" t="e">
        <f t="shared" si="17"/>
        <v>#VALUE!</v>
      </c>
    </row>
    <row r="327" spans="1:12" ht="24" customHeight="1" x14ac:dyDescent="0.25">
      <c r="A327" s="9">
        <v>43164</v>
      </c>
      <c r="B327" s="10" t="s">
        <v>149</v>
      </c>
      <c r="C327" s="17">
        <v>19800</v>
      </c>
      <c r="D327" s="11" t="e">
        <f>+VLOOKUP(B327,#REF!,6,FALSE)</f>
        <v>#REF!</v>
      </c>
      <c r="E327" s="10">
        <f>18.1058/72</f>
        <v>0.25146944444444441</v>
      </c>
      <c r="F327" s="10"/>
      <c r="G327" s="10"/>
      <c r="H327" s="10"/>
      <c r="I327" s="11" t="e">
        <f>+VLOOKUP(B327,#REF!,7,FALSE)</f>
        <v>#REF!</v>
      </c>
      <c r="J327" s="12" t="str">
        <f t="shared" si="15"/>
        <v/>
      </c>
      <c r="K327" s="12" t="str">
        <f t="shared" si="16"/>
        <v/>
      </c>
      <c r="L327" s="12" t="e">
        <f t="shared" si="17"/>
        <v>#VALUE!</v>
      </c>
    </row>
    <row r="328" spans="1:12" ht="24" customHeight="1" x14ac:dyDescent="0.25">
      <c r="A328" s="9">
        <v>43164</v>
      </c>
      <c r="B328" s="10" t="s">
        <v>10</v>
      </c>
      <c r="C328" s="17">
        <v>3234</v>
      </c>
      <c r="D328" s="11" t="e">
        <f>+VLOOKUP(B328,#REF!,6,FALSE)/6</f>
        <v>#REF!</v>
      </c>
      <c r="E328" s="10">
        <f>15.2492/6</f>
        <v>2.5415333333333332</v>
      </c>
      <c r="F328" s="10"/>
      <c r="G328" s="10"/>
      <c r="H328" s="10"/>
      <c r="I328" s="11" t="e">
        <f>+VLOOKUP(B328,#REF!,7,FALSE)</f>
        <v>#REF!</v>
      </c>
      <c r="J328" s="12" t="str">
        <f t="shared" si="15"/>
        <v/>
      </c>
      <c r="K328" s="12" t="str">
        <f t="shared" si="16"/>
        <v/>
      </c>
      <c r="L328" s="12" t="e">
        <f t="shared" si="17"/>
        <v>#VALUE!</v>
      </c>
    </row>
    <row r="329" spans="1:12" ht="24" customHeight="1" x14ac:dyDescent="0.25">
      <c r="A329" s="9">
        <v>43164</v>
      </c>
      <c r="B329" s="10" t="s">
        <v>440</v>
      </c>
      <c r="C329" s="17">
        <v>20850</v>
      </c>
      <c r="D329" s="11" t="e">
        <f>+VLOOKUP(B329,#REF!,6,FALSE)</f>
        <v>#REF!</v>
      </c>
      <c r="E329" s="10">
        <v>0.59970000000000001</v>
      </c>
      <c r="F329" s="10"/>
      <c r="G329" s="10"/>
      <c r="H329" s="10"/>
      <c r="I329" s="11" t="e">
        <f>+VLOOKUP(B329,#REF!,7,FALSE)</f>
        <v>#REF!</v>
      </c>
      <c r="J329" s="12" t="str">
        <f t="shared" si="15"/>
        <v/>
      </c>
      <c r="K329" s="12" t="str">
        <f t="shared" si="16"/>
        <v/>
      </c>
      <c r="L329" s="12" t="e">
        <f t="shared" si="17"/>
        <v>#VALUE!</v>
      </c>
    </row>
    <row r="330" spans="1:12" ht="24" customHeight="1" x14ac:dyDescent="0.25">
      <c r="A330" s="9">
        <v>43164</v>
      </c>
      <c r="B330" s="10" t="s">
        <v>462</v>
      </c>
      <c r="C330" s="17">
        <v>3248</v>
      </c>
      <c r="D330" s="11" t="e">
        <f>+VLOOKUP(B330,#REF!,6,FALSE)</f>
        <v>#REF!</v>
      </c>
      <c r="E330" s="10">
        <f>16.962/8</f>
        <v>2.12025</v>
      </c>
      <c r="F330" s="10"/>
      <c r="G330" s="10"/>
      <c r="H330" s="10"/>
      <c r="I330" s="11" t="e">
        <f>+VLOOKUP(B330,#REF!,7,FALSE)</f>
        <v>#REF!</v>
      </c>
      <c r="J330" s="12" t="str">
        <f t="shared" si="15"/>
        <v/>
      </c>
      <c r="K330" s="12" t="str">
        <f t="shared" si="16"/>
        <v/>
      </c>
      <c r="L330" s="12" t="e">
        <f t="shared" si="17"/>
        <v>#VALUE!</v>
      </c>
    </row>
    <row r="331" spans="1:12" ht="24" customHeight="1" x14ac:dyDescent="0.25">
      <c r="A331" s="9">
        <v>43164</v>
      </c>
      <c r="B331" s="10" t="s">
        <v>463</v>
      </c>
      <c r="C331" s="17">
        <v>6240</v>
      </c>
      <c r="D331" s="11" t="e">
        <f>+VLOOKUP(B331,#REF!,6,FALSE)</f>
        <v>#REF!</v>
      </c>
      <c r="E331" s="10">
        <f>23.4121/6</f>
        <v>3.9020166666666665</v>
      </c>
      <c r="F331" s="10"/>
      <c r="G331" s="10"/>
      <c r="H331" s="10"/>
      <c r="I331" s="11" t="e">
        <f>+VLOOKUP(B331,#REF!,7,FALSE)</f>
        <v>#REF!</v>
      </c>
      <c r="J331" s="12" t="str">
        <f t="shared" si="15"/>
        <v/>
      </c>
      <c r="K331" s="12" t="str">
        <f t="shared" si="16"/>
        <v/>
      </c>
      <c r="L331" s="12" t="e">
        <f t="shared" si="17"/>
        <v>#VALUE!</v>
      </c>
    </row>
    <row r="332" spans="1:12" ht="24" customHeight="1" x14ac:dyDescent="0.25">
      <c r="A332" s="9">
        <v>43165</v>
      </c>
      <c r="B332" s="10" t="s">
        <v>60</v>
      </c>
      <c r="C332" s="17">
        <v>2952</v>
      </c>
      <c r="D332" s="11" t="e">
        <f>+VLOOKUP(B332,#REF!,6,FALSE)</f>
        <v>#REF!</v>
      </c>
      <c r="E332" s="10">
        <f>23.8258/72</f>
        <v>0.3309138888888889</v>
      </c>
      <c r="F332" s="10"/>
      <c r="G332" s="10"/>
      <c r="H332" s="10"/>
      <c r="I332" s="11" t="e">
        <f>+VLOOKUP(B332,#REF!,7,FALSE)/72</f>
        <v>#REF!</v>
      </c>
      <c r="J332" s="12" t="str">
        <f t="shared" si="15"/>
        <v/>
      </c>
      <c r="K332" s="12" t="str">
        <f t="shared" si="16"/>
        <v/>
      </c>
      <c r="L332" s="12" t="e">
        <f t="shared" si="17"/>
        <v>#VALUE!</v>
      </c>
    </row>
    <row r="333" spans="1:12" ht="24" customHeight="1" x14ac:dyDescent="0.25">
      <c r="A333" s="9">
        <v>43165</v>
      </c>
      <c r="B333" s="10" t="s">
        <v>73</v>
      </c>
      <c r="C333" s="17">
        <v>1602</v>
      </c>
      <c r="D333" s="11" t="e">
        <f>+VLOOKUP(B333,#REF!,6,FALSE)</f>
        <v>#REF!</v>
      </c>
      <c r="E333" s="10">
        <f>9.6544/6</f>
        <v>1.6090666666666669</v>
      </c>
      <c r="F333" s="10"/>
      <c r="G333" s="10"/>
      <c r="H333" s="10"/>
      <c r="I333" s="11" t="e">
        <f>+VLOOKUP(B333,#REF!,7,FALSE)</f>
        <v>#REF!</v>
      </c>
      <c r="J333" s="12" t="str">
        <f t="shared" si="15"/>
        <v/>
      </c>
      <c r="K333" s="12" t="str">
        <f t="shared" si="16"/>
        <v/>
      </c>
      <c r="L333" s="12" t="e">
        <f t="shared" si="17"/>
        <v>#VALUE!</v>
      </c>
    </row>
    <row r="334" spans="1:12" ht="24" customHeight="1" x14ac:dyDescent="0.25">
      <c r="A334" s="9">
        <v>43165</v>
      </c>
      <c r="B334" s="10" t="s">
        <v>119</v>
      </c>
      <c r="C334" s="17">
        <v>4320</v>
      </c>
      <c r="D334" s="11" t="e">
        <f>+VLOOKUP(B334,#REF!,6,FALSE)</f>
        <v>#REF!</v>
      </c>
      <c r="E334" s="10">
        <f>9.2341/6</f>
        <v>1.5390166666666667</v>
      </c>
      <c r="F334" s="10"/>
      <c r="G334" s="10"/>
      <c r="H334" s="10"/>
      <c r="I334" s="11" t="e">
        <f>+VLOOKUP(B334,#REF!,7,FALSE)</f>
        <v>#REF!</v>
      </c>
      <c r="J334" s="12" t="str">
        <f t="shared" si="15"/>
        <v/>
      </c>
      <c r="K334" s="12" t="str">
        <f t="shared" si="16"/>
        <v/>
      </c>
      <c r="L334" s="12" t="e">
        <f t="shared" si="17"/>
        <v>#VALUE!</v>
      </c>
    </row>
    <row r="335" spans="1:12" ht="24" customHeight="1" x14ac:dyDescent="0.25">
      <c r="A335" s="9">
        <v>43165</v>
      </c>
      <c r="B335" s="10" t="s">
        <v>131</v>
      </c>
      <c r="C335" s="17">
        <v>1740</v>
      </c>
      <c r="D335" s="11" t="e">
        <f>+VLOOKUP(B335,#REF!,6,FALSE)</f>
        <v>#REF!</v>
      </c>
      <c r="E335" s="10">
        <v>16.7423</v>
      </c>
      <c r="F335" s="10"/>
      <c r="G335" s="10"/>
      <c r="H335" s="10"/>
      <c r="I335" s="11" t="e">
        <f>+VLOOKUP(B335,#REF!,7,FALSE)</f>
        <v>#REF!</v>
      </c>
      <c r="J335" s="12" t="str">
        <f t="shared" si="15"/>
        <v/>
      </c>
      <c r="K335" s="12" t="str">
        <f t="shared" si="16"/>
        <v/>
      </c>
      <c r="L335" s="12" t="e">
        <f t="shared" si="17"/>
        <v>#VALUE!</v>
      </c>
    </row>
    <row r="336" spans="1:12" ht="24" customHeight="1" x14ac:dyDescent="0.25">
      <c r="A336" s="9">
        <v>43165</v>
      </c>
      <c r="B336" s="10" t="s">
        <v>133</v>
      </c>
      <c r="C336" s="17">
        <v>3702</v>
      </c>
      <c r="D336" s="11" t="e">
        <f>+VLOOKUP(B336,#REF!,6,FALSE)</f>
        <v>#REF!</v>
      </c>
      <c r="E336" s="10">
        <v>1.4221999999999999</v>
      </c>
      <c r="F336" s="10"/>
      <c r="G336" s="10"/>
      <c r="H336" s="10"/>
      <c r="I336" s="11" t="e">
        <f>+VLOOKUP(B336,#REF!,7,FALSE)</f>
        <v>#REF!</v>
      </c>
      <c r="J336" s="12" t="str">
        <f t="shared" si="15"/>
        <v/>
      </c>
      <c r="K336" s="12" t="str">
        <f t="shared" si="16"/>
        <v/>
      </c>
      <c r="L336" s="12" t="e">
        <f t="shared" si="17"/>
        <v>#VALUE!</v>
      </c>
    </row>
    <row r="337" spans="1:12" ht="24" customHeight="1" x14ac:dyDescent="0.25">
      <c r="A337" s="9">
        <v>43165</v>
      </c>
      <c r="B337" s="10" t="s">
        <v>134</v>
      </c>
      <c r="C337" s="17">
        <v>1218</v>
      </c>
      <c r="D337" s="11" t="e">
        <f>+VLOOKUP(B337,#REF!,6,FALSE)</f>
        <v>#REF!</v>
      </c>
      <c r="E337" s="10">
        <f>9.7597/6</f>
        <v>1.6266166666666668</v>
      </c>
      <c r="F337" s="10"/>
      <c r="G337" s="10"/>
      <c r="H337" s="10"/>
      <c r="I337" s="11" t="e">
        <f>+VLOOKUP(B337,#REF!,7,FALSE)</f>
        <v>#REF!</v>
      </c>
      <c r="J337" s="12" t="str">
        <f t="shared" si="15"/>
        <v/>
      </c>
      <c r="K337" s="12" t="str">
        <f t="shared" si="16"/>
        <v/>
      </c>
      <c r="L337" s="12" t="e">
        <f t="shared" si="17"/>
        <v>#VALUE!</v>
      </c>
    </row>
    <row r="338" spans="1:12" ht="24" customHeight="1" x14ac:dyDescent="0.25">
      <c r="A338" s="9">
        <v>43165</v>
      </c>
      <c r="B338" s="10" t="s">
        <v>214</v>
      </c>
      <c r="C338" s="17">
        <v>4254</v>
      </c>
      <c r="D338" s="11" t="e">
        <f>+VLOOKUP(B338,#REF!,6,FALSE)/12</f>
        <v>#REF!</v>
      </c>
      <c r="E338" s="10">
        <f>8.694/12</f>
        <v>0.72450000000000003</v>
      </c>
      <c r="F338" s="10"/>
      <c r="G338" s="10"/>
      <c r="H338" s="10"/>
      <c r="I338" s="11" t="e">
        <f>+VLOOKUP(B338,#REF!,7,FALSE)</f>
        <v>#REF!</v>
      </c>
      <c r="J338" s="12" t="str">
        <f t="shared" si="15"/>
        <v/>
      </c>
      <c r="K338" s="12" t="str">
        <f t="shared" si="16"/>
        <v/>
      </c>
      <c r="L338" s="12" t="e">
        <f t="shared" si="17"/>
        <v>#VALUE!</v>
      </c>
    </row>
    <row r="339" spans="1:12" ht="24" customHeight="1" x14ac:dyDescent="0.25">
      <c r="A339" s="9">
        <v>43165</v>
      </c>
      <c r="B339" s="10" t="s">
        <v>440</v>
      </c>
      <c r="C339" s="17">
        <v>13280</v>
      </c>
      <c r="D339" s="11" t="e">
        <f>+VLOOKUP(B339,#REF!,6,FALSE)</f>
        <v>#REF!</v>
      </c>
      <c r="E339" s="10">
        <v>0.6018</v>
      </c>
      <c r="F339" s="10"/>
      <c r="G339" s="10"/>
      <c r="H339" s="10"/>
      <c r="I339" s="11" t="e">
        <f>+VLOOKUP(B339,#REF!,7,FALSE)</f>
        <v>#REF!</v>
      </c>
      <c r="J339" s="12" t="str">
        <f t="shared" si="15"/>
        <v/>
      </c>
      <c r="K339" s="12" t="str">
        <f t="shared" si="16"/>
        <v/>
      </c>
      <c r="L339" s="12" t="e">
        <f t="shared" si="17"/>
        <v>#VALUE!</v>
      </c>
    </row>
    <row r="340" spans="1:12" ht="24" customHeight="1" x14ac:dyDescent="0.25">
      <c r="A340" s="9">
        <v>43166</v>
      </c>
      <c r="B340" s="10" t="s">
        <v>71</v>
      </c>
      <c r="C340" s="17">
        <v>1008</v>
      </c>
      <c r="D340" s="11" t="e">
        <f>+VLOOKUP(B340,#REF!,6,FALSE)</f>
        <v>#REF!</v>
      </c>
      <c r="E340" s="10">
        <f>10.2329/6</f>
        <v>1.7054833333333335</v>
      </c>
      <c r="F340" s="10"/>
      <c r="G340" s="10"/>
      <c r="H340" s="10"/>
      <c r="I340" s="11" t="e">
        <f>+VLOOKUP(B340,#REF!,7,FALSE)</f>
        <v>#REF!</v>
      </c>
      <c r="J340" s="12" t="str">
        <f t="shared" si="15"/>
        <v/>
      </c>
      <c r="K340" s="12" t="str">
        <f t="shared" si="16"/>
        <v/>
      </c>
      <c r="L340" s="12" t="e">
        <f t="shared" si="17"/>
        <v>#VALUE!</v>
      </c>
    </row>
    <row r="341" spans="1:12" ht="24" customHeight="1" x14ac:dyDescent="0.25">
      <c r="A341" s="9">
        <v>43166</v>
      </c>
      <c r="B341" s="10" t="s">
        <v>72</v>
      </c>
      <c r="C341" s="17">
        <v>1500</v>
      </c>
      <c r="D341" s="11" t="e">
        <f>+VLOOKUP(B341,#REF!,6,FALSE)</f>
        <v>#REF!</v>
      </c>
      <c r="E341" s="10">
        <f>10.2997/6</f>
        <v>1.7166166666666667</v>
      </c>
      <c r="F341" s="10"/>
      <c r="G341" s="10"/>
      <c r="H341" s="10"/>
      <c r="I341" s="11" t="e">
        <f>+VLOOKUP(B341,#REF!,7,FALSE)</f>
        <v>#REF!</v>
      </c>
      <c r="J341" s="12" t="str">
        <f t="shared" si="15"/>
        <v/>
      </c>
      <c r="K341" s="12" t="str">
        <f t="shared" si="16"/>
        <v/>
      </c>
      <c r="L341" s="12" t="e">
        <f t="shared" si="17"/>
        <v>#VALUE!</v>
      </c>
    </row>
    <row r="342" spans="1:12" ht="24" customHeight="1" x14ac:dyDescent="0.25">
      <c r="A342" s="9">
        <v>43166</v>
      </c>
      <c r="B342" s="10" t="s">
        <v>118</v>
      </c>
      <c r="C342" s="17">
        <v>1242</v>
      </c>
      <c r="D342" s="11" t="e">
        <f>+VLOOKUP(B342,#REF!,6,FALSE)</f>
        <v>#REF!</v>
      </c>
      <c r="E342" s="10">
        <f>9.0251/6</f>
        <v>1.5041833333333334</v>
      </c>
      <c r="F342" s="10"/>
      <c r="G342" s="10"/>
      <c r="H342" s="10"/>
      <c r="I342" s="11" t="e">
        <f>+VLOOKUP(B342,#REF!,7,FALSE)</f>
        <v>#REF!</v>
      </c>
      <c r="J342" s="12" t="str">
        <f t="shared" si="15"/>
        <v/>
      </c>
      <c r="K342" s="12" t="str">
        <f t="shared" si="16"/>
        <v/>
      </c>
      <c r="L342" s="12" t="e">
        <f t="shared" si="17"/>
        <v>#VALUE!</v>
      </c>
    </row>
    <row r="343" spans="1:12" ht="24" customHeight="1" x14ac:dyDescent="0.25">
      <c r="A343" s="9">
        <v>43166</v>
      </c>
      <c r="B343" s="10" t="s">
        <v>120</v>
      </c>
      <c r="C343" s="17">
        <v>1020</v>
      </c>
      <c r="D343" s="11" t="e">
        <f>+VLOOKUP(B343,#REF!,6,FALSE)</f>
        <v>#REF!</v>
      </c>
      <c r="E343" s="10">
        <f>9.6165/6</f>
        <v>1.6027500000000001</v>
      </c>
      <c r="F343" s="10"/>
      <c r="G343" s="10"/>
      <c r="H343" s="10"/>
      <c r="I343" s="11" t="e">
        <f>+VLOOKUP(B343,#REF!,7,FALSE)</f>
        <v>#REF!</v>
      </c>
      <c r="J343" s="12" t="str">
        <f t="shared" si="15"/>
        <v/>
      </c>
      <c r="K343" s="12" t="str">
        <f t="shared" si="16"/>
        <v/>
      </c>
      <c r="L343" s="12" t="e">
        <f t="shared" si="17"/>
        <v>#VALUE!</v>
      </c>
    </row>
    <row r="344" spans="1:12" ht="24" customHeight="1" x14ac:dyDescent="0.25">
      <c r="A344" s="9">
        <v>43166</v>
      </c>
      <c r="B344" s="10" t="s">
        <v>133</v>
      </c>
      <c r="C344" s="17">
        <v>4218</v>
      </c>
      <c r="D344" s="11" t="e">
        <f>+VLOOKUP(B344,#REF!,6,FALSE)</f>
        <v>#REF!</v>
      </c>
      <c r="E344" s="10">
        <f>1.5348</f>
        <v>1.5347999999999999</v>
      </c>
      <c r="F344" s="10"/>
      <c r="G344" s="10"/>
      <c r="H344" s="10"/>
      <c r="I344" s="11" t="e">
        <f>+VLOOKUP(B344,#REF!,7,FALSE)</f>
        <v>#REF!</v>
      </c>
      <c r="J344" s="12" t="str">
        <f t="shared" si="15"/>
        <v/>
      </c>
      <c r="K344" s="12" t="str">
        <f t="shared" si="16"/>
        <v/>
      </c>
      <c r="L344" s="12" t="e">
        <f t="shared" si="17"/>
        <v>#VALUE!</v>
      </c>
    </row>
    <row r="345" spans="1:12" ht="24" customHeight="1" x14ac:dyDescent="0.25">
      <c r="A345" s="9">
        <v>43166</v>
      </c>
      <c r="B345" s="10" t="s">
        <v>135</v>
      </c>
      <c r="C345" s="17">
        <v>210</v>
      </c>
      <c r="D345" s="11" t="e">
        <f>+VLOOKUP(B345,#REF!,6,FALSE)</f>
        <v>#REF!</v>
      </c>
      <c r="E345" s="10">
        <f>7.8683/6</f>
        <v>1.3113833333333333</v>
      </c>
      <c r="F345" s="10"/>
      <c r="G345" s="10"/>
      <c r="H345" s="10"/>
      <c r="I345" s="11" t="e">
        <f>+VLOOKUP(B345,#REF!,7,FALSE)</f>
        <v>#REF!</v>
      </c>
      <c r="J345" s="12" t="str">
        <f t="shared" si="15"/>
        <v/>
      </c>
      <c r="K345" s="12" t="str">
        <f t="shared" si="16"/>
        <v/>
      </c>
      <c r="L345" s="12" t="e">
        <f t="shared" si="17"/>
        <v>#VALUE!</v>
      </c>
    </row>
    <row r="346" spans="1:12" ht="24" customHeight="1" x14ac:dyDescent="0.25">
      <c r="A346" s="9">
        <v>43166</v>
      </c>
      <c r="B346" s="10" t="s">
        <v>211</v>
      </c>
      <c r="C346" s="17">
        <v>13878</v>
      </c>
      <c r="D346" s="11" t="e">
        <f>+VLOOKUP(B346,#REF!,6,FALSE)/6</f>
        <v>#REF!</v>
      </c>
      <c r="E346" s="10">
        <f>8.6506/6</f>
        <v>1.4417666666666669</v>
      </c>
      <c r="F346" s="10"/>
      <c r="G346" s="10"/>
      <c r="H346" s="10"/>
      <c r="I346" s="11" t="e">
        <f>+VLOOKUP(B346,#REF!,7,FALSE)</f>
        <v>#REF!</v>
      </c>
      <c r="J346" s="12" t="str">
        <f t="shared" si="15"/>
        <v/>
      </c>
      <c r="K346" s="12" t="str">
        <f t="shared" si="16"/>
        <v/>
      </c>
      <c r="L346" s="12" t="e">
        <f t="shared" si="17"/>
        <v>#VALUE!</v>
      </c>
    </row>
    <row r="347" spans="1:12" ht="24" customHeight="1" x14ac:dyDescent="0.25">
      <c r="A347" s="9">
        <v>43166</v>
      </c>
      <c r="B347" s="10" t="s">
        <v>10</v>
      </c>
      <c r="C347" s="17">
        <v>540</v>
      </c>
      <c r="D347" s="11" t="e">
        <f>+VLOOKUP(B347,#REF!,6,FALSE)/6</f>
        <v>#REF!</v>
      </c>
      <c r="E347" s="10">
        <f>16.1384/6</f>
        <v>2.6897333333333333</v>
      </c>
      <c r="F347" s="10"/>
      <c r="G347" s="10"/>
      <c r="H347" s="10"/>
      <c r="I347" s="11" t="e">
        <f>+VLOOKUP(B347,#REF!,7,FALSE)</f>
        <v>#REF!</v>
      </c>
      <c r="J347" s="12" t="str">
        <f t="shared" si="15"/>
        <v/>
      </c>
      <c r="K347" s="12" t="str">
        <f t="shared" si="16"/>
        <v/>
      </c>
      <c r="L347" s="12" t="e">
        <f t="shared" si="17"/>
        <v>#VALUE!</v>
      </c>
    </row>
    <row r="348" spans="1:12" ht="24" customHeight="1" x14ac:dyDescent="0.25">
      <c r="A348" s="9">
        <v>43166</v>
      </c>
      <c r="B348" s="10" t="s">
        <v>441</v>
      </c>
      <c r="C348" s="17">
        <v>13980</v>
      </c>
      <c r="D348" s="11" t="e">
        <f>+VLOOKUP(B348,#REF!,6,FALSE)</f>
        <v>#REF!</v>
      </c>
      <c r="E348" s="10">
        <v>0.4471</v>
      </c>
      <c r="F348" s="10"/>
      <c r="G348" s="10"/>
      <c r="H348" s="10"/>
      <c r="I348" s="11" t="e">
        <f>+VLOOKUP(B348,#REF!,7,FALSE)</f>
        <v>#REF!</v>
      </c>
      <c r="J348" s="12" t="str">
        <f t="shared" si="15"/>
        <v/>
      </c>
      <c r="K348" s="12" t="str">
        <f t="shared" si="16"/>
        <v/>
      </c>
      <c r="L348" s="12" t="e">
        <f t="shared" si="17"/>
        <v>#VALUE!</v>
      </c>
    </row>
    <row r="349" spans="1:12" ht="24" customHeight="1" x14ac:dyDescent="0.25">
      <c r="A349" s="9">
        <v>43166</v>
      </c>
      <c r="B349" s="10" t="s">
        <v>460</v>
      </c>
      <c r="C349" s="17">
        <v>1308</v>
      </c>
      <c r="D349" s="11" t="e">
        <f>+VLOOKUP(B349,#REF!,6,FALSE)</f>
        <v>#REF!</v>
      </c>
      <c r="E349" s="10">
        <v>0.72250000000000003</v>
      </c>
      <c r="F349" s="10"/>
      <c r="G349" s="10"/>
      <c r="H349" s="10"/>
      <c r="I349" s="11" t="e">
        <f>+VLOOKUP(B349,#REF!,7,FALSE)</f>
        <v>#REF!</v>
      </c>
      <c r="J349" s="12" t="str">
        <f t="shared" si="15"/>
        <v/>
      </c>
      <c r="K349" s="12" t="str">
        <f t="shared" si="16"/>
        <v/>
      </c>
      <c r="L349" s="12" t="e">
        <f t="shared" si="17"/>
        <v>#VALUE!</v>
      </c>
    </row>
    <row r="350" spans="1:12" ht="24" customHeight="1" x14ac:dyDescent="0.25">
      <c r="A350" s="9">
        <v>43166</v>
      </c>
      <c r="B350" s="10" t="s">
        <v>461</v>
      </c>
      <c r="C350" s="17">
        <v>204</v>
      </c>
      <c r="D350" s="11" t="e">
        <f>+VLOOKUP(B350,#REF!,6,FALSE)</f>
        <v>#REF!</v>
      </c>
      <c r="E350" s="10">
        <v>0.96809999999999996</v>
      </c>
      <c r="F350" s="10"/>
      <c r="G350" s="10"/>
      <c r="H350" s="10"/>
      <c r="I350" s="11" t="e">
        <f>+VLOOKUP(B350,#REF!,7,FALSE)</f>
        <v>#REF!</v>
      </c>
      <c r="J350" s="12" t="str">
        <f t="shared" si="15"/>
        <v/>
      </c>
      <c r="K350" s="12" t="str">
        <f t="shared" si="16"/>
        <v/>
      </c>
      <c r="L350" s="12" t="e">
        <f t="shared" si="17"/>
        <v>#VALUE!</v>
      </c>
    </row>
    <row r="351" spans="1:12" ht="24" customHeight="1" x14ac:dyDescent="0.25">
      <c r="A351" s="9">
        <v>43167</v>
      </c>
      <c r="B351" s="10" t="s">
        <v>134</v>
      </c>
      <c r="C351" s="17">
        <v>5640</v>
      </c>
      <c r="D351" s="11" t="e">
        <f>+VLOOKUP(B351,#REF!,6,FALSE)</f>
        <v>#REF!</v>
      </c>
      <c r="E351" s="10">
        <f>8.9037/6</f>
        <v>1.4839500000000001</v>
      </c>
      <c r="F351" s="10"/>
      <c r="G351" s="10"/>
      <c r="H351" s="10"/>
      <c r="I351" s="11" t="e">
        <f>+VLOOKUP(B351,#REF!,7,FALSE)</f>
        <v>#REF!</v>
      </c>
      <c r="J351" s="12" t="str">
        <f t="shared" si="15"/>
        <v/>
      </c>
      <c r="K351" s="12" t="str">
        <f t="shared" si="16"/>
        <v/>
      </c>
      <c r="L351" s="12" t="e">
        <f t="shared" si="17"/>
        <v>#VALUE!</v>
      </c>
    </row>
    <row r="352" spans="1:12" ht="24" customHeight="1" x14ac:dyDescent="0.25">
      <c r="A352" s="9">
        <v>43167</v>
      </c>
      <c r="B352" s="10" t="s">
        <v>135</v>
      </c>
      <c r="C352" s="17">
        <v>3756</v>
      </c>
      <c r="D352" s="11" t="e">
        <f>+VLOOKUP(B352,#REF!,6,FALSE)</f>
        <v>#REF!</v>
      </c>
      <c r="E352" s="10">
        <f>8.0023/6</f>
        <v>1.3337166666666667</v>
      </c>
      <c r="F352" s="10"/>
      <c r="G352" s="10"/>
      <c r="H352" s="10"/>
      <c r="I352" s="11" t="e">
        <f>+VLOOKUP(B352,#REF!,7,FALSE)</f>
        <v>#REF!</v>
      </c>
      <c r="J352" s="12" t="str">
        <f t="shared" si="15"/>
        <v/>
      </c>
      <c r="K352" s="12" t="str">
        <f t="shared" si="16"/>
        <v/>
      </c>
      <c r="L352" s="12" t="e">
        <f t="shared" si="17"/>
        <v>#VALUE!</v>
      </c>
    </row>
    <row r="353" spans="1:12" ht="24" customHeight="1" x14ac:dyDescent="0.25">
      <c r="A353" s="9">
        <v>43167</v>
      </c>
      <c r="B353" s="10" t="s">
        <v>230</v>
      </c>
      <c r="C353" s="17">
        <v>22368</v>
      </c>
      <c r="D353" s="11" t="e">
        <f>+VLOOKUP(B353,#REF!,6,FALSE)</f>
        <v>#REF!</v>
      </c>
      <c r="E353" s="10">
        <f>3.22/6</f>
        <v>0.53666666666666674</v>
      </c>
      <c r="F353" s="10"/>
      <c r="G353" s="10"/>
      <c r="H353" s="10"/>
      <c r="I353" s="11" t="e">
        <f>+VLOOKUP(B353,#REF!,7,FALSE)</f>
        <v>#REF!</v>
      </c>
      <c r="J353" s="12" t="str">
        <f t="shared" si="15"/>
        <v/>
      </c>
      <c r="K353" s="12" t="str">
        <f t="shared" si="16"/>
        <v/>
      </c>
      <c r="L353" s="12" t="e">
        <f t="shared" si="17"/>
        <v>#VALUE!</v>
      </c>
    </row>
    <row r="354" spans="1:12" ht="24" customHeight="1" x14ac:dyDescent="0.25">
      <c r="A354" s="9">
        <v>43167</v>
      </c>
      <c r="B354" s="10" t="s">
        <v>211</v>
      </c>
      <c r="C354" s="17">
        <v>16794</v>
      </c>
      <c r="D354" s="11" t="e">
        <f>+VLOOKUP(B354,#REF!,6,FALSE)/6</f>
        <v>#REF!</v>
      </c>
      <c r="E354" s="10">
        <f>7.9529/6</f>
        <v>1.3254833333333333</v>
      </c>
      <c r="F354" s="10"/>
      <c r="G354" s="10"/>
      <c r="H354" s="10"/>
      <c r="I354" s="11" t="e">
        <f>+VLOOKUP(B354,#REF!,7,FALSE)</f>
        <v>#REF!</v>
      </c>
      <c r="J354" s="12" t="str">
        <f t="shared" si="15"/>
        <v/>
      </c>
      <c r="K354" s="12" t="str">
        <f t="shared" si="16"/>
        <v/>
      </c>
      <c r="L354" s="12" t="e">
        <f t="shared" si="17"/>
        <v>#VALUE!</v>
      </c>
    </row>
    <row r="355" spans="1:12" ht="24" customHeight="1" x14ac:dyDescent="0.25">
      <c r="A355" s="9">
        <v>43167</v>
      </c>
      <c r="B355" s="10" t="s">
        <v>430</v>
      </c>
      <c r="C355" s="17">
        <v>4800</v>
      </c>
      <c r="D355" s="11" t="e">
        <f>+VLOOKUP(B355,#REF!,6,FALSE)</f>
        <v>#REF!</v>
      </c>
      <c r="E355" s="10">
        <f>20.9482/6</f>
        <v>3.4913666666666665</v>
      </c>
      <c r="F355" s="10"/>
      <c r="G355" s="10"/>
      <c r="H355" s="10"/>
      <c r="I355" s="11" t="e">
        <f>+VLOOKUP(B355,#REF!,7,FALSE)</f>
        <v>#REF!</v>
      </c>
      <c r="J355" s="12" t="str">
        <f t="shared" si="15"/>
        <v/>
      </c>
      <c r="K355" s="12" t="str">
        <f t="shared" si="16"/>
        <v/>
      </c>
      <c r="L355" s="12" t="e">
        <f t="shared" si="17"/>
        <v>#VALUE!</v>
      </c>
    </row>
    <row r="356" spans="1:12" ht="24" customHeight="1" x14ac:dyDescent="0.25">
      <c r="A356" s="9">
        <v>43168</v>
      </c>
      <c r="B356" s="10" t="s">
        <v>116</v>
      </c>
      <c r="C356" s="17">
        <f>53052/12</f>
        <v>4421</v>
      </c>
      <c r="D356" s="11" t="e">
        <f>+VLOOKUP(B356,#REF!,6,FALSE)</f>
        <v>#REF!</v>
      </c>
      <c r="E356" s="10">
        <v>3.242</v>
      </c>
      <c r="F356" s="10"/>
      <c r="G356" s="10"/>
      <c r="H356" s="10"/>
      <c r="I356" s="11" t="e">
        <f>+VLOOKUP(B356,#REF!,7,FALSE)</f>
        <v>#REF!</v>
      </c>
      <c r="J356" s="12" t="str">
        <f t="shared" si="15"/>
        <v/>
      </c>
      <c r="K356" s="12" t="str">
        <f t="shared" si="16"/>
        <v/>
      </c>
      <c r="L356" s="12" t="e">
        <f t="shared" si="17"/>
        <v>#VALUE!</v>
      </c>
    </row>
    <row r="357" spans="1:12" ht="24" customHeight="1" x14ac:dyDescent="0.25">
      <c r="A357" s="9">
        <v>43168</v>
      </c>
      <c r="B357" s="10" t="s">
        <v>144</v>
      </c>
      <c r="C357" s="17">
        <v>8628</v>
      </c>
      <c r="D357" s="11" t="e">
        <f>+VLOOKUP(B357,#REF!,6,FALSE)</f>
        <v>#REF!</v>
      </c>
      <c r="E357" s="10">
        <f>6.8219/12</f>
        <v>0.56849166666666673</v>
      </c>
      <c r="F357" s="10"/>
      <c r="G357" s="10"/>
      <c r="H357" s="10"/>
      <c r="I357" s="11" t="e">
        <f>+VLOOKUP(B357,#REF!,7,FALSE)</f>
        <v>#REF!</v>
      </c>
      <c r="J357" s="12" t="str">
        <f t="shared" si="15"/>
        <v/>
      </c>
      <c r="K357" s="12" t="str">
        <f t="shared" si="16"/>
        <v/>
      </c>
      <c r="L357" s="12" t="e">
        <f t="shared" si="17"/>
        <v>#VALUE!</v>
      </c>
    </row>
    <row r="358" spans="1:12" ht="24" customHeight="1" x14ac:dyDescent="0.25">
      <c r="A358" s="9">
        <v>43168</v>
      </c>
      <c r="B358" s="10" t="s">
        <v>145</v>
      </c>
      <c r="C358" s="17">
        <v>144</v>
      </c>
      <c r="D358" s="11" t="e">
        <f>+VLOOKUP(B358,#REF!,6,FALSE)</f>
        <v>#REF!</v>
      </c>
      <c r="E358" s="10">
        <f>18.3327/72</f>
        <v>0.2546208333333333</v>
      </c>
      <c r="F358" s="10"/>
      <c r="G358" s="10"/>
      <c r="H358" s="10"/>
      <c r="I358" s="11" t="e">
        <f>+VLOOKUP(B358,#REF!,7,FALSE)</f>
        <v>#REF!</v>
      </c>
      <c r="J358" s="12" t="str">
        <f t="shared" si="15"/>
        <v/>
      </c>
      <c r="K358" s="12" t="str">
        <f t="shared" si="16"/>
        <v/>
      </c>
      <c r="L358" s="12" t="e">
        <f t="shared" si="17"/>
        <v>#VALUE!</v>
      </c>
    </row>
    <row r="359" spans="1:12" ht="24" customHeight="1" x14ac:dyDescent="0.25">
      <c r="A359" s="9">
        <v>43168</v>
      </c>
      <c r="B359" s="10" t="s">
        <v>146</v>
      </c>
      <c r="C359" s="17">
        <v>8172</v>
      </c>
      <c r="D359" s="11" t="e">
        <f>+VLOOKUP(B359,#REF!,6,FALSE)</f>
        <v>#REF!</v>
      </c>
      <c r="E359" s="10">
        <f>6.9621/12</f>
        <v>0.580175</v>
      </c>
      <c r="F359" s="10"/>
      <c r="G359" s="10"/>
      <c r="H359" s="10"/>
      <c r="I359" s="11" t="e">
        <f>+VLOOKUP(B359,#REF!,7,FALSE)</f>
        <v>#REF!</v>
      </c>
      <c r="J359" s="12" t="str">
        <f t="shared" si="15"/>
        <v/>
      </c>
      <c r="K359" s="12" t="str">
        <f t="shared" si="16"/>
        <v/>
      </c>
      <c r="L359" s="12" t="e">
        <f t="shared" si="17"/>
        <v>#VALUE!</v>
      </c>
    </row>
    <row r="360" spans="1:12" ht="24" customHeight="1" x14ac:dyDescent="0.25">
      <c r="A360" s="9">
        <v>43168</v>
      </c>
      <c r="B360" s="10" t="s">
        <v>163</v>
      </c>
      <c r="C360" s="17">
        <v>4086</v>
      </c>
      <c r="D360" s="11" t="e">
        <f>+VLOOKUP(B360,#REF!,6,FALSE)/6</f>
        <v>#REF!</v>
      </c>
      <c r="E360" s="10">
        <f>12.2352/6</f>
        <v>2.0392000000000001</v>
      </c>
      <c r="F360" s="10"/>
      <c r="G360" s="10"/>
      <c r="H360" s="10"/>
      <c r="I360" s="11" t="e">
        <f>+VLOOKUP(B360,#REF!,7,FALSE)</f>
        <v>#REF!</v>
      </c>
      <c r="J360" s="12" t="str">
        <f t="shared" si="15"/>
        <v/>
      </c>
      <c r="K360" s="12" t="str">
        <f t="shared" si="16"/>
        <v/>
      </c>
      <c r="L360" s="12" t="e">
        <f t="shared" si="17"/>
        <v>#VALUE!</v>
      </c>
    </row>
    <row r="361" spans="1:12" ht="24" customHeight="1" x14ac:dyDescent="0.25">
      <c r="A361" s="9">
        <v>43168</v>
      </c>
      <c r="B361" s="10" t="s">
        <v>164</v>
      </c>
      <c r="C361" s="17">
        <v>4980</v>
      </c>
      <c r="D361" s="11" t="e">
        <f>+VLOOKUP(B361,#REF!,6,FALSE)/12</f>
        <v>#REF!</v>
      </c>
      <c r="E361" s="10">
        <f>10.1552/12</f>
        <v>0.84626666666666672</v>
      </c>
      <c r="F361" s="10"/>
      <c r="G361" s="10"/>
      <c r="H361" s="10"/>
      <c r="I361" s="11" t="e">
        <f>+VLOOKUP(B361,#REF!,7,FALSE)</f>
        <v>#REF!</v>
      </c>
      <c r="J361" s="12" t="str">
        <f t="shared" si="15"/>
        <v/>
      </c>
      <c r="K361" s="12" t="str">
        <f t="shared" si="16"/>
        <v/>
      </c>
      <c r="L361" s="12" t="e">
        <f t="shared" si="17"/>
        <v>#VALUE!</v>
      </c>
    </row>
    <row r="362" spans="1:12" ht="24" customHeight="1" x14ac:dyDescent="0.25">
      <c r="A362" s="9">
        <v>43168</v>
      </c>
      <c r="B362" s="10" t="s">
        <v>165</v>
      </c>
      <c r="C362" s="17">
        <v>2064</v>
      </c>
      <c r="D362" s="11" t="e">
        <f>+VLOOKUP(B362,#REF!,6,FALSE)/12</f>
        <v>#REF!</v>
      </c>
      <c r="E362" s="10">
        <f>4.9011/12</f>
        <v>0.40842499999999998</v>
      </c>
      <c r="F362" s="10"/>
      <c r="G362" s="10"/>
      <c r="H362" s="10"/>
      <c r="I362" s="11" t="e">
        <f>+VLOOKUP(B362,#REF!,7,FALSE)</f>
        <v>#REF!</v>
      </c>
      <c r="J362" s="12" t="str">
        <f t="shared" si="15"/>
        <v/>
      </c>
      <c r="K362" s="12" t="str">
        <f t="shared" si="16"/>
        <v/>
      </c>
      <c r="L362" s="12" t="e">
        <f t="shared" si="17"/>
        <v>#VALUE!</v>
      </c>
    </row>
    <row r="363" spans="1:12" ht="24" customHeight="1" x14ac:dyDescent="0.25">
      <c r="A363" s="9">
        <v>43168</v>
      </c>
      <c r="B363" s="10" t="s">
        <v>10</v>
      </c>
      <c r="C363" s="17">
        <v>1236</v>
      </c>
      <c r="D363" s="11" t="e">
        <f>+VLOOKUP(B363,#REF!,6,FALSE)/6</f>
        <v>#REF!</v>
      </c>
      <c r="E363" s="10">
        <f>16.1345/6</f>
        <v>2.689083333333333</v>
      </c>
      <c r="F363" s="10"/>
      <c r="G363" s="10"/>
      <c r="H363" s="10"/>
      <c r="I363" s="11" t="e">
        <f>+VLOOKUP(B363,#REF!,7,FALSE)</f>
        <v>#REF!</v>
      </c>
      <c r="J363" s="12" t="str">
        <f t="shared" si="15"/>
        <v/>
      </c>
      <c r="K363" s="12" t="str">
        <f t="shared" si="16"/>
        <v/>
      </c>
      <c r="L363" s="12" t="e">
        <f t="shared" si="17"/>
        <v>#VALUE!</v>
      </c>
    </row>
    <row r="364" spans="1:12" ht="24" customHeight="1" x14ac:dyDescent="0.25">
      <c r="A364" s="9">
        <v>43168</v>
      </c>
      <c r="B364" s="10" t="s">
        <v>442</v>
      </c>
      <c r="C364" s="17">
        <v>10146</v>
      </c>
      <c r="D364" s="11" t="e">
        <f>+VLOOKUP(B364,#REF!,6,FALSE)</f>
        <v>#REF!</v>
      </c>
      <c r="E364" s="10">
        <f>3.8857/6</f>
        <v>0.64761666666666662</v>
      </c>
      <c r="F364" s="10"/>
      <c r="G364" s="10"/>
      <c r="H364" s="10"/>
      <c r="I364" s="11" t="e">
        <f>+VLOOKUP(B364,#REF!,7,FALSE)</f>
        <v>#REF!</v>
      </c>
      <c r="J364" s="12" t="str">
        <f t="shared" si="15"/>
        <v/>
      </c>
      <c r="K364" s="12" t="str">
        <f t="shared" si="16"/>
        <v/>
      </c>
      <c r="L364" s="12" t="e">
        <f t="shared" si="17"/>
        <v>#VALUE!</v>
      </c>
    </row>
    <row r="365" spans="1:12" ht="24" customHeight="1" x14ac:dyDescent="0.25">
      <c r="A365" s="9">
        <v>43168</v>
      </c>
      <c r="B365" s="10" t="s">
        <v>460</v>
      </c>
      <c r="C365" s="17">
        <v>48</v>
      </c>
      <c r="D365" s="11" t="e">
        <f>+VLOOKUP(B365,#REF!,6,FALSE)</f>
        <v>#REF!</v>
      </c>
      <c r="E365" s="10">
        <v>0.66700000000000004</v>
      </c>
      <c r="F365" s="10"/>
      <c r="G365" s="10"/>
      <c r="H365" s="10"/>
      <c r="I365" s="11" t="e">
        <f>+VLOOKUP(B365,#REF!,7,FALSE)</f>
        <v>#REF!</v>
      </c>
      <c r="J365" s="12" t="str">
        <f t="shared" si="15"/>
        <v/>
      </c>
      <c r="K365" s="12" t="str">
        <f t="shared" si="16"/>
        <v/>
      </c>
      <c r="L365" s="12" t="e">
        <f t="shared" si="17"/>
        <v>#VALUE!</v>
      </c>
    </row>
    <row r="366" spans="1:12" ht="24" customHeight="1" x14ac:dyDescent="0.25">
      <c r="A366" s="9">
        <v>43168</v>
      </c>
      <c r="B366" s="10" t="s">
        <v>462</v>
      </c>
      <c r="C366" s="17">
        <v>624</v>
      </c>
      <c r="D366" s="11" t="e">
        <f>+VLOOKUP(B366,#REF!,6,FALSE)</f>
        <v>#REF!</v>
      </c>
      <c r="E366" s="10">
        <f>16.6762/8</f>
        <v>2.0845250000000002</v>
      </c>
      <c r="F366" s="10"/>
      <c r="G366" s="10"/>
      <c r="H366" s="10"/>
      <c r="I366" s="11" t="e">
        <f>+VLOOKUP(B366,#REF!,7,FALSE)</f>
        <v>#REF!</v>
      </c>
      <c r="J366" s="12" t="str">
        <f t="shared" si="15"/>
        <v/>
      </c>
      <c r="K366" s="12" t="str">
        <f t="shared" si="16"/>
        <v/>
      </c>
      <c r="L366" s="12" t="e">
        <f t="shared" si="17"/>
        <v>#VALUE!</v>
      </c>
    </row>
    <row r="367" spans="1:12" ht="24" customHeight="1" x14ac:dyDescent="0.25">
      <c r="A367" s="9">
        <v>43168</v>
      </c>
      <c r="B367" s="10" t="s">
        <v>464</v>
      </c>
      <c r="C367" s="17">
        <v>8700</v>
      </c>
      <c r="D367" s="11" t="e">
        <f>+VLOOKUP(B367,#REF!,6,FALSE)</f>
        <v>#REF!</v>
      </c>
      <c r="E367" s="10">
        <f>11.1323/12</f>
        <v>0.92769166666666669</v>
      </c>
      <c r="F367" s="10"/>
      <c r="G367" s="10"/>
      <c r="H367" s="10"/>
      <c r="I367" s="11" t="e">
        <f>+VLOOKUP(B367,#REF!,7,FALSE)</f>
        <v>#REF!</v>
      </c>
      <c r="J367" s="12" t="str">
        <f t="shared" si="15"/>
        <v/>
      </c>
      <c r="K367" s="12" t="str">
        <f t="shared" si="16"/>
        <v/>
      </c>
      <c r="L367" s="12" t="e">
        <f t="shared" si="17"/>
        <v>#VALUE!</v>
      </c>
    </row>
    <row r="368" spans="1:12" ht="24" customHeight="1" x14ac:dyDescent="0.25">
      <c r="A368" s="9">
        <v>43169</v>
      </c>
      <c r="B368" s="10" t="s">
        <v>27</v>
      </c>
      <c r="C368" s="17">
        <v>2520</v>
      </c>
      <c r="D368" s="11" t="e">
        <f>+VLOOKUP(B368,#REF!,6,FALSE)</f>
        <v>#REF!</v>
      </c>
      <c r="E368" s="10">
        <v>1.9827999999999999</v>
      </c>
      <c r="F368" s="10"/>
      <c r="G368" s="10"/>
      <c r="H368" s="10"/>
      <c r="I368" s="11" t="e">
        <f>+VLOOKUP(B368,#REF!,7,FALSE)</f>
        <v>#REF!</v>
      </c>
      <c r="J368" s="12" t="str">
        <f t="shared" si="15"/>
        <v/>
      </c>
      <c r="K368" s="12" t="str">
        <f t="shared" si="16"/>
        <v/>
      </c>
      <c r="L368" s="12" t="e">
        <f t="shared" si="17"/>
        <v>#VALUE!</v>
      </c>
    </row>
    <row r="369" spans="1:12" ht="24" customHeight="1" x14ac:dyDescent="0.25">
      <c r="A369" s="9">
        <v>43169</v>
      </c>
      <c r="B369" s="10" t="s">
        <v>90</v>
      </c>
      <c r="C369" s="17">
        <v>5256</v>
      </c>
      <c r="D369" s="11" t="e">
        <f>+VLOOKUP(B369,#REF!,6,FALSE)</f>
        <v>#REF!</v>
      </c>
      <c r="E369" s="10">
        <f>8.8694/12</f>
        <v>0.73911666666666676</v>
      </c>
      <c r="F369" s="10"/>
      <c r="G369" s="10"/>
      <c r="H369" s="10"/>
      <c r="I369" s="11" t="e">
        <f>+VLOOKUP(B369,#REF!,7,FALSE)</f>
        <v>#REF!</v>
      </c>
      <c r="J369" s="12" t="str">
        <f t="shared" si="15"/>
        <v/>
      </c>
      <c r="K369" s="12" t="str">
        <f t="shared" si="16"/>
        <v/>
      </c>
      <c r="L369" s="12" t="e">
        <f t="shared" si="17"/>
        <v>#VALUE!</v>
      </c>
    </row>
    <row r="370" spans="1:12" ht="24" customHeight="1" x14ac:dyDescent="0.25">
      <c r="A370" s="9">
        <v>43169</v>
      </c>
      <c r="B370" s="10" t="s">
        <v>103</v>
      </c>
      <c r="C370" s="17">
        <v>3576</v>
      </c>
      <c r="D370" s="11" t="e">
        <f>+VLOOKUP(B370,#REF!,6,FALSE)/6</f>
        <v>#REF!</v>
      </c>
      <c r="E370" s="10">
        <f>11.4903/6</f>
        <v>1.9150499999999999</v>
      </c>
      <c r="F370" s="10"/>
      <c r="G370" s="10"/>
      <c r="H370" s="10"/>
      <c r="I370" s="11" t="e">
        <f>+VLOOKUP(B370,#REF!,7,FALSE)</f>
        <v>#REF!</v>
      </c>
      <c r="J370" s="12" t="str">
        <f t="shared" si="15"/>
        <v/>
      </c>
      <c r="K370" s="12" t="str">
        <f t="shared" si="16"/>
        <v/>
      </c>
      <c r="L370" s="12" t="e">
        <f t="shared" si="17"/>
        <v>#VALUE!</v>
      </c>
    </row>
    <row r="371" spans="1:12" ht="24" customHeight="1" x14ac:dyDescent="0.25">
      <c r="A371" s="9">
        <v>43169</v>
      </c>
      <c r="B371" s="10" t="s">
        <v>160</v>
      </c>
      <c r="C371" s="17">
        <v>6150</v>
      </c>
      <c r="D371" s="11" t="e">
        <f>+VLOOKUP(B371,#REF!,6,FALSE)/6</f>
        <v>#REF!</v>
      </c>
      <c r="E371" s="10">
        <f>12.847/6</f>
        <v>2.1411666666666664</v>
      </c>
      <c r="F371" s="10"/>
      <c r="G371" s="10"/>
      <c r="H371" s="10"/>
      <c r="I371" s="11" t="e">
        <f>+VLOOKUP(B371,#REF!,7,FALSE)</f>
        <v>#REF!</v>
      </c>
      <c r="J371" s="12" t="str">
        <f t="shared" si="15"/>
        <v/>
      </c>
      <c r="K371" s="12" t="str">
        <f t="shared" si="16"/>
        <v/>
      </c>
      <c r="L371" s="12" t="e">
        <f t="shared" si="17"/>
        <v>#VALUE!</v>
      </c>
    </row>
    <row r="372" spans="1:12" ht="24" customHeight="1" x14ac:dyDescent="0.25">
      <c r="A372" s="9">
        <v>43171</v>
      </c>
      <c r="B372" s="10" t="s">
        <v>90</v>
      </c>
      <c r="C372" s="17">
        <v>10680</v>
      </c>
      <c r="D372" s="11" t="e">
        <f>+VLOOKUP(B372,#REF!,6,FALSE)</f>
        <v>#REF!</v>
      </c>
      <c r="E372" s="10">
        <f>8.6843/12</f>
        <v>0.72369166666666673</v>
      </c>
      <c r="F372" s="10"/>
      <c r="G372" s="10"/>
      <c r="H372" s="10"/>
      <c r="I372" s="11" t="e">
        <f>+VLOOKUP(B372,#REF!,7,FALSE)</f>
        <v>#REF!</v>
      </c>
      <c r="J372" s="12" t="str">
        <f t="shared" si="15"/>
        <v/>
      </c>
      <c r="K372" s="12" t="str">
        <f t="shared" si="16"/>
        <v/>
      </c>
      <c r="L372" s="12" t="e">
        <f t="shared" si="17"/>
        <v>#VALUE!</v>
      </c>
    </row>
    <row r="373" spans="1:12" ht="24" customHeight="1" x14ac:dyDescent="0.25">
      <c r="A373" s="9">
        <v>43171</v>
      </c>
      <c r="B373" s="10" t="s">
        <v>106</v>
      </c>
      <c r="C373" s="17">
        <v>816</v>
      </c>
      <c r="D373" s="11" t="e">
        <f>+VLOOKUP(B373,#REF!,6,FALSE)</f>
        <v>#REF!</v>
      </c>
      <c r="E373" s="10">
        <f>0.5618</f>
        <v>0.56179999999999997</v>
      </c>
      <c r="F373" s="10"/>
      <c r="G373" s="10"/>
      <c r="H373" s="10"/>
      <c r="I373" s="11" t="e">
        <f>+VLOOKUP(B373,#REF!,7,FALSE)</f>
        <v>#REF!</v>
      </c>
      <c r="J373" s="12" t="str">
        <f t="shared" si="15"/>
        <v/>
      </c>
      <c r="K373" s="12" t="str">
        <f t="shared" si="16"/>
        <v/>
      </c>
      <c r="L373" s="12" t="e">
        <f t="shared" si="17"/>
        <v>#VALUE!</v>
      </c>
    </row>
    <row r="374" spans="1:12" ht="24" customHeight="1" x14ac:dyDescent="0.25">
      <c r="A374" s="9">
        <v>43171</v>
      </c>
      <c r="B374" s="10" t="s">
        <v>146</v>
      </c>
      <c r="C374" s="17">
        <v>2760</v>
      </c>
      <c r="D374" s="11" t="e">
        <f>+VLOOKUP(B374,#REF!,6,FALSE)</f>
        <v>#REF!</v>
      </c>
      <c r="E374" s="10">
        <f>7.1778/12</f>
        <v>0.59815000000000007</v>
      </c>
      <c r="F374" s="10"/>
      <c r="G374" s="10"/>
      <c r="H374" s="10"/>
      <c r="I374" s="11" t="e">
        <f>+VLOOKUP(B374,#REF!,7,FALSE)</f>
        <v>#REF!</v>
      </c>
      <c r="J374" s="12" t="str">
        <f t="shared" si="15"/>
        <v/>
      </c>
      <c r="K374" s="12" t="str">
        <f t="shared" si="16"/>
        <v/>
      </c>
      <c r="L374" s="12" t="e">
        <f t="shared" si="17"/>
        <v>#VALUE!</v>
      </c>
    </row>
    <row r="375" spans="1:12" ht="24" customHeight="1" x14ac:dyDescent="0.25">
      <c r="A375" s="9">
        <v>43171</v>
      </c>
      <c r="B375" s="10" t="s">
        <v>147</v>
      </c>
      <c r="C375" s="17">
        <v>9144</v>
      </c>
      <c r="D375" s="11" t="e">
        <f>+VLOOKUP(B375,#REF!,6,FALSE)</f>
        <v>#REF!</v>
      </c>
      <c r="E375" s="10">
        <f>18.9243/72</f>
        <v>0.2628375</v>
      </c>
      <c r="F375" s="10"/>
      <c r="G375" s="10"/>
      <c r="H375" s="10"/>
      <c r="I375" s="11" t="e">
        <f>+VLOOKUP(B375,#REF!,7,FALSE)</f>
        <v>#REF!</v>
      </c>
      <c r="J375" s="12" t="str">
        <f t="shared" si="15"/>
        <v/>
      </c>
      <c r="K375" s="12" t="str">
        <f t="shared" si="16"/>
        <v/>
      </c>
      <c r="L375" s="12" t="e">
        <f t="shared" si="17"/>
        <v>#VALUE!</v>
      </c>
    </row>
    <row r="376" spans="1:12" ht="24" customHeight="1" x14ac:dyDescent="0.25">
      <c r="A376" s="9">
        <v>43171</v>
      </c>
      <c r="B376" s="10" t="s">
        <v>148</v>
      </c>
      <c r="C376" s="17">
        <v>7788</v>
      </c>
      <c r="D376" s="11" t="e">
        <f>+VLOOKUP(B376,#REF!,6,FALSE)</f>
        <v>#REF!</v>
      </c>
      <c r="E376" s="10">
        <f>7.7598/12</f>
        <v>0.64665000000000006</v>
      </c>
      <c r="F376" s="10"/>
      <c r="G376" s="10"/>
      <c r="H376" s="10"/>
      <c r="I376" s="11" t="e">
        <f>+VLOOKUP(B376,#REF!,7,FALSE)</f>
        <v>#REF!</v>
      </c>
      <c r="J376" s="12" t="str">
        <f t="shared" si="15"/>
        <v/>
      </c>
      <c r="K376" s="12" t="str">
        <f t="shared" si="16"/>
        <v/>
      </c>
      <c r="L376" s="12" t="e">
        <f t="shared" si="17"/>
        <v>#VALUE!</v>
      </c>
    </row>
    <row r="377" spans="1:12" ht="24" customHeight="1" x14ac:dyDescent="0.25">
      <c r="A377" s="9">
        <v>43171</v>
      </c>
      <c r="B377" s="10" t="s">
        <v>149</v>
      </c>
      <c r="C377" s="17">
        <v>5832</v>
      </c>
      <c r="D377" s="11" t="e">
        <f>+VLOOKUP(B377,#REF!,6,FALSE)</f>
        <v>#REF!</v>
      </c>
      <c r="E377" s="10">
        <f>18.9791/72</f>
        <v>0.2635986111111111</v>
      </c>
      <c r="F377" s="10"/>
      <c r="G377" s="10"/>
      <c r="H377" s="10"/>
      <c r="I377" s="11" t="e">
        <f>+VLOOKUP(B377,#REF!,7,FALSE)</f>
        <v>#REF!</v>
      </c>
      <c r="J377" s="12" t="str">
        <f t="shared" si="15"/>
        <v/>
      </c>
      <c r="K377" s="12" t="str">
        <f t="shared" si="16"/>
        <v/>
      </c>
      <c r="L377" s="12" t="e">
        <f t="shared" si="17"/>
        <v>#VALUE!</v>
      </c>
    </row>
    <row r="378" spans="1:12" ht="24" customHeight="1" x14ac:dyDescent="0.25">
      <c r="A378" s="9">
        <v>43171</v>
      </c>
      <c r="B378" s="10" t="s">
        <v>165</v>
      </c>
      <c r="C378" s="17">
        <v>2976</v>
      </c>
      <c r="D378" s="11" t="e">
        <f>+VLOOKUP(B378,#REF!,6,FALSE)/12</f>
        <v>#REF!</v>
      </c>
      <c r="E378" s="10">
        <f>4.2785/12</f>
        <v>0.3565416666666667</v>
      </c>
      <c r="F378" s="10"/>
      <c r="G378" s="10"/>
      <c r="H378" s="10"/>
      <c r="I378" s="11" t="e">
        <f>+VLOOKUP(B378,#REF!,7,FALSE)</f>
        <v>#REF!</v>
      </c>
      <c r="J378" s="12" t="str">
        <f t="shared" si="15"/>
        <v/>
      </c>
      <c r="K378" s="12" t="str">
        <f t="shared" si="16"/>
        <v/>
      </c>
      <c r="L378" s="12" t="e">
        <f t="shared" si="17"/>
        <v>#VALUE!</v>
      </c>
    </row>
    <row r="379" spans="1:12" ht="24" customHeight="1" x14ac:dyDescent="0.25">
      <c r="A379" s="9">
        <v>43171</v>
      </c>
      <c r="B379" s="10" t="s">
        <v>442</v>
      </c>
      <c r="C379" s="17">
        <v>24474</v>
      </c>
      <c r="D379" s="11" t="e">
        <f>+VLOOKUP(B379,#REF!,6,FALSE)</f>
        <v>#REF!</v>
      </c>
      <c r="E379" s="10">
        <f>3.9283/6</f>
        <v>0.65471666666666672</v>
      </c>
      <c r="F379" s="10"/>
      <c r="G379" s="10"/>
      <c r="H379" s="10"/>
      <c r="I379" s="11" t="e">
        <f>+VLOOKUP(B379,#REF!,7,FALSE)</f>
        <v>#REF!</v>
      </c>
      <c r="J379" s="12" t="str">
        <f t="shared" si="15"/>
        <v/>
      </c>
      <c r="K379" s="12" t="str">
        <f t="shared" si="16"/>
        <v/>
      </c>
      <c r="L379" s="12" t="e">
        <f t="shared" si="17"/>
        <v>#VALUE!</v>
      </c>
    </row>
    <row r="380" spans="1:12" ht="24" customHeight="1" x14ac:dyDescent="0.25">
      <c r="A380" s="9">
        <v>43171</v>
      </c>
      <c r="B380" s="10" t="s">
        <v>456</v>
      </c>
      <c r="C380" s="17">
        <v>1596</v>
      </c>
      <c r="D380" s="11" t="e">
        <f>+VLOOKUP(B380,#REF!,6,FALSE)</f>
        <v>#REF!</v>
      </c>
      <c r="E380" s="10">
        <f>21.0056/6</f>
        <v>3.5009333333333337</v>
      </c>
      <c r="F380" s="10"/>
      <c r="G380" s="10"/>
      <c r="H380" s="10"/>
      <c r="I380" s="11" t="e">
        <f>+VLOOKUP(B380,#REF!,7,FALSE)</f>
        <v>#REF!</v>
      </c>
      <c r="J380" s="12" t="str">
        <f t="shared" si="15"/>
        <v/>
      </c>
      <c r="K380" s="12" t="str">
        <f t="shared" si="16"/>
        <v/>
      </c>
      <c r="L380" s="12" t="e">
        <f t="shared" si="17"/>
        <v>#VALUE!</v>
      </c>
    </row>
    <row r="381" spans="1:12" ht="24" customHeight="1" x14ac:dyDescent="0.25">
      <c r="A381" s="9">
        <v>43172</v>
      </c>
      <c r="B381" s="10" t="s">
        <v>152</v>
      </c>
      <c r="C381" s="17">
        <v>17148</v>
      </c>
      <c r="D381" s="11" t="e">
        <f>+VLOOKUP(B381,#REF!,6,FALSE)/12</f>
        <v>#REF!</v>
      </c>
      <c r="E381" s="10">
        <f>6.2525/12</f>
        <v>0.52104166666666674</v>
      </c>
      <c r="F381" s="10"/>
      <c r="G381" s="10"/>
      <c r="H381" s="10"/>
      <c r="I381" s="11" t="e">
        <f>+VLOOKUP(B381,#REF!,7,FALSE)</f>
        <v>#REF!</v>
      </c>
      <c r="J381" s="12" t="str">
        <f t="shared" si="15"/>
        <v/>
      </c>
      <c r="K381" s="12" t="str">
        <f t="shared" si="16"/>
        <v/>
      </c>
      <c r="L381" s="12" t="e">
        <f t="shared" si="17"/>
        <v>#VALUE!</v>
      </c>
    </row>
    <row r="382" spans="1:12" ht="24" customHeight="1" x14ac:dyDescent="0.25">
      <c r="A382" s="9">
        <v>43172</v>
      </c>
      <c r="B382" s="10" t="s">
        <v>161</v>
      </c>
      <c r="C382" s="17">
        <v>2238</v>
      </c>
      <c r="D382" s="11" t="e">
        <f>+VLOOKUP(B382,#REF!,6,FALSE)/6</f>
        <v>#REF!</v>
      </c>
      <c r="E382" s="10">
        <f>20.7539/6</f>
        <v>3.4589833333333337</v>
      </c>
      <c r="F382" s="10"/>
      <c r="G382" s="10"/>
      <c r="H382" s="10"/>
      <c r="I382" s="11" t="e">
        <f>+VLOOKUP(B382,#REF!,7,FALSE)</f>
        <v>#REF!</v>
      </c>
      <c r="J382" s="12" t="str">
        <f t="shared" si="15"/>
        <v/>
      </c>
      <c r="K382" s="12" t="str">
        <f t="shared" si="16"/>
        <v/>
      </c>
      <c r="L382" s="12" t="e">
        <f t="shared" si="17"/>
        <v>#VALUE!</v>
      </c>
    </row>
    <row r="383" spans="1:12" ht="24" customHeight="1" x14ac:dyDescent="0.25">
      <c r="A383" s="9">
        <v>43172</v>
      </c>
      <c r="B383" s="10" t="s">
        <v>162</v>
      </c>
      <c r="C383" s="17">
        <v>6096</v>
      </c>
      <c r="D383" s="11" t="e">
        <f>+VLOOKUP(B383,#REF!,6,FALSE)/12</f>
        <v>#REF!</v>
      </c>
      <c r="E383" s="10">
        <f>7.4567/12</f>
        <v>0.62139166666666668</v>
      </c>
      <c r="F383" s="10"/>
      <c r="G383" s="10"/>
      <c r="H383" s="10"/>
      <c r="I383" s="11" t="e">
        <f>+VLOOKUP(B383,#REF!,7,FALSE)</f>
        <v>#REF!</v>
      </c>
      <c r="J383" s="12" t="str">
        <f t="shared" si="15"/>
        <v/>
      </c>
      <c r="K383" s="12" t="str">
        <f t="shared" si="16"/>
        <v/>
      </c>
      <c r="L383" s="12" t="e">
        <f t="shared" si="17"/>
        <v>#VALUE!</v>
      </c>
    </row>
    <row r="384" spans="1:12" ht="24" customHeight="1" x14ac:dyDescent="0.25">
      <c r="A384" s="9">
        <v>43172</v>
      </c>
      <c r="B384" s="10" t="s">
        <v>173</v>
      </c>
      <c r="C384" s="17">
        <f>9072/16</f>
        <v>567</v>
      </c>
      <c r="D384" s="11" t="e">
        <f>+VLOOKUP(B384,#REF!,6,FALSE)</f>
        <v>#REF!</v>
      </c>
      <c r="E384" s="10">
        <v>6.8582999999999998</v>
      </c>
      <c r="F384" s="10"/>
      <c r="G384" s="10"/>
      <c r="H384" s="10"/>
      <c r="I384" s="11" t="e">
        <f>+VLOOKUP(B384,#REF!,7,FALSE)</f>
        <v>#REF!</v>
      </c>
      <c r="J384" s="12" t="str">
        <f t="shared" si="15"/>
        <v/>
      </c>
      <c r="K384" s="12" t="str">
        <f t="shared" si="16"/>
        <v/>
      </c>
      <c r="L384" s="12" t="e">
        <f t="shared" si="17"/>
        <v>#VALUE!</v>
      </c>
    </row>
    <row r="385" spans="1:12" ht="24" customHeight="1" x14ac:dyDescent="0.25">
      <c r="A385" s="9">
        <v>43172</v>
      </c>
      <c r="B385" s="10" t="s">
        <v>180</v>
      </c>
      <c r="C385" s="17">
        <v>1400</v>
      </c>
      <c r="D385" s="11" t="e">
        <f>+VLOOKUP(B385,#REF!,6,FALSE)/8</f>
        <v>#REF!</v>
      </c>
      <c r="E385" s="10">
        <f>7.4112/8</f>
        <v>0.9264</v>
      </c>
      <c r="F385" s="10"/>
      <c r="G385" s="10"/>
      <c r="H385" s="10"/>
      <c r="I385" s="11" t="e">
        <f>+VLOOKUP(B385,#REF!,7,FALSE)</f>
        <v>#REF!</v>
      </c>
      <c r="J385" s="12" t="str">
        <f t="shared" si="15"/>
        <v/>
      </c>
      <c r="K385" s="12" t="str">
        <f t="shared" si="16"/>
        <v/>
      </c>
      <c r="L385" s="12" t="e">
        <f t="shared" si="17"/>
        <v>#VALUE!</v>
      </c>
    </row>
    <row r="386" spans="1:12" ht="24" customHeight="1" x14ac:dyDescent="0.25">
      <c r="A386" s="9">
        <v>43172</v>
      </c>
      <c r="B386" s="10" t="s">
        <v>198</v>
      </c>
      <c r="C386" s="17">
        <v>12432</v>
      </c>
      <c r="D386" s="11" t="e">
        <f>+VLOOKUP(B386,#REF!,6,FALSE)/6</f>
        <v>#REF!</v>
      </c>
      <c r="E386" s="10">
        <f>0.8296</f>
        <v>0.8296</v>
      </c>
      <c r="F386" s="10"/>
      <c r="G386" s="10"/>
      <c r="H386" s="10"/>
      <c r="I386" s="11" t="e">
        <f>+VLOOKUP(B386,#REF!,7,FALSE)</f>
        <v>#REF!</v>
      </c>
      <c r="J386" s="12" t="str">
        <f t="shared" si="15"/>
        <v/>
      </c>
      <c r="K386" s="12" t="str">
        <f t="shared" si="16"/>
        <v/>
      </c>
      <c r="L386" s="12" t="e">
        <f t="shared" si="17"/>
        <v>#VALUE!</v>
      </c>
    </row>
    <row r="387" spans="1:12" ht="24" customHeight="1" x14ac:dyDescent="0.25">
      <c r="A387" s="9">
        <v>43172</v>
      </c>
      <c r="B387" s="10" t="s">
        <v>457</v>
      </c>
      <c r="C387" s="17">
        <v>1488</v>
      </c>
      <c r="D387" s="11" t="e">
        <f>+VLOOKUP(B387,#REF!,6,FALSE)</f>
        <v>#REF!</v>
      </c>
      <c r="E387" s="10">
        <f>20.8333/6</f>
        <v>3.4722166666666667</v>
      </c>
      <c r="F387" s="10"/>
      <c r="G387" s="10"/>
      <c r="H387" s="10"/>
      <c r="I387" s="11" t="e">
        <f>+VLOOKUP(B387,#REF!,7,FALSE)</f>
        <v>#REF!</v>
      </c>
      <c r="J387" s="12" t="str">
        <f t="shared" si="15"/>
        <v/>
      </c>
      <c r="K387" s="12" t="str">
        <f t="shared" si="16"/>
        <v/>
      </c>
      <c r="L387" s="12" t="e">
        <f t="shared" si="17"/>
        <v>#VALUE!</v>
      </c>
    </row>
    <row r="388" spans="1:12" ht="24" customHeight="1" x14ac:dyDescent="0.25">
      <c r="A388" s="9">
        <v>43172</v>
      </c>
      <c r="B388" s="10" t="s">
        <v>456</v>
      </c>
      <c r="C388" s="17">
        <v>96</v>
      </c>
      <c r="D388" s="11" t="e">
        <f>+VLOOKUP(B388,#REF!,6,FALSE)</f>
        <v>#REF!</v>
      </c>
      <c r="E388" s="10">
        <f>20.2019/6</f>
        <v>3.3669833333333332</v>
      </c>
      <c r="F388" s="10"/>
      <c r="G388" s="10"/>
      <c r="H388" s="10"/>
      <c r="I388" s="11" t="e">
        <f>+VLOOKUP(B388,#REF!,7,FALSE)</f>
        <v>#REF!</v>
      </c>
      <c r="J388" s="12" t="str">
        <f t="shared" ref="J388:J451" si="18">IFERROR((I388-(D388+F388))/I388,"")</f>
        <v/>
      </c>
      <c r="K388" s="12" t="str">
        <f t="shared" ref="K388:K451" si="19">IF(E388="","",IFERROR((I388-(E388+G388+H388))/I388,""))</f>
        <v/>
      </c>
      <c r="L388" s="12" t="e">
        <f t="shared" ref="L388:L451" si="20">J388-K388</f>
        <v>#VALUE!</v>
      </c>
    </row>
    <row r="389" spans="1:12" ht="24" customHeight="1" x14ac:dyDescent="0.25">
      <c r="A389" s="9">
        <v>43172</v>
      </c>
      <c r="B389" s="10" t="s">
        <v>462</v>
      </c>
      <c r="C389" s="17">
        <v>3264</v>
      </c>
      <c r="D389" s="11" t="e">
        <f>+VLOOKUP(B389,#REF!,6,FALSE)</f>
        <v>#REF!</v>
      </c>
      <c r="E389" s="10">
        <f>16.0601/8</f>
        <v>2.0075124999999998</v>
      </c>
      <c r="F389" s="10"/>
      <c r="G389" s="10"/>
      <c r="H389" s="10"/>
      <c r="I389" s="11" t="e">
        <f>+VLOOKUP(B389,#REF!,7,FALSE)</f>
        <v>#REF!</v>
      </c>
      <c r="J389" s="12" t="str">
        <f t="shared" si="18"/>
        <v/>
      </c>
      <c r="K389" s="12" t="str">
        <f t="shared" si="19"/>
        <v/>
      </c>
      <c r="L389" s="12" t="e">
        <f t="shared" si="20"/>
        <v>#VALUE!</v>
      </c>
    </row>
    <row r="390" spans="1:12" ht="24" customHeight="1" x14ac:dyDescent="0.25">
      <c r="A390" s="9">
        <v>43172</v>
      </c>
      <c r="B390" s="10" t="s">
        <v>464</v>
      </c>
      <c r="C390" s="17">
        <v>4656</v>
      </c>
      <c r="D390" s="11" t="e">
        <f>+VLOOKUP(B390,#REF!,6,FALSE)</f>
        <v>#REF!</v>
      </c>
      <c r="E390" s="10">
        <f>10.691/12</f>
        <v>0.89091666666666669</v>
      </c>
      <c r="F390" s="10"/>
      <c r="G390" s="10"/>
      <c r="H390" s="10"/>
      <c r="I390" s="11" t="e">
        <f>+VLOOKUP(B390,#REF!,7,FALSE)</f>
        <v>#REF!</v>
      </c>
      <c r="J390" s="12" t="str">
        <f t="shared" si="18"/>
        <v/>
      </c>
      <c r="K390" s="12" t="str">
        <f t="shared" si="19"/>
        <v/>
      </c>
      <c r="L390" s="12" t="e">
        <f t="shared" si="20"/>
        <v>#VALUE!</v>
      </c>
    </row>
    <row r="391" spans="1:12" ht="24" customHeight="1" x14ac:dyDescent="0.25">
      <c r="A391" s="9">
        <v>43173</v>
      </c>
      <c r="B391" s="10" t="s">
        <v>177</v>
      </c>
      <c r="C391" s="17">
        <v>11250</v>
      </c>
      <c r="D391" s="11" t="e">
        <f>+VLOOKUP(B391,#REF!,6,FALSE)/6</f>
        <v>#REF!</v>
      </c>
      <c r="E391" s="10">
        <f>6.1612/6</f>
        <v>1.0268666666666666</v>
      </c>
      <c r="F391" s="10"/>
      <c r="G391" s="10"/>
      <c r="H391" s="10"/>
      <c r="I391" s="11" t="e">
        <f>+VLOOKUP(B391,#REF!,7,FALSE)</f>
        <v>#REF!</v>
      </c>
      <c r="J391" s="12" t="str">
        <f t="shared" si="18"/>
        <v/>
      </c>
      <c r="K391" s="12" t="str">
        <f t="shared" si="19"/>
        <v/>
      </c>
      <c r="L391" s="12" t="e">
        <f t="shared" si="20"/>
        <v>#VALUE!</v>
      </c>
    </row>
    <row r="392" spans="1:12" ht="24" customHeight="1" x14ac:dyDescent="0.25">
      <c r="A392" s="9">
        <v>43173</v>
      </c>
      <c r="B392" s="10" t="s">
        <v>201</v>
      </c>
      <c r="C392" s="17">
        <v>9480</v>
      </c>
      <c r="D392" s="11" t="e">
        <f>+VLOOKUP(B392,#REF!,6,FALSE)</f>
        <v>#REF!</v>
      </c>
      <c r="E392" s="10">
        <v>2.3205</v>
      </c>
      <c r="F392" s="10"/>
      <c r="G392" s="10"/>
      <c r="H392" s="10"/>
      <c r="I392" s="11" t="e">
        <f>+VLOOKUP(B392,#REF!,7,FALSE)</f>
        <v>#REF!</v>
      </c>
      <c r="J392" s="12" t="str">
        <f t="shared" si="18"/>
        <v/>
      </c>
      <c r="K392" s="12" t="str">
        <f t="shared" si="19"/>
        <v/>
      </c>
      <c r="L392" s="12" t="e">
        <f t="shared" si="20"/>
        <v>#VALUE!</v>
      </c>
    </row>
    <row r="393" spans="1:12" ht="24" customHeight="1" x14ac:dyDescent="0.25">
      <c r="A393" s="9">
        <v>43173</v>
      </c>
      <c r="B393" s="10" t="s">
        <v>207</v>
      </c>
      <c r="C393" s="17">
        <v>15368</v>
      </c>
      <c r="D393" s="11" t="e">
        <f>+VLOOKUP(B393,#REF!,6,FALSE)/8</f>
        <v>#REF!</v>
      </c>
      <c r="E393" s="10">
        <f>6.4267/8</f>
        <v>0.80333750000000004</v>
      </c>
      <c r="F393" s="10"/>
      <c r="G393" s="10"/>
      <c r="H393" s="10"/>
      <c r="I393" s="11" t="e">
        <f>+VLOOKUP(B393,#REF!,7,FALSE)</f>
        <v>#REF!</v>
      </c>
      <c r="J393" s="12" t="str">
        <f t="shared" si="18"/>
        <v/>
      </c>
      <c r="K393" s="12" t="str">
        <f t="shared" si="19"/>
        <v/>
      </c>
      <c r="L393" s="12" t="e">
        <f t="shared" si="20"/>
        <v>#VALUE!</v>
      </c>
    </row>
    <row r="394" spans="1:12" ht="24" customHeight="1" x14ac:dyDescent="0.25">
      <c r="A394" s="9">
        <v>43173</v>
      </c>
      <c r="B394" s="10" t="s">
        <v>430</v>
      </c>
      <c r="C394" s="17">
        <v>3588</v>
      </c>
      <c r="D394" s="11" t="e">
        <f>+VLOOKUP(B394,#REF!,6,FALSE)</f>
        <v>#REF!</v>
      </c>
      <c r="E394" s="10">
        <f>20.4187/6</f>
        <v>3.403116666666667</v>
      </c>
      <c r="F394" s="10"/>
      <c r="G394" s="10"/>
      <c r="H394" s="10"/>
      <c r="I394" s="11" t="e">
        <f>+VLOOKUP(B394,#REF!,7,FALSE)</f>
        <v>#REF!</v>
      </c>
      <c r="J394" s="12" t="str">
        <f t="shared" si="18"/>
        <v/>
      </c>
      <c r="K394" s="12" t="str">
        <f t="shared" si="19"/>
        <v/>
      </c>
      <c r="L394" s="12" t="e">
        <f t="shared" si="20"/>
        <v>#VALUE!</v>
      </c>
    </row>
    <row r="395" spans="1:12" ht="24" customHeight="1" x14ac:dyDescent="0.25">
      <c r="A395" s="9">
        <v>43174</v>
      </c>
      <c r="B395" s="10" t="s">
        <v>13</v>
      </c>
      <c r="C395" s="17">
        <v>792</v>
      </c>
      <c r="D395" s="11" t="e">
        <f>+VLOOKUP(B395,#REF!,6,FALSE)</f>
        <v>#REF!</v>
      </c>
      <c r="E395" s="10">
        <v>3.7050000000000001</v>
      </c>
      <c r="F395" s="10"/>
      <c r="G395" s="10"/>
      <c r="H395" s="10"/>
      <c r="I395" s="11" t="e">
        <f>+VLOOKUP(B395,#REF!,7,FALSE)</f>
        <v>#REF!</v>
      </c>
      <c r="J395" s="12" t="str">
        <f t="shared" si="18"/>
        <v/>
      </c>
      <c r="K395" s="12" t="str">
        <f t="shared" si="19"/>
        <v/>
      </c>
      <c r="L395" s="12" t="e">
        <f t="shared" si="20"/>
        <v>#VALUE!</v>
      </c>
    </row>
    <row r="396" spans="1:12" ht="24" customHeight="1" x14ac:dyDescent="0.25">
      <c r="A396" s="9">
        <v>43174</v>
      </c>
      <c r="B396" s="10" t="s">
        <v>28</v>
      </c>
      <c r="C396" s="17">
        <v>984</v>
      </c>
      <c r="D396" s="11" t="e">
        <f>+VLOOKUP(B396,#REF!,6,FALSE)</f>
        <v>#REF!</v>
      </c>
      <c r="E396" s="10">
        <v>2.8994</v>
      </c>
      <c r="F396" s="10"/>
      <c r="G396" s="10"/>
      <c r="H396" s="10"/>
      <c r="I396" s="11" t="e">
        <f>+VLOOKUP(B396,#REF!,7,FALSE)</f>
        <v>#REF!</v>
      </c>
      <c r="J396" s="12" t="str">
        <f t="shared" si="18"/>
        <v/>
      </c>
      <c r="K396" s="12" t="str">
        <f t="shared" si="19"/>
        <v/>
      </c>
      <c r="L396" s="12" t="e">
        <f t="shared" si="20"/>
        <v>#VALUE!</v>
      </c>
    </row>
    <row r="397" spans="1:12" ht="24" customHeight="1" x14ac:dyDescent="0.25">
      <c r="A397" s="9">
        <v>43174</v>
      </c>
      <c r="B397" s="10" t="s">
        <v>31</v>
      </c>
      <c r="C397" s="17">
        <v>416</v>
      </c>
      <c r="D397" s="11" t="e">
        <f>+VLOOKUP(B397,#REF!,6,FALSE)</f>
        <v>#REF!</v>
      </c>
      <c r="E397" s="10">
        <v>3.1469999999999998</v>
      </c>
      <c r="F397" s="10"/>
      <c r="G397" s="10"/>
      <c r="H397" s="10"/>
      <c r="I397" s="11" t="e">
        <f>+VLOOKUP(B397,#REF!,7,FALSE)</f>
        <v>#REF!</v>
      </c>
      <c r="J397" s="12" t="str">
        <f t="shared" si="18"/>
        <v/>
      </c>
      <c r="K397" s="12" t="str">
        <f t="shared" si="19"/>
        <v/>
      </c>
      <c r="L397" s="12" t="e">
        <f t="shared" si="20"/>
        <v>#VALUE!</v>
      </c>
    </row>
    <row r="398" spans="1:12" ht="24" customHeight="1" x14ac:dyDescent="0.25">
      <c r="A398" s="9">
        <v>43174</v>
      </c>
      <c r="B398" s="10" t="s">
        <v>86</v>
      </c>
      <c r="C398" s="17">
        <v>1878</v>
      </c>
      <c r="D398" s="11" t="e">
        <f>+VLOOKUP(B398,#REF!,6,FALSE)</f>
        <v>#REF!</v>
      </c>
      <c r="E398" s="10">
        <v>3.1472000000000002</v>
      </c>
      <c r="F398" s="10"/>
      <c r="G398" s="10"/>
      <c r="H398" s="10"/>
      <c r="I398" s="11" t="e">
        <f>+VLOOKUP(B398,#REF!,7,FALSE)</f>
        <v>#REF!</v>
      </c>
      <c r="J398" s="12" t="str">
        <f t="shared" si="18"/>
        <v/>
      </c>
      <c r="K398" s="12" t="str">
        <f t="shared" si="19"/>
        <v/>
      </c>
      <c r="L398" s="12" t="e">
        <f t="shared" si="20"/>
        <v>#VALUE!</v>
      </c>
    </row>
    <row r="399" spans="1:12" ht="24" customHeight="1" x14ac:dyDescent="0.25">
      <c r="A399" s="9">
        <v>43174</v>
      </c>
      <c r="B399" s="10" t="s">
        <v>131</v>
      </c>
      <c r="C399" s="17">
        <v>779</v>
      </c>
      <c r="D399" s="11" t="e">
        <f>+VLOOKUP(B399,#REF!,6,FALSE)</f>
        <v>#REF!</v>
      </c>
      <c r="E399" s="10">
        <v>16.801500000000001</v>
      </c>
      <c r="F399" s="10"/>
      <c r="G399" s="10"/>
      <c r="H399" s="10"/>
      <c r="I399" s="11" t="e">
        <f>+VLOOKUP(B399,#REF!,7,FALSE)</f>
        <v>#REF!</v>
      </c>
      <c r="J399" s="12" t="str">
        <f t="shared" si="18"/>
        <v/>
      </c>
      <c r="K399" s="12" t="str">
        <f t="shared" si="19"/>
        <v/>
      </c>
      <c r="L399" s="12" t="e">
        <f t="shared" si="20"/>
        <v>#VALUE!</v>
      </c>
    </row>
    <row r="400" spans="1:12" ht="24" customHeight="1" x14ac:dyDescent="0.25">
      <c r="A400" s="9">
        <v>43174</v>
      </c>
      <c r="B400" s="10" t="s">
        <v>153</v>
      </c>
      <c r="C400" s="17">
        <v>5868</v>
      </c>
      <c r="D400" s="11" t="e">
        <f>+VLOOKUP(B400,#REF!,6,FALSE)/12</f>
        <v>#REF!</v>
      </c>
      <c r="E400" s="10">
        <f>6.4275/12</f>
        <v>0.53562500000000002</v>
      </c>
      <c r="F400" s="10"/>
      <c r="G400" s="10"/>
      <c r="H400" s="10"/>
      <c r="I400" s="11" t="e">
        <f>+VLOOKUP(B400,#REF!,7,FALSE)</f>
        <v>#REF!</v>
      </c>
      <c r="J400" s="12" t="str">
        <f t="shared" si="18"/>
        <v/>
      </c>
      <c r="K400" s="12" t="str">
        <f t="shared" si="19"/>
        <v/>
      </c>
      <c r="L400" s="12" t="e">
        <f t="shared" si="20"/>
        <v>#VALUE!</v>
      </c>
    </row>
    <row r="401" spans="1:12" ht="24" customHeight="1" x14ac:dyDescent="0.25">
      <c r="A401" s="9">
        <v>43174</v>
      </c>
      <c r="B401" s="10" t="s">
        <v>177</v>
      </c>
      <c r="C401" s="17">
        <v>3630</v>
      </c>
      <c r="D401" s="11" t="e">
        <f>+VLOOKUP(B401,#REF!,6,FALSE)/6</f>
        <v>#REF!</v>
      </c>
      <c r="E401" s="10">
        <f>5.8675/6</f>
        <v>0.97791666666666666</v>
      </c>
      <c r="F401" s="10"/>
      <c r="G401" s="10"/>
      <c r="H401" s="10"/>
      <c r="I401" s="11" t="e">
        <f>+VLOOKUP(B401,#REF!,7,FALSE)</f>
        <v>#REF!</v>
      </c>
      <c r="J401" s="12" t="str">
        <f t="shared" si="18"/>
        <v/>
      </c>
      <c r="K401" s="12" t="str">
        <f t="shared" si="19"/>
        <v/>
      </c>
      <c r="L401" s="12" t="e">
        <f t="shared" si="20"/>
        <v>#VALUE!</v>
      </c>
    </row>
    <row r="402" spans="1:12" ht="24" customHeight="1" x14ac:dyDescent="0.25">
      <c r="A402" s="9">
        <v>43174</v>
      </c>
      <c r="B402" s="10" t="s">
        <v>202</v>
      </c>
      <c r="C402" s="17">
        <v>318</v>
      </c>
      <c r="D402" s="11" t="e">
        <f>+VLOOKUP(B402,#REF!,6,FALSE)</f>
        <v>#REF!</v>
      </c>
      <c r="E402" s="10">
        <v>17.089600000000001</v>
      </c>
      <c r="F402" s="10"/>
      <c r="G402" s="10"/>
      <c r="H402" s="10"/>
      <c r="I402" s="11" t="e">
        <f>+VLOOKUP(B402,#REF!,7,FALSE)</f>
        <v>#REF!</v>
      </c>
      <c r="J402" s="12" t="str">
        <f t="shared" si="18"/>
        <v/>
      </c>
      <c r="K402" s="12" t="str">
        <f t="shared" si="19"/>
        <v/>
      </c>
      <c r="L402" s="12" t="e">
        <f t="shared" si="20"/>
        <v>#VALUE!</v>
      </c>
    </row>
    <row r="403" spans="1:12" ht="24" customHeight="1" x14ac:dyDescent="0.25">
      <c r="A403" s="9">
        <v>43174</v>
      </c>
      <c r="B403" s="10" t="s">
        <v>203</v>
      </c>
      <c r="C403" s="17">
        <v>167</v>
      </c>
      <c r="D403" s="11" t="e">
        <f>+VLOOKUP(B403,#REF!,6,FALSE)</f>
        <v>#REF!</v>
      </c>
      <c r="E403" s="10">
        <v>18.017600000000002</v>
      </c>
      <c r="F403" s="10"/>
      <c r="G403" s="10"/>
      <c r="H403" s="10"/>
      <c r="I403" s="11" t="e">
        <f>+VLOOKUP(B403,#REF!,7,FALSE)</f>
        <v>#REF!</v>
      </c>
      <c r="J403" s="12" t="str">
        <f t="shared" si="18"/>
        <v/>
      </c>
      <c r="K403" s="12" t="str">
        <f t="shared" si="19"/>
        <v/>
      </c>
      <c r="L403" s="12" t="e">
        <f t="shared" si="20"/>
        <v>#VALUE!</v>
      </c>
    </row>
    <row r="404" spans="1:12" ht="24" customHeight="1" x14ac:dyDescent="0.25">
      <c r="A404" s="9">
        <v>43174</v>
      </c>
      <c r="B404" s="10" t="s">
        <v>465</v>
      </c>
      <c r="C404" s="17">
        <v>1032</v>
      </c>
      <c r="D404" s="11" t="e">
        <f>+VLOOKUP(B404,#REF!,6,FALSE)</f>
        <v>#REF!</v>
      </c>
      <c r="E404" s="10">
        <v>2.3199000000000001</v>
      </c>
      <c r="F404" s="10"/>
      <c r="G404" s="10"/>
      <c r="H404" s="10"/>
      <c r="I404" s="11" t="e">
        <f>+VLOOKUP(B404,#REF!,7,FALSE)</f>
        <v>#REF!</v>
      </c>
      <c r="J404" s="12" t="str">
        <f t="shared" si="18"/>
        <v/>
      </c>
      <c r="K404" s="12" t="str">
        <f t="shared" si="19"/>
        <v/>
      </c>
      <c r="L404" s="12" t="e">
        <f t="shared" si="20"/>
        <v>#VALUE!</v>
      </c>
    </row>
    <row r="405" spans="1:12" ht="24" customHeight="1" x14ac:dyDescent="0.25">
      <c r="A405" s="9">
        <v>43174</v>
      </c>
      <c r="B405" s="10" t="s">
        <v>466</v>
      </c>
      <c r="C405" s="17">
        <v>978</v>
      </c>
      <c r="D405" s="11" t="e">
        <f>+VLOOKUP(B405,#REF!,6,FALSE)</f>
        <v>#REF!</v>
      </c>
      <c r="E405" s="10">
        <v>2.1038999999999999</v>
      </c>
      <c r="F405" s="10"/>
      <c r="G405" s="10"/>
      <c r="H405" s="10"/>
      <c r="I405" s="11" t="e">
        <f>+VLOOKUP(B405,#REF!,7,FALSE)</f>
        <v>#REF!</v>
      </c>
      <c r="J405" s="12" t="str">
        <f t="shared" si="18"/>
        <v/>
      </c>
      <c r="K405" s="12" t="str">
        <f t="shared" si="19"/>
        <v/>
      </c>
      <c r="L405" s="12" t="e">
        <f t="shared" si="20"/>
        <v>#VALUE!</v>
      </c>
    </row>
    <row r="406" spans="1:12" ht="24" customHeight="1" x14ac:dyDescent="0.25">
      <c r="A406" s="9">
        <v>43174</v>
      </c>
      <c r="B406" s="10" t="s">
        <v>467</v>
      </c>
      <c r="C406" s="17">
        <v>522</v>
      </c>
      <c r="D406" s="11" t="e">
        <f>+VLOOKUP(B406,#REF!,6,FALSE)</f>
        <v>#REF!</v>
      </c>
      <c r="E406" s="10">
        <v>2.2930000000000001</v>
      </c>
      <c r="F406" s="10"/>
      <c r="G406" s="10"/>
      <c r="H406" s="10"/>
      <c r="I406" s="11" t="e">
        <f>+VLOOKUP(B406,#REF!,7,FALSE)</f>
        <v>#REF!</v>
      </c>
      <c r="J406" s="12" t="str">
        <f t="shared" si="18"/>
        <v/>
      </c>
      <c r="K406" s="12" t="str">
        <f t="shared" si="19"/>
        <v/>
      </c>
      <c r="L406" s="12" t="e">
        <f t="shared" si="20"/>
        <v>#VALUE!</v>
      </c>
    </row>
    <row r="407" spans="1:12" ht="24" customHeight="1" x14ac:dyDescent="0.25">
      <c r="A407" s="9">
        <v>43174</v>
      </c>
      <c r="B407" s="10" t="s">
        <v>468</v>
      </c>
      <c r="C407" s="17">
        <v>750</v>
      </c>
      <c r="D407" s="11" t="e">
        <f>+VLOOKUP(B407,#REF!,6,FALSE)</f>
        <v>#REF!</v>
      </c>
      <c r="E407" s="10">
        <v>2.2890000000000001</v>
      </c>
      <c r="F407" s="10"/>
      <c r="G407" s="10"/>
      <c r="H407" s="10"/>
      <c r="I407" s="11" t="e">
        <f>+VLOOKUP(B407,#REF!,7,FALSE)</f>
        <v>#REF!</v>
      </c>
      <c r="J407" s="12" t="str">
        <f t="shared" si="18"/>
        <v/>
      </c>
      <c r="K407" s="12" t="str">
        <f t="shared" si="19"/>
        <v/>
      </c>
      <c r="L407" s="12" t="e">
        <f t="shared" si="20"/>
        <v>#VALUE!</v>
      </c>
    </row>
    <row r="408" spans="1:12" ht="24" customHeight="1" x14ac:dyDescent="0.25">
      <c r="A408" s="9">
        <v>43174</v>
      </c>
      <c r="B408" s="10" t="s">
        <v>469</v>
      </c>
      <c r="C408" s="17">
        <v>1026</v>
      </c>
      <c r="D408" s="11" t="e">
        <f>+VLOOKUP(B408,#REF!,6,FALSE)</f>
        <v>#REF!</v>
      </c>
      <c r="E408" s="10">
        <v>2.1692</v>
      </c>
      <c r="F408" s="10"/>
      <c r="G408" s="10"/>
      <c r="H408" s="10"/>
      <c r="I408" s="11" t="e">
        <f>+VLOOKUP(B408,#REF!,7,FALSE)</f>
        <v>#REF!</v>
      </c>
      <c r="J408" s="12" t="str">
        <f t="shared" si="18"/>
        <v/>
      </c>
      <c r="K408" s="12" t="str">
        <f t="shared" si="19"/>
        <v/>
      </c>
      <c r="L408" s="12" t="e">
        <f t="shared" si="20"/>
        <v>#VALUE!</v>
      </c>
    </row>
    <row r="409" spans="1:12" ht="24" customHeight="1" x14ac:dyDescent="0.25">
      <c r="A409" s="9">
        <v>43175</v>
      </c>
      <c r="B409" s="10" t="s">
        <v>93</v>
      </c>
      <c r="C409" s="17">
        <v>895</v>
      </c>
      <c r="D409" s="11" t="e">
        <f>+VLOOKUP(B409,#REF!,6,FALSE)</f>
        <v>#REF!</v>
      </c>
      <c r="E409" s="10">
        <v>18.0458</v>
      </c>
      <c r="F409" s="10"/>
      <c r="G409" s="10"/>
      <c r="H409" s="10"/>
      <c r="I409" s="11" t="e">
        <f>+VLOOKUP(B409,#REF!,7,FALSE)</f>
        <v>#REF!</v>
      </c>
      <c r="J409" s="12" t="str">
        <f t="shared" si="18"/>
        <v/>
      </c>
      <c r="K409" s="12" t="str">
        <f t="shared" si="19"/>
        <v/>
      </c>
      <c r="L409" s="12" t="e">
        <f t="shared" si="20"/>
        <v>#VALUE!</v>
      </c>
    </row>
    <row r="410" spans="1:12" ht="24" customHeight="1" x14ac:dyDescent="0.25">
      <c r="A410" s="9">
        <v>43175</v>
      </c>
      <c r="B410" s="10" t="s">
        <v>102</v>
      </c>
      <c r="C410" s="17">
        <v>3972</v>
      </c>
      <c r="D410" s="11" t="e">
        <f>+VLOOKUP(B410,#REF!,6,FALSE)</f>
        <v>#REF!</v>
      </c>
      <c r="E410" s="10">
        <v>2.0588000000000002</v>
      </c>
      <c r="F410" s="10"/>
      <c r="G410" s="10"/>
      <c r="H410" s="10"/>
      <c r="I410" s="11" t="e">
        <f>+VLOOKUP(B410,#REF!,7,FALSE)</f>
        <v>#REF!</v>
      </c>
      <c r="J410" s="12" t="str">
        <f t="shared" si="18"/>
        <v/>
      </c>
      <c r="K410" s="12" t="str">
        <f t="shared" si="19"/>
        <v/>
      </c>
      <c r="L410" s="12" t="e">
        <f t="shared" si="20"/>
        <v>#VALUE!</v>
      </c>
    </row>
    <row r="411" spans="1:12" ht="24" customHeight="1" x14ac:dyDescent="0.25">
      <c r="A411" s="9">
        <v>43175</v>
      </c>
      <c r="B411" s="10" t="s">
        <v>114</v>
      </c>
      <c r="C411" s="17">
        <v>3888</v>
      </c>
      <c r="D411" s="11" t="e">
        <f>+VLOOKUP(B411,#REF!,6,FALSE)</f>
        <v>#REF!</v>
      </c>
      <c r="E411" s="10">
        <v>1.9349000000000001</v>
      </c>
      <c r="F411" s="10"/>
      <c r="G411" s="10"/>
      <c r="H411" s="10"/>
      <c r="I411" s="11" t="e">
        <f>+VLOOKUP(B411,#REF!,7,FALSE)</f>
        <v>#REF!</v>
      </c>
      <c r="J411" s="12" t="str">
        <f t="shared" si="18"/>
        <v/>
      </c>
      <c r="K411" s="12" t="str">
        <f t="shared" si="19"/>
        <v/>
      </c>
      <c r="L411" s="12" t="e">
        <f t="shared" si="20"/>
        <v>#VALUE!</v>
      </c>
    </row>
    <row r="412" spans="1:12" ht="24" customHeight="1" x14ac:dyDescent="0.25">
      <c r="A412" s="9">
        <v>43175</v>
      </c>
      <c r="B412" s="10" t="s">
        <v>138</v>
      </c>
      <c r="C412" s="17">
        <v>16032</v>
      </c>
      <c r="D412" s="11" t="e">
        <f>+VLOOKUP(B412,#REF!,6,FALSE)</f>
        <v>#REF!</v>
      </c>
      <c r="E412" s="10">
        <f>10.9167/12</f>
        <v>0.90972500000000001</v>
      </c>
      <c r="F412" s="10"/>
      <c r="G412" s="10"/>
      <c r="H412" s="10"/>
      <c r="I412" s="11" t="e">
        <f>+VLOOKUP(B412,#REF!,7,FALSE)</f>
        <v>#REF!</v>
      </c>
      <c r="J412" s="12" t="str">
        <f t="shared" si="18"/>
        <v/>
      </c>
      <c r="K412" s="12" t="str">
        <f t="shared" si="19"/>
        <v/>
      </c>
      <c r="L412" s="12" t="e">
        <f t="shared" si="20"/>
        <v>#VALUE!</v>
      </c>
    </row>
    <row r="413" spans="1:12" ht="24" customHeight="1" x14ac:dyDescent="0.25">
      <c r="A413" s="9">
        <v>43175</v>
      </c>
      <c r="B413" s="10" t="s">
        <v>193</v>
      </c>
      <c r="C413" s="17">
        <v>115</v>
      </c>
      <c r="D413" s="11" t="e">
        <f>+VLOOKUP(B413,#REF!,6,FALSE)</f>
        <v>#REF!</v>
      </c>
      <c r="E413" s="10">
        <v>7.9657999999999998</v>
      </c>
      <c r="F413" s="10"/>
      <c r="G413" s="10"/>
      <c r="H413" s="10"/>
      <c r="I413" s="11" t="e">
        <f>+VLOOKUP(B413,#REF!,7,FALSE)</f>
        <v>#REF!</v>
      </c>
      <c r="J413" s="12" t="str">
        <f t="shared" si="18"/>
        <v/>
      </c>
      <c r="K413" s="12" t="str">
        <f t="shared" si="19"/>
        <v/>
      </c>
      <c r="L413" s="12" t="e">
        <f t="shared" si="20"/>
        <v>#VALUE!</v>
      </c>
    </row>
    <row r="414" spans="1:12" ht="24" customHeight="1" x14ac:dyDescent="0.25">
      <c r="A414" s="9">
        <v>43175</v>
      </c>
      <c r="B414" s="10" t="s">
        <v>441</v>
      </c>
      <c r="C414" s="17">
        <v>8388</v>
      </c>
      <c r="D414" s="11" t="e">
        <f>+VLOOKUP(B414,#REF!,6,FALSE)</f>
        <v>#REF!</v>
      </c>
      <c r="E414" s="10">
        <v>0.51090000000000002</v>
      </c>
      <c r="F414" s="10"/>
      <c r="G414" s="10"/>
      <c r="H414" s="10"/>
      <c r="I414" s="11" t="e">
        <f>+VLOOKUP(B414,#REF!,7,FALSE)</f>
        <v>#REF!</v>
      </c>
      <c r="J414" s="12" t="str">
        <f t="shared" si="18"/>
        <v/>
      </c>
      <c r="K414" s="12" t="str">
        <f t="shared" si="19"/>
        <v/>
      </c>
      <c r="L414" s="12" t="e">
        <f t="shared" si="20"/>
        <v>#VALUE!</v>
      </c>
    </row>
    <row r="415" spans="1:12" ht="24" customHeight="1" x14ac:dyDescent="0.25">
      <c r="A415" s="9">
        <v>43175</v>
      </c>
      <c r="B415" s="10" t="s">
        <v>430</v>
      </c>
      <c r="C415" s="17">
        <v>5520</v>
      </c>
      <c r="D415" s="11" t="e">
        <f>+VLOOKUP(B415,#REF!,6,FALSE)</f>
        <v>#REF!</v>
      </c>
      <c r="E415" s="10">
        <v>3.2684000000000002</v>
      </c>
      <c r="F415" s="10"/>
      <c r="G415" s="10"/>
      <c r="H415" s="10"/>
      <c r="I415" s="11" t="e">
        <f>+VLOOKUP(B415,#REF!,7,FALSE)</f>
        <v>#REF!</v>
      </c>
      <c r="J415" s="12" t="str">
        <f t="shared" si="18"/>
        <v/>
      </c>
      <c r="K415" s="12" t="str">
        <f t="shared" si="19"/>
        <v/>
      </c>
      <c r="L415" s="12" t="e">
        <f t="shared" si="20"/>
        <v>#VALUE!</v>
      </c>
    </row>
    <row r="416" spans="1:12" ht="24" customHeight="1" x14ac:dyDescent="0.25">
      <c r="A416" s="9">
        <v>43175</v>
      </c>
      <c r="B416" s="10" t="s">
        <v>223</v>
      </c>
      <c r="C416" s="17">
        <v>714</v>
      </c>
      <c r="D416" s="11" t="e">
        <f>+VLOOKUP(B416,#REF!,6,FALSE)/8</f>
        <v>#REF!</v>
      </c>
      <c r="E416" s="10">
        <f>23.6654/8</f>
        <v>2.9581750000000002</v>
      </c>
      <c r="F416" s="10"/>
      <c r="G416" s="10"/>
      <c r="H416" s="10"/>
      <c r="I416" s="11" t="e">
        <f>+VLOOKUP(B416,#REF!,7,FALSE)</f>
        <v>#REF!</v>
      </c>
      <c r="J416" s="12" t="str">
        <f t="shared" si="18"/>
        <v/>
      </c>
      <c r="K416" s="12" t="str">
        <f t="shared" si="19"/>
        <v/>
      </c>
      <c r="L416" s="12" t="e">
        <f t="shared" si="20"/>
        <v>#VALUE!</v>
      </c>
    </row>
    <row r="417" spans="1:12" ht="24" customHeight="1" x14ac:dyDescent="0.25">
      <c r="A417" s="9">
        <v>43176</v>
      </c>
      <c r="B417" s="10" t="s">
        <v>90</v>
      </c>
      <c r="C417" s="17">
        <v>6528</v>
      </c>
      <c r="D417" s="11" t="e">
        <f>+VLOOKUP(B417,#REF!,6,FALSE)</f>
        <v>#REF!</v>
      </c>
      <c r="E417" s="10">
        <f>5.2264/12</f>
        <v>0.43553333333333333</v>
      </c>
      <c r="F417" s="10"/>
      <c r="G417" s="10"/>
      <c r="H417" s="10"/>
      <c r="I417" s="11" t="e">
        <f>+VLOOKUP(B417,#REF!,7,FALSE)</f>
        <v>#REF!</v>
      </c>
      <c r="J417" s="12" t="str">
        <f t="shared" si="18"/>
        <v/>
      </c>
      <c r="K417" s="12" t="str">
        <f t="shared" si="19"/>
        <v/>
      </c>
      <c r="L417" s="12" t="e">
        <f t="shared" si="20"/>
        <v>#VALUE!</v>
      </c>
    </row>
    <row r="418" spans="1:12" ht="24" customHeight="1" x14ac:dyDescent="0.25">
      <c r="A418" s="9">
        <v>43176</v>
      </c>
      <c r="B418" s="10" t="s">
        <v>379</v>
      </c>
      <c r="C418" s="17">
        <v>1872</v>
      </c>
      <c r="D418" s="11" t="e">
        <f>+VLOOKUP(B418,#REF!,6,FALSE)/6</f>
        <v>#REF!</v>
      </c>
      <c r="E418" s="10">
        <v>1.8360000000000001</v>
      </c>
      <c r="F418" s="10"/>
      <c r="G418" s="10"/>
      <c r="H418" s="10"/>
      <c r="I418" s="11" t="e">
        <f>+VLOOKUP(B418,#REF!,7,FALSE)</f>
        <v>#REF!</v>
      </c>
      <c r="J418" s="12" t="str">
        <f t="shared" si="18"/>
        <v/>
      </c>
      <c r="K418" s="12" t="str">
        <f t="shared" si="19"/>
        <v/>
      </c>
      <c r="L418" s="12" t="e">
        <f t="shared" si="20"/>
        <v>#VALUE!</v>
      </c>
    </row>
    <row r="419" spans="1:12" ht="24" customHeight="1" x14ac:dyDescent="0.25">
      <c r="A419" s="9">
        <v>43176</v>
      </c>
      <c r="B419" s="10" t="s">
        <v>208</v>
      </c>
      <c r="C419" s="17">
        <v>1650</v>
      </c>
      <c r="D419" s="11" t="e">
        <f>+VLOOKUP(B419,#REF!,6,FALSE)/6</f>
        <v>#REF!</v>
      </c>
      <c r="E419" s="10">
        <v>1.6426000000000001</v>
      </c>
      <c r="F419" s="10"/>
      <c r="G419" s="10"/>
      <c r="H419" s="10"/>
      <c r="I419" s="11" t="e">
        <f>+VLOOKUP(B419,#REF!,7,FALSE)</f>
        <v>#REF!</v>
      </c>
      <c r="J419" s="12" t="str">
        <f t="shared" si="18"/>
        <v/>
      </c>
      <c r="K419" s="12" t="str">
        <f t="shared" si="19"/>
        <v/>
      </c>
      <c r="L419" s="12" t="e">
        <f t="shared" si="20"/>
        <v>#VALUE!</v>
      </c>
    </row>
    <row r="420" spans="1:12" ht="24" customHeight="1" x14ac:dyDescent="0.25">
      <c r="A420" s="9">
        <v>43178</v>
      </c>
      <c r="B420" s="10" t="s">
        <v>45</v>
      </c>
      <c r="C420" s="17">
        <v>28</v>
      </c>
      <c r="D420" s="11" t="e">
        <f>+VLOOKUP(B420,#REF!,6,FALSE)</f>
        <v>#REF!</v>
      </c>
      <c r="E420" s="10">
        <v>25.472300000000001</v>
      </c>
      <c r="F420" s="10"/>
      <c r="G420" s="10"/>
      <c r="H420" s="10"/>
      <c r="I420" s="11" t="e">
        <f>+VLOOKUP(B420,#REF!,7,FALSE)</f>
        <v>#REF!</v>
      </c>
      <c r="J420" s="12" t="str">
        <f t="shared" si="18"/>
        <v/>
      </c>
      <c r="K420" s="12" t="str">
        <f t="shared" si="19"/>
        <v/>
      </c>
      <c r="L420" s="12" t="e">
        <f t="shared" si="20"/>
        <v>#VALUE!</v>
      </c>
    </row>
    <row r="421" spans="1:12" ht="24" customHeight="1" x14ac:dyDescent="0.25">
      <c r="A421" s="9">
        <v>43178</v>
      </c>
      <c r="B421" s="10" t="s">
        <v>93</v>
      </c>
      <c r="C421" s="17">
        <v>334</v>
      </c>
      <c r="D421" s="11" t="e">
        <f>+VLOOKUP(B421,#REF!,6,FALSE)</f>
        <v>#REF!</v>
      </c>
      <c r="E421" s="10">
        <v>17.09</v>
      </c>
      <c r="F421" s="10"/>
      <c r="G421" s="10"/>
      <c r="H421" s="10"/>
      <c r="I421" s="11" t="e">
        <f>+VLOOKUP(B421,#REF!,7,FALSE)</f>
        <v>#REF!</v>
      </c>
      <c r="J421" s="12" t="str">
        <f t="shared" si="18"/>
        <v/>
      </c>
      <c r="K421" s="12" t="str">
        <f t="shared" si="19"/>
        <v/>
      </c>
      <c r="L421" s="12" t="e">
        <f t="shared" si="20"/>
        <v>#VALUE!</v>
      </c>
    </row>
    <row r="422" spans="1:12" ht="24" customHeight="1" x14ac:dyDescent="0.25">
      <c r="A422" s="9">
        <v>43178</v>
      </c>
      <c r="B422" s="10" t="s">
        <v>105</v>
      </c>
      <c r="C422" s="17">
        <v>1819</v>
      </c>
      <c r="D422" s="11" t="e">
        <f>+VLOOKUP(B422,#REF!,6,FALSE)</f>
        <v>#REF!</v>
      </c>
      <c r="E422" s="10">
        <v>9.0579000000000001</v>
      </c>
      <c r="F422" s="10"/>
      <c r="G422" s="10"/>
      <c r="H422" s="10"/>
      <c r="I422" s="11" t="e">
        <f>+VLOOKUP(B422,#REF!,7,FALSE)</f>
        <v>#REF!</v>
      </c>
      <c r="J422" s="12" t="str">
        <f t="shared" si="18"/>
        <v/>
      </c>
      <c r="K422" s="12" t="str">
        <f t="shared" si="19"/>
        <v/>
      </c>
      <c r="L422" s="12" t="e">
        <f t="shared" si="20"/>
        <v>#VALUE!</v>
      </c>
    </row>
    <row r="423" spans="1:12" ht="24" customHeight="1" x14ac:dyDescent="0.25">
      <c r="A423" s="9">
        <v>43178</v>
      </c>
      <c r="B423" s="10" t="s">
        <v>136</v>
      </c>
      <c r="C423" s="17">
        <v>978</v>
      </c>
      <c r="D423" s="11" t="e">
        <f>+VLOOKUP(B423,#REF!,6,FALSE)</f>
        <v>#REF!</v>
      </c>
      <c r="E423" s="10">
        <f>10.3635/6</f>
        <v>1.72725</v>
      </c>
      <c r="F423" s="10"/>
      <c r="G423" s="10"/>
      <c r="H423" s="10"/>
      <c r="I423" s="11" t="e">
        <f>+VLOOKUP(B423,#REF!,7,FALSE)</f>
        <v>#REF!</v>
      </c>
      <c r="J423" s="12" t="str">
        <f t="shared" si="18"/>
        <v/>
      </c>
      <c r="K423" s="12" t="str">
        <f t="shared" si="19"/>
        <v/>
      </c>
      <c r="L423" s="12" t="e">
        <f t="shared" si="20"/>
        <v>#VALUE!</v>
      </c>
    </row>
    <row r="424" spans="1:12" ht="24" customHeight="1" x14ac:dyDescent="0.25">
      <c r="A424" s="9">
        <v>43178</v>
      </c>
      <c r="B424" s="10" t="s">
        <v>137</v>
      </c>
      <c r="C424" s="17">
        <v>4530</v>
      </c>
      <c r="D424" s="11" t="e">
        <f>+VLOOKUP(B424,#REF!,6,FALSE)</f>
        <v>#REF!</v>
      </c>
      <c r="E424" s="10">
        <f>15.3511/6</f>
        <v>2.5585166666666668</v>
      </c>
      <c r="F424" s="10"/>
      <c r="G424" s="10"/>
      <c r="H424" s="10"/>
      <c r="I424" s="11" t="e">
        <f>+VLOOKUP(B424,#REF!,7,FALSE)</f>
        <v>#REF!</v>
      </c>
      <c r="J424" s="12" t="str">
        <f t="shared" si="18"/>
        <v/>
      </c>
      <c r="K424" s="12" t="str">
        <f t="shared" si="19"/>
        <v/>
      </c>
      <c r="L424" s="12" t="e">
        <f t="shared" si="20"/>
        <v>#VALUE!</v>
      </c>
    </row>
    <row r="425" spans="1:12" ht="24" customHeight="1" x14ac:dyDescent="0.25">
      <c r="A425" s="9">
        <v>43178</v>
      </c>
      <c r="B425" s="10" t="s">
        <v>150</v>
      </c>
      <c r="C425" s="17">
        <v>6834</v>
      </c>
      <c r="D425" s="11" t="e">
        <f>+VLOOKUP(B425,#REF!,6,FALSE)/6</f>
        <v>#REF!</v>
      </c>
      <c r="E425" s="10">
        <v>0.88349999999999995</v>
      </c>
      <c r="F425" s="10"/>
      <c r="G425" s="10"/>
      <c r="H425" s="10"/>
      <c r="I425" s="11" t="e">
        <f>+VLOOKUP(B425,#REF!,7,FALSE)</f>
        <v>#REF!</v>
      </c>
      <c r="J425" s="12" t="str">
        <f t="shared" si="18"/>
        <v/>
      </c>
      <c r="K425" s="12" t="str">
        <f t="shared" si="19"/>
        <v/>
      </c>
      <c r="L425" s="12" t="e">
        <f t="shared" si="20"/>
        <v>#VALUE!</v>
      </c>
    </row>
    <row r="426" spans="1:12" ht="24" customHeight="1" x14ac:dyDescent="0.25">
      <c r="A426" s="9">
        <v>43178</v>
      </c>
      <c r="B426" s="10" t="s">
        <v>208</v>
      </c>
      <c r="C426" s="17">
        <v>306</v>
      </c>
      <c r="D426" s="11" t="e">
        <f>+VLOOKUP(B426,#REF!,6,FALSE)/6</f>
        <v>#REF!</v>
      </c>
      <c r="E426" s="10">
        <v>1.8089</v>
      </c>
      <c r="F426" s="10"/>
      <c r="G426" s="10"/>
      <c r="H426" s="10"/>
      <c r="I426" s="11" t="e">
        <f>+VLOOKUP(B426,#REF!,7,FALSE)</f>
        <v>#REF!</v>
      </c>
      <c r="J426" s="12" t="str">
        <f t="shared" si="18"/>
        <v/>
      </c>
      <c r="K426" s="12" t="str">
        <f t="shared" si="19"/>
        <v/>
      </c>
      <c r="L426" s="12" t="e">
        <f t="shared" si="20"/>
        <v>#VALUE!</v>
      </c>
    </row>
    <row r="427" spans="1:12" ht="24" customHeight="1" x14ac:dyDescent="0.25">
      <c r="A427" s="9">
        <v>43178</v>
      </c>
      <c r="B427" s="10" t="s">
        <v>9</v>
      </c>
      <c r="C427" s="17">
        <v>6588</v>
      </c>
      <c r="D427" s="11" t="e">
        <f>+VLOOKUP(B427,#REF!,6,FALSE)/6</f>
        <v>#REF!</v>
      </c>
      <c r="E427" s="10">
        <v>2.6945000000000001</v>
      </c>
      <c r="F427" s="10"/>
      <c r="G427" s="10"/>
      <c r="H427" s="10"/>
      <c r="I427" s="11" t="e">
        <f>+VLOOKUP(B427,#REF!,7,FALSE)</f>
        <v>#REF!</v>
      </c>
      <c r="J427" s="12" t="str">
        <f t="shared" si="18"/>
        <v/>
      </c>
      <c r="K427" s="12" t="str">
        <f t="shared" si="19"/>
        <v/>
      </c>
      <c r="L427" s="12" t="e">
        <f t="shared" si="20"/>
        <v>#VALUE!</v>
      </c>
    </row>
    <row r="428" spans="1:12" ht="24" customHeight="1" x14ac:dyDescent="0.25">
      <c r="A428" s="9">
        <v>43178</v>
      </c>
      <c r="B428" s="10" t="s">
        <v>440</v>
      </c>
      <c r="C428" s="17">
        <v>17530</v>
      </c>
      <c r="D428" s="11" t="e">
        <f>+VLOOKUP(B428,#REF!,6,FALSE)</f>
        <v>#REF!</v>
      </c>
      <c r="E428" s="10">
        <v>0.55189999999999995</v>
      </c>
      <c r="F428" s="10"/>
      <c r="G428" s="10"/>
      <c r="H428" s="10"/>
      <c r="I428" s="11" t="e">
        <f>+VLOOKUP(B428,#REF!,7,FALSE)</f>
        <v>#REF!</v>
      </c>
      <c r="J428" s="12" t="str">
        <f t="shared" si="18"/>
        <v/>
      </c>
      <c r="K428" s="12" t="str">
        <f t="shared" si="19"/>
        <v/>
      </c>
      <c r="L428" s="12" t="e">
        <f t="shared" si="20"/>
        <v>#VALUE!</v>
      </c>
    </row>
    <row r="429" spans="1:12" ht="24" customHeight="1" x14ac:dyDescent="0.25">
      <c r="A429" s="9">
        <v>43179</v>
      </c>
      <c r="B429" s="10" t="s">
        <v>101</v>
      </c>
      <c r="C429" s="17">
        <v>39180</v>
      </c>
      <c r="D429" s="11" t="e">
        <f>+VLOOKUP(B429,#REF!,6,FALSE)</f>
        <v>#REF!</v>
      </c>
      <c r="E429" s="10">
        <v>0.72889999999999999</v>
      </c>
      <c r="F429" s="10"/>
      <c r="G429" s="10"/>
      <c r="H429" s="10"/>
      <c r="I429" s="11" t="e">
        <f>+VLOOKUP(B429,#REF!,7,FALSE)</f>
        <v>#REF!</v>
      </c>
      <c r="J429" s="12" t="str">
        <f t="shared" si="18"/>
        <v/>
      </c>
      <c r="K429" s="12" t="str">
        <f t="shared" si="19"/>
        <v/>
      </c>
      <c r="L429" s="12" t="e">
        <f t="shared" si="20"/>
        <v>#VALUE!</v>
      </c>
    </row>
    <row r="430" spans="1:12" ht="24" customHeight="1" x14ac:dyDescent="0.25">
      <c r="A430" s="9">
        <v>43179</v>
      </c>
      <c r="B430" s="10" t="s">
        <v>180</v>
      </c>
      <c r="C430" s="17">
        <v>2048</v>
      </c>
      <c r="D430" s="11" t="e">
        <f>+VLOOKUP(B430,#REF!,6,FALSE)/8</f>
        <v>#REF!</v>
      </c>
      <c r="E430" s="10">
        <v>1.0789</v>
      </c>
      <c r="F430" s="10"/>
      <c r="G430" s="10"/>
      <c r="H430" s="10"/>
      <c r="I430" s="11" t="e">
        <f>+VLOOKUP(B430,#REF!,7,FALSE)</f>
        <v>#REF!</v>
      </c>
      <c r="J430" s="12" t="str">
        <f t="shared" si="18"/>
        <v/>
      </c>
      <c r="K430" s="12" t="str">
        <f t="shared" si="19"/>
        <v/>
      </c>
      <c r="L430" s="12" t="e">
        <f t="shared" si="20"/>
        <v>#VALUE!</v>
      </c>
    </row>
    <row r="431" spans="1:12" ht="24" customHeight="1" x14ac:dyDescent="0.25">
      <c r="A431" s="9">
        <v>43179</v>
      </c>
      <c r="B431" s="10" t="s">
        <v>192</v>
      </c>
      <c r="C431" s="17">
        <v>4176</v>
      </c>
      <c r="D431" s="11" t="e">
        <f>+VLOOKUP(B431,#REF!,6,FALSE)/8</f>
        <v>#REF!</v>
      </c>
      <c r="E431" s="10">
        <v>0.91510000000000002</v>
      </c>
      <c r="F431" s="10"/>
      <c r="G431" s="10"/>
      <c r="H431" s="10"/>
      <c r="I431" s="11" t="e">
        <f>+VLOOKUP(B431,#REF!,7,FALSE)</f>
        <v>#REF!</v>
      </c>
      <c r="J431" s="12" t="str">
        <f t="shared" si="18"/>
        <v/>
      </c>
      <c r="K431" s="12" t="str">
        <f t="shared" si="19"/>
        <v/>
      </c>
      <c r="L431" s="12" t="e">
        <f t="shared" si="20"/>
        <v>#VALUE!</v>
      </c>
    </row>
    <row r="432" spans="1:12" ht="24" customHeight="1" x14ac:dyDescent="0.25">
      <c r="A432" s="9">
        <v>43179</v>
      </c>
      <c r="B432" s="10" t="s">
        <v>9</v>
      </c>
      <c r="C432" s="17">
        <v>8088</v>
      </c>
      <c r="D432" s="11" t="e">
        <f>+VLOOKUP(B432,#REF!,6,FALSE)/6</f>
        <v>#REF!</v>
      </c>
      <c r="E432" s="10">
        <v>2.9870999999999999</v>
      </c>
      <c r="F432" s="10"/>
      <c r="G432" s="10"/>
      <c r="H432" s="10"/>
      <c r="I432" s="11" t="e">
        <f>+VLOOKUP(B432,#REF!,7,FALSE)</f>
        <v>#REF!</v>
      </c>
      <c r="J432" s="12" t="str">
        <f t="shared" si="18"/>
        <v/>
      </c>
      <c r="K432" s="12" t="str">
        <f t="shared" si="19"/>
        <v/>
      </c>
      <c r="L432" s="12" t="e">
        <f t="shared" si="20"/>
        <v>#VALUE!</v>
      </c>
    </row>
    <row r="433" spans="1:12" ht="24" customHeight="1" x14ac:dyDescent="0.25">
      <c r="A433" s="9">
        <v>43179</v>
      </c>
      <c r="B433" s="10" t="s">
        <v>440</v>
      </c>
      <c r="C433" s="17">
        <v>14700</v>
      </c>
      <c r="D433" s="11" t="e">
        <f>+VLOOKUP(B433,#REF!,6,FALSE)</f>
        <v>#REF!</v>
      </c>
      <c r="E433" s="10">
        <v>0.58840000000000003</v>
      </c>
      <c r="F433" s="10"/>
      <c r="G433" s="10"/>
      <c r="H433" s="10"/>
      <c r="I433" s="11" t="e">
        <f>+VLOOKUP(B433,#REF!,7,FALSE)</f>
        <v>#REF!</v>
      </c>
      <c r="J433" s="12" t="str">
        <f t="shared" si="18"/>
        <v/>
      </c>
      <c r="K433" s="12" t="str">
        <f t="shared" si="19"/>
        <v/>
      </c>
      <c r="L433" s="12" t="e">
        <f t="shared" si="20"/>
        <v>#VALUE!</v>
      </c>
    </row>
    <row r="434" spans="1:12" ht="24" customHeight="1" x14ac:dyDescent="0.25">
      <c r="A434" s="9">
        <v>43180</v>
      </c>
      <c r="B434" s="10" t="s">
        <v>27</v>
      </c>
      <c r="C434" s="17">
        <v>252</v>
      </c>
      <c r="D434" s="11" t="e">
        <f>+VLOOKUP(B434,#REF!,6,FALSE)</f>
        <v>#REF!</v>
      </c>
      <c r="E434" s="10">
        <v>1.9827999999999999</v>
      </c>
      <c r="F434" s="10"/>
      <c r="G434" s="10"/>
      <c r="H434" s="10"/>
      <c r="I434" s="11" t="e">
        <f>+VLOOKUP(B434,#REF!,7,FALSE)</f>
        <v>#REF!</v>
      </c>
      <c r="J434" s="12" t="str">
        <f t="shared" si="18"/>
        <v/>
      </c>
      <c r="K434" s="12" t="str">
        <f t="shared" si="19"/>
        <v/>
      </c>
      <c r="L434" s="12" t="e">
        <f t="shared" si="20"/>
        <v>#VALUE!</v>
      </c>
    </row>
    <row r="435" spans="1:12" ht="24" customHeight="1" x14ac:dyDescent="0.25">
      <c r="A435" s="9">
        <v>43180</v>
      </c>
      <c r="B435" s="10" t="s">
        <v>90</v>
      </c>
      <c r="C435" s="17">
        <v>3756</v>
      </c>
      <c r="D435" s="11" t="e">
        <f>+VLOOKUP(B435,#REF!,6,FALSE)</f>
        <v>#REF!</v>
      </c>
      <c r="E435" s="10">
        <f>6.3348/12</f>
        <v>0.52790000000000004</v>
      </c>
      <c r="F435" s="10"/>
      <c r="G435" s="10"/>
      <c r="H435" s="10"/>
      <c r="I435" s="11" t="e">
        <f>+VLOOKUP(B435,#REF!,7,FALSE)</f>
        <v>#REF!</v>
      </c>
      <c r="J435" s="12" t="str">
        <f t="shared" si="18"/>
        <v/>
      </c>
      <c r="K435" s="12" t="str">
        <f t="shared" si="19"/>
        <v/>
      </c>
      <c r="L435" s="12" t="e">
        <f t="shared" si="20"/>
        <v>#VALUE!</v>
      </c>
    </row>
    <row r="436" spans="1:12" ht="24" customHeight="1" x14ac:dyDescent="0.25">
      <c r="A436" s="9">
        <v>43180</v>
      </c>
      <c r="B436" s="10" t="s">
        <v>101</v>
      </c>
      <c r="C436" s="17">
        <v>40008</v>
      </c>
      <c r="D436" s="11" t="e">
        <f>+VLOOKUP(B436,#REF!,6,FALSE)</f>
        <v>#REF!</v>
      </c>
      <c r="E436" s="10">
        <v>0.63029999999999997</v>
      </c>
      <c r="F436" s="10"/>
      <c r="G436" s="10"/>
      <c r="H436" s="10"/>
      <c r="I436" s="11" t="e">
        <f>+VLOOKUP(B436,#REF!,7,FALSE)</f>
        <v>#REF!</v>
      </c>
      <c r="J436" s="12" t="str">
        <f t="shared" si="18"/>
        <v/>
      </c>
      <c r="K436" s="12" t="str">
        <f t="shared" si="19"/>
        <v/>
      </c>
      <c r="L436" s="12" t="e">
        <f t="shared" si="20"/>
        <v>#VALUE!</v>
      </c>
    </row>
    <row r="437" spans="1:12" ht="24" customHeight="1" x14ac:dyDescent="0.25">
      <c r="A437" s="9">
        <v>43180</v>
      </c>
      <c r="B437" s="10" t="s">
        <v>123</v>
      </c>
      <c r="C437" s="17">
        <v>906</v>
      </c>
      <c r="D437" s="11" t="e">
        <f>+VLOOKUP(B437,#REF!,6,FALSE)</f>
        <v>#REF!</v>
      </c>
      <c r="E437" s="10">
        <v>7.3796999999999997</v>
      </c>
      <c r="F437" s="10"/>
      <c r="G437" s="10"/>
      <c r="H437" s="10"/>
      <c r="I437" s="11" t="e">
        <f>+VLOOKUP(B437,#REF!,7,FALSE)</f>
        <v>#REF!</v>
      </c>
      <c r="J437" s="12" t="str">
        <f t="shared" si="18"/>
        <v/>
      </c>
      <c r="K437" s="12" t="str">
        <f t="shared" si="19"/>
        <v/>
      </c>
      <c r="L437" s="12" t="e">
        <f t="shared" si="20"/>
        <v>#VALUE!</v>
      </c>
    </row>
    <row r="438" spans="1:12" ht="24" customHeight="1" x14ac:dyDescent="0.25">
      <c r="A438" s="9">
        <v>43180</v>
      </c>
      <c r="B438" s="10" t="s">
        <v>203</v>
      </c>
      <c r="C438" s="17">
        <v>26</v>
      </c>
      <c r="D438" s="11" t="e">
        <f>+VLOOKUP(B438,#REF!,6,FALSE)</f>
        <v>#REF!</v>
      </c>
      <c r="E438" s="10">
        <v>16.7089</v>
      </c>
      <c r="F438" s="10"/>
      <c r="G438" s="10"/>
      <c r="H438" s="10"/>
      <c r="I438" s="11" t="e">
        <f>+VLOOKUP(B438,#REF!,7,FALSE)</f>
        <v>#REF!</v>
      </c>
      <c r="J438" s="12" t="str">
        <f t="shared" si="18"/>
        <v/>
      </c>
      <c r="K438" s="12" t="str">
        <f t="shared" si="19"/>
        <v/>
      </c>
      <c r="L438" s="12" t="e">
        <f t="shared" si="20"/>
        <v>#VALUE!</v>
      </c>
    </row>
    <row r="439" spans="1:12" ht="24" customHeight="1" x14ac:dyDescent="0.25">
      <c r="A439" s="9">
        <v>43180</v>
      </c>
      <c r="B439" s="10" t="s">
        <v>214</v>
      </c>
      <c r="C439" s="17">
        <v>11364</v>
      </c>
      <c r="D439" s="11" t="e">
        <f>+VLOOKUP(B439,#REF!,6,FALSE)/12</f>
        <v>#REF!</v>
      </c>
      <c r="E439" s="10">
        <f>7.9061/12</f>
        <v>0.65884166666666666</v>
      </c>
      <c r="F439" s="10"/>
      <c r="G439" s="10"/>
      <c r="H439" s="10"/>
      <c r="I439" s="11" t="e">
        <f>+VLOOKUP(B439,#REF!,7,FALSE)</f>
        <v>#REF!</v>
      </c>
      <c r="J439" s="12" t="str">
        <f t="shared" si="18"/>
        <v/>
      </c>
      <c r="K439" s="12" t="str">
        <f t="shared" si="19"/>
        <v/>
      </c>
      <c r="L439" s="12" t="e">
        <f t="shared" si="20"/>
        <v>#VALUE!</v>
      </c>
    </row>
    <row r="440" spans="1:12" ht="24" customHeight="1" x14ac:dyDescent="0.25">
      <c r="A440" s="9">
        <v>43180</v>
      </c>
      <c r="B440" s="10" t="s">
        <v>9</v>
      </c>
      <c r="C440" s="17">
        <v>8664</v>
      </c>
      <c r="D440" s="11" t="e">
        <f>+VLOOKUP(B440,#REF!,6,FALSE)/6</f>
        <v>#REF!</v>
      </c>
      <c r="E440" s="10">
        <v>2.9645000000000001</v>
      </c>
      <c r="F440" s="10"/>
      <c r="G440" s="10"/>
      <c r="H440" s="10"/>
      <c r="I440" s="11" t="e">
        <f>+VLOOKUP(B440,#REF!,7,FALSE)</f>
        <v>#REF!</v>
      </c>
      <c r="J440" s="12" t="str">
        <f t="shared" si="18"/>
        <v/>
      </c>
      <c r="K440" s="12" t="str">
        <f t="shared" si="19"/>
        <v/>
      </c>
      <c r="L440" s="12" t="e">
        <f t="shared" si="20"/>
        <v>#VALUE!</v>
      </c>
    </row>
    <row r="441" spans="1:12" ht="24" customHeight="1" x14ac:dyDescent="0.25">
      <c r="A441" s="9">
        <v>43181</v>
      </c>
      <c r="B441" s="10" t="s">
        <v>98</v>
      </c>
      <c r="C441" s="17">
        <v>29376</v>
      </c>
      <c r="D441" s="11" t="e">
        <f>+VLOOKUP(B441,#REF!,6,FALSE)</f>
        <v>#REF!</v>
      </c>
      <c r="E441" s="10">
        <v>0.7026</v>
      </c>
      <c r="F441" s="10"/>
      <c r="G441" s="10"/>
      <c r="H441" s="10"/>
      <c r="I441" s="11" t="e">
        <f>+VLOOKUP(B441,#REF!,7,FALSE)</f>
        <v>#REF!</v>
      </c>
      <c r="J441" s="12" t="str">
        <f t="shared" si="18"/>
        <v/>
      </c>
      <c r="K441" s="12" t="str">
        <f t="shared" si="19"/>
        <v/>
      </c>
      <c r="L441" s="12" t="e">
        <f t="shared" si="20"/>
        <v>#VALUE!</v>
      </c>
    </row>
    <row r="442" spans="1:12" ht="24" customHeight="1" x14ac:dyDescent="0.25">
      <c r="A442" s="9">
        <v>43181</v>
      </c>
      <c r="B442" s="10" t="s">
        <v>173</v>
      </c>
      <c r="C442" s="17">
        <v>86</v>
      </c>
      <c r="D442" s="11" t="e">
        <f>+VLOOKUP(B442,#REF!,6,FALSE)</f>
        <v>#REF!</v>
      </c>
      <c r="E442" s="10">
        <f>16*0.3725</f>
        <v>5.96</v>
      </c>
      <c r="F442" s="10"/>
      <c r="G442" s="10"/>
      <c r="H442" s="10"/>
      <c r="I442" s="11" t="e">
        <f>+VLOOKUP(B442,#REF!,7,FALSE)</f>
        <v>#REF!</v>
      </c>
      <c r="J442" s="12" t="str">
        <f t="shared" si="18"/>
        <v/>
      </c>
      <c r="K442" s="12" t="str">
        <f t="shared" si="19"/>
        <v/>
      </c>
      <c r="L442" s="12" t="e">
        <f t="shared" si="20"/>
        <v>#VALUE!</v>
      </c>
    </row>
    <row r="443" spans="1:12" ht="24" customHeight="1" x14ac:dyDescent="0.25">
      <c r="A443" s="9">
        <v>43181</v>
      </c>
      <c r="B443" s="10" t="s">
        <v>205</v>
      </c>
      <c r="C443" s="17">
        <v>16</v>
      </c>
      <c r="D443" s="11" t="e">
        <f>+VLOOKUP(B443,#REF!,6,FALSE)</f>
        <v>#REF!</v>
      </c>
      <c r="E443" s="10">
        <v>17.051200000000001</v>
      </c>
      <c r="F443" s="10"/>
      <c r="G443" s="10"/>
      <c r="H443" s="10"/>
      <c r="I443" s="11" t="e">
        <f>+VLOOKUP(B443,#REF!,7,FALSE)</f>
        <v>#REF!</v>
      </c>
      <c r="J443" s="12" t="str">
        <f t="shared" si="18"/>
        <v/>
      </c>
      <c r="K443" s="12" t="str">
        <f t="shared" si="19"/>
        <v/>
      </c>
      <c r="L443" s="12" t="e">
        <f t="shared" si="20"/>
        <v>#VALUE!</v>
      </c>
    </row>
    <row r="444" spans="1:12" ht="24" customHeight="1" x14ac:dyDescent="0.25">
      <c r="A444" s="9">
        <v>43181</v>
      </c>
      <c r="B444" s="10" t="s">
        <v>214</v>
      </c>
      <c r="C444" s="17">
        <v>9372</v>
      </c>
      <c r="D444" s="11" t="e">
        <f>+VLOOKUP(B444,#REF!,6,FALSE)/12</f>
        <v>#REF!</v>
      </c>
      <c r="E444" s="10">
        <f>8.402/12</f>
        <v>0.7001666666666666</v>
      </c>
      <c r="F444" s="10"/>
      <c r="G444" s="10"/>
      <c r="H444" s="10"/>
      <c r="I444" s="11" t="e">
        <f>+VLOOKUP(B444,#REF!,7,FALSE)</f>
        <v>#REF!</v>
      </c>
      <c r="J444" s="12" t="str">
        <f t="shared" si="18"/>
        <v/>
      </c>
      <c r="K444" s="12" t="str">
        <f t="shared" si="19"/>
        <v/>
      </c>
      <c r="L444" s="12" t="e">
        <f t="shared" si="20"/>
        <v>#VALUE!</v>
      </c>
    </row>
    <row r="445" spans="1:12" ht="24" customHeight="1" x14ac:dyDescent="0.25">
      <c r="A445" s="9">
        <v>43181</v>
      </c>
      <c r="B445" s="10" t="s">
        <v>9</v>
      </c>
      <c r="C445" s="17">
        <v>8034</v>
      </c>
      <c r="D445" s="11" t="e">
        <f>+VLOOKUP(B445,#REF!,6,FALSE)/6</f>
        <v>#REF!</v>
      </c>
      <c r="E445" s="10">
        <v>2.7705000000000002</v>
      </c>
      <c r="F445" s="10"/>
      <c r="G445" s="10"/>
      <c r="H445" s="10"/>
      <c r="I445" s="11" t="e">
        <f>+VLOOKUP(B445,#REF!,7,FALSE)</f>
        <v>#REF!</v>
      </c>
      <c r="J445" s="12" t="str">
        <f t="shared" si="18"/>
        <v/>
      </c>
      <c r="K445" s="12" t="str">
        <f t="shared" si="19"/>
        <v/>
      </c>
      <c r="L445" s="12" t="e">
        <f t="shared" si="20"/>
        <v>#VALUE!</v>
      </c>
    </row>
    <row r="446" spans="1:12" ht="24" customHeight="1" x14ac:dyDescent="0.25">
      <c r="A446" s="9">
        <v>43181</v>
      </c>
      <c r="B446" s="10" t="s">
        <v>441</v>
      </c>
      <c r="C446" s="17">
        <v>10722</v>
      </c>
      <c r="D446" s="11" t="e">
        <f>+VLOOKUP(B446,#REF!,6,FALSE)</f>
        <v>#REF!</v>
      </c>
      <c r="E446" s="10">
        <v>0.48099999999999998</v>
      </c>
      <c r="F446" s="10"/>
      <c r="G446" s="10"/>
      <c r="H446" s="10"/>
      <c r="I446" s="11" t="e">
        <f>+VLOOKUP(B446,#REF!,7,FALSE)</f>
        <v>#REF!</v>
      </c>
      <c r="J446" s="12" t="str">
        <f t="shared" si="18"/>
        <v/>
      </c>
      <c r="K446" s="12" t="str">
        <f t="shared" si="19"/>
        <v/>
      </c>
      <c r="L446" s="12" t="e">
        <f t="shared" si="20"/>
        <v>#VALUE!</v>
      </c>
    </row>
    <row r="447" spans="1:12" ht="24" customHeight="1" x14ac:dyDescent="0.25">
      <c r="A447" s="9">
        <v>43182</v>
      </c>
      <c r="B447" s="10" t="s">
        <v>98</v>
      </c>
      <c r="C447" s="17">
        <v>29832</v>
      </c>
      <c r="D447" s="11" t="e">
        <f>+VLOOKUP(B447,#REF!,6,FALSE)</f>
        <v>#REF!</v>
      </c>
      <c r="E447" s="10">
        <v>0.75190000000000001</v>
      </c>
      <c r="F447" s="10"/>
      <c r="G447" s="10"/>
      <c r="H447" s="10"/>
      <c r="I447" s="11" t="e">
        <f>+VLOOKUP(B447,#REF!,7,FALSE)</f>
        <v>#REF!</v>
      </c>
      <c r="J447" s="12" t="str">
        <f t="shared" si="18"/>
        <v/>
      </c>
      <c r="K447" s="12" t="str">
        <f t="shared" si="19"/>
        <v/>
      </c>
      <c r="L447" s="12" t="e">
        <f t="shared" si="20"/>
        <v>#VALUE!</v>
      </c>
    </row>
    <row r="448" spans="1:12" ht="24" customHeight="1" x14ac:dyDescent="0.25">
      <c r="A448" s="9">
        <v>43182</v>
      </c>
      <c r="B448" s="10" t="s">
        <v>190</v>
      </c>
      <c r="C448" s="17">
        <v>2736</v>
      </c>
      <c r="D448" s="11" t="e">
        <f>+VLOOKUP(B448,#REF!,6,FALSE)/6</f>
        <v>#REF!</v>
      </c>
      <c r="E448" s="10">
        <v>2.6078000000000001</v>
      </c>
      <c r="F448" s="10"/>
      <c r="G448" s="10"/>
      <c r="H448" s="10"/>
      <c r="I448" s="11" t="e">
        <f>+VLOOKUP(B448,#REF!,7,FALSE)</f>
        <v>#REF!</v>
      </c>
      <c r="J448" s="12" t="str">
        <f t="shared" si="18"/>
        <v/>
      </c>
      <c r="K448" s="12" t="str">
        <f t="shared" si="19"/>
        <v/>
      </c>
      <c r="L448" s="12" t="e">
        <f t="shared" si="20"/>
        <v>#VALUE!</v>
      </c>
    </row>
    <row r="449" spans="1:12" ht="24" customHeight="1" x14ac:dyDescent="0.25">
      <c r="A449" s="9">
        <v>43182</v>
      </c>
      <c r="B449" s="10" t="s">
        <v>191</v>
      </c>
      <c r="C449" s="17">
        <v>2436</v>
      </c>
      <c r="D449" s="11" t="e">
        <f>+VLOOKUP(B449,#REF!,6,FALSE)/6</f>
        <v>#REF!</v>
      </c>
      <c r="E449" s="10">
        <v>2.5230000000000001</v>
      </c>
      <c r="F449" s="10"/>
      <c r="G449" s="10"/>
      <c r="H449" s="10"/>
      <c r="I449" s="11" t="e">
        <f>+VLOOKUP(B449,#REF!,7,FALSE)</f>
        <v>#REF!</v>
      </c>
      <c r="J449" s="12" t="str">
        <f t="shared" si="18"/>
        <v/>
      </c>
      <c r="K449" s="12" t="str">
        <f t="shared" si="19"/>
        <v/>
      </c>
      <c r="L449" s="12" t="e">
        <f t="shared" si="20"/>
        <v>#VALUE!</v>
      </c>
    </row>
    <row r="450" spans="1:12" ht="24" customHeight="1" x14ac:dyDescent="0.25">
      <c r="A450" s="9">
        <v>43182</v>
      </c>
      <c r="B450" s="10" t="s">
        <v>214</v>
      </c>
      <c r="C450" s="17">
        <v>9168</v>
      </c>
      <c r="D450" s="11" t="e">
        <f>+VLOOKUP(B450,#REF!,6,FALSE)/12</f>
        <v>#REF!</v>
      </c>
      <c r="E450" s="10">
        <f>8.8104/12</f>
        <v>0.73419999999999996</v>
      </c>
      <c r="F450" s="10"/>
      <c r="G450" s="10"/>
      <c r="H450" s="10"/>
      <c r="I450" s="11" t="e">
        <f>+VLOOKUP(B450,#REF!,7,FALSE)</f>
        <v>#REF!</v>
      </c>
      <c r="J450" s="12" t="str">
        <f t="shared" si="18"/>
        <v/>
      </c>
      <c r="K450" s="12" t="str">
        <f t="shared" si="19"/>
        <v/>
      </c>
      <c r="L450" s="12" t="e">
        <f t="shared" si="20"/>
        <v>#VALUE!</v>
      </c>
    </row>
    <row r="451" spans="1:12" ht="24" customHeight="1" x14ac:dyDescent="0.25">
      <c r="A451" s="9">
        <v>43182</v>
      </c>
      <c r="B451" s="10" t="s">
        <v>430</v>
      </c>
      <c r="C451" s="17">
        <v>3936</v>
      </c>
      <c r="D451" s="11" t="e">
        <f>+VLOOKUP(B451,#REF!,6,FALSE)</f>
        <v>#REF!</v>
      </c>
      <c r="E451" s="10">
        <v>3.4453999999999998</v>
      </c>
      <c r="F451" s="10"/>
      <c r="G451" s="10"/>
      <c r="H451" s="10"/>
      <c r="I451" s="11" t="e">
        <f>+VLOOKUP(B451,#REF!,7,FALSE)</f>
        <v>#REF!</v>
      </c>
      <c r="J451" s="12" t="str">
        <f t="shared" si="18"/>
        <v/>
      </c>
      <c r="K451" s="12" t="str">
        <f t="shared" si="19"/>
        <v/>
      </c>
      <c r="L451" s="12" t="e">
        <f t="shared" si="20"/>
        <v>#VALUE!</v>
      </c>
    </row>
    <row r="452" spans="1:12" ht="24" customHeight="1" x14ac:dyDescent="0.25">
      <c r="A452" s="9">
        <v>43185</v>
      </c>
      <c r="B452" s="10" t="s">
        <v>99</v>
      </c>
      <c r="C452" s="17">
        <v>7596</v>
      </c>
      <c r="D452" s="11" t="e">
        <f>+VLOOKUP(B452,#REF!,6,FALSE)</f>
        <v>#REF!</v>
      </c>
      <c r="E452" s="10">
        <v>2.6642999999999999</v>
      </c>
      <c r="F452" s="10"/>
      <c r="G452" s="10"/>
      <c r="H452" s="10"/>
      <c r="I452" s="11" t="e">
        <f>+VLOOKUP(B452,#REF!,7,FALSE)</f>
        <v>#REF!</v>
      </c>
      <c r="J452" s="12" t="str">
        <f t="shared" ref="J452:J515" si="21">IFERROR((I452-(D452+F452))/I452,"")</f>
        <v/>
      </c>
      <c r="K452" s="12" t="str">
        <f t="shared" ref="K452:K515" si="22">IF(E452="","",IFERROR((I452-(E452+G452+H452))/I452,""))</f>
        <v/>
      </c>
      <c r="L452" s="12" t="e">
        <f t="shared" ref="L452:L515" si="23">J452-K452</f>
        <v>#VALUE!</v>
      </c>
    </row>
    <row r="453" spans="1:12" ht="24" customHeight="1" x14ac:dyDescent="0.25">
      <c r="A453" s="9">
        <v>43185</v>
      </c>
      <c r="B453" s="10" t="s">
        <v>100</v>
      </c>
      <c r="C453" s="17">
        <v>6006</v>
      </c>
      <c r="D453" s="11" t="e">
        <f>+VLOOKUP(B453,#REF!,6,FALSE)</f>
        <v>#REF!</v>
      </c>
      <c r="E453" s="10">
        <f>3.2898</f>
        <v>3.2898000000000001</v>
      </c>
      <c r="F453" s="10"/>
      <c r="G453" s="10"/>
      <c r="H453" s="10"/>
      <c r="I453" s="11" t="e">
        <f>+VLOOKUP(B453,#REF!,7,FALSE)</f>
        <v>#REF!</v>
      </c>
      <c r="J453" s="12" t="str">
        <f t="shared" si="21"/>
        <v/>
      </c>
      <c r="K453" s="12" t="str">
        <f t="shared" si="22"/>
        <v/>
      </c>
      <c r="L453" s="12" t="e">
        <f t="shared" si="23"/>
        <v>#VALUE!</v>
      </c>
    </row>
    <row r="454" spans="1:12" ht="24" customHeight="1" x14ac:dyDescent="0.25">
      <c r="A454" s="9">
        <v>43185</v>
      </c>
      <c r="B454" s="10" t="s">
        <v>230</v>
      </c>
      <c r="C454" s="17">
        <v>18798</v>
      </c>
      <c r="D454" s="11" t="e">
        <f>+VLOOKUP(B454,#REF!,6,FALSE)</f>
        <v>#REF!</v>
      </c>
      <c r="E454" s="10">
        <f>3.2302/6</f>
        <v>0.53836666666666666</v>
      </c>
      <c r="F454" s="10"/>
      <c r="G454" s="10"/>
      <c r="H454" s="10"/>
      <c r="I454" s="11" t="e">
        <f>+VLOOKUP(B454,#REF!,7,FALSE)</f>
        <v>#REF!</v>
      </c>
      <c r="J454" s="12" t="str">
        <f t="shared" si="21"/>
        <v/>
      </c>
      <c r="K454" s="12" t="str">
        <f t="shared" si="22"/>
        <v/>
      </c>
      <c r="L454" s="12" t="e">
        <f t="shared" si="23"/>
        <v>#VALUE!</v>
      </c>
    </row>
    <row r="455" spans="1:12" ht="24" customHeight="1" x14ac:dyDescent="0.25">
      <c r="A455" s="9">
        <v>43185</v>
      </c>
      <c r="B455" s="10" t="s">
        <v>9</v>
      </c>
      <c r="C455" s="17">
        <v>7536</v>
      </c>
      <c r="D455" s="11" t="e">
        <f>+VLOOKUP(B455,#REF!,6,FALSE)/6</f>
        <v>#REF!</v>
      </c>
      <c r="E455" s="10">
        <f>17.315/6</f>
        <v>2.8858333333333337</v>
      </c>
      <c r="F455" s="10"/>
      <c r="G455" s="10"/>
      <c r="H455" s="10"/>
      <c r="I455" s="11" t="e">
        <f>+VLOOKUP(B455,#REF!,7,FALSE)</f>
        <v>#REF!</v>
      </c>
      <c r="J455" s="12" t="str">
        <f t="shared" si="21"/>
        <v/>
      </c>
      <c r="K455" s="12" t="str">
        <f t="shared" si="22"/>
        <v/>
      </c>
      <c r="L455" s="12" t="e">
        <f t="shared" si="23"/>
        <v>#VALUE!</v>
      </c>
    </row>
    <row r="456" spans="1:12" ht="24" customHeight="1" x14ac:dyDescent="0.25">
      <c r="A456" s="9">
        <v>43186</v>
      </c>
      <c r="B456" s="10" t="s">
        <v>99</v>
      </c>
      <c r="C456" s="17">
        <v>12036</v>
      </c>
      <c r="D456" s="11" t="e">
        <f>+VLOOKUP(B456,#REF!,6,FALSE)</f>
        <v>#REF!</v>
      </c>
      <c r="E456" s="10">
        <v>2.7081</v>
      </c>
      <c r="F456" s="10"/>
      <c r="G456" s="10"/>
      <c r="H456" s="10"/>
      <c r="I456" s="11" t="e">
        <f>+VLOOKUP(B456,#REF!,7,FALSE)</f>
        <v>#REF!</v>
      </c>
      <c r="J456" s="12" t="str">
        <f t="shared" si="21"/>
        <v/>
      </c>
      <c r="K456" s="12" t="str">
        <f t="shared" si="22"/>
        <v/>
      </c>
      <c r="L456" s="12" t="e">
        <f t="shared" si="23"/>
        <v>#VALUE!</v>
      </c>
    </row>
    <row r="457" spans="1:12" ht="24" customHeight="1" x14ac:dyDescent="0.25">
      <c r="A457" s="9">
        <v>43186</v>
      </c>
      <c r="B457" s="21" t="s">
        <v>143</v>
      </c>
      <c r="C457" s="17">
        <v>2448</v>
      </c>
      <c r="D457" s="11" t="e">
        <f>+VLOOKUP(B457,#REF!,6,FALSE)</f>
        <v>#REF!</v>
      </c>
      <c r="E457" s="10">
        <v>2.0286</v>
      </c>
      <c r="F457" s="10"/>
      <c r="G457" s="10"/>
      <c r="H457" s="10"/>
      <c r="I457" s="11" t="e">
        <f>+VLOOKUP(B457,#REF!,7,FALSE)</f>
        <v>#REF!</v>
      </c>
      <c r="J457" s="12" t="str">
        <f t="shared" si="21"/>
        <v/>
      </c>
      <c r="K457" s="12" t="str">
        <f t="shared" si="22"/>
        <v/>
      </c>
      <c r="L457" s="12" t="e">
        <f t="shared" si="23"/>
        <v>#VALUE!</v>
      </c>
    </row>
    <row r="458" spans="1:12" ht="24" customHeight="1" x14ac:dyDescent="0.25">
      <c r="A458" s="9">
        <v>43186</v>
      </c>
      <c r="B458" s="10" t="s">
        <v>183</v>
      </c>
      <c r="C458" s="17">
        <v>4092</v>
      </c>
      <c r="D458" s="11" t="e">
        <f>+VLOOKUP(B458,#REF!,6,FALSE)/6</f>
        <v>#REF!</v>
      </c>
      <c r="E458" s="10">
        <f>14.1194/6</f>
        <v>2.3532333333333333</v>
      </c>
      <c r="F458" s="10"/>
      <c r="G458" s="10"/>
      <c r="H458" s="10"/>
      <c r="I458" s="11" t="e">
        <f>+VLOOKUP(B458,#REF!,7,FALSE)</f>
        <v>#REF!</v>
      </c>
      <c r="J458" s="12" t="str">
        <f t="shared" si="21"/>
        <v/>
      </c>
      <c r="K458" s="12" t="str">
        <f t="shared" si="22"/>
        <v/>
      </c>
      <c r="L458" s="12" t="e">
        <f t="shared" si="23"/>
        <v>#VALUE!</v>
      </c>
    </row>
    <row r="459" spans="1:12" ht="24" customHeight="1" x14ac:dyDescent="0.25">
      <c r="A459" s="9">
        <v>43186</v>
      </c>
      <c r="B459" s="10" t="s">
        <v>230</v>
      </c>
      <c r="C459" s="17">
        <v>19722</v>
      </c>
      <c r="D459" s="11" t="e">
        <f>+VLOOKUP(B459,#REF!,6,FALSE)</f>
        <v>#REF!</v>
      </c>
      <c r="E459" s="10">
        <f>3.3329/6</f>
        <v>0.55548333333333333</v>
      </c>
      <c r="F459" s="10"/>
      <c r="G459" s="10"/>
      <c r="H459" s="10"/>
      <c r="I459" s="11" t="e">
        <f>+VLOOKUP(B459,#REF!,7,FALSE)</f>
        <v>#REF!</v>
      </c>
      <c r="J459" s="12" t="str">
        <f t="shared" si="21"/>
        <v/>
      </c>
      <c r="K459" s="12" t="str">
        <f t="shared" si="22"/>
        <v/>
      </c>
      <c r="L459" s="12" t="e">
        <f t="shared" si="23"/>
        <v>#VALUE!</v>
      </c>
    </row>
    <row r="460" spans="1:12" ht="24" customHeight="1" x14ac:dyDescent="0.25">
      <c r="A460" s="9">
        <v>43186</v>
      </c>
      <c r="B460" s="10" t="s">
        <v>457</v>
      </c>
      <c r="C460" s="17">
        <v>2964</v>
      </c>
      <c r="D460" s="11" t="e">
        <f>+VLOOKUP(B460,#REF!,6,FALSE)</f>
        <v>#REF!</v>
      </c>
      <c r="E460" s="10">
        <f>20.139/6</f>
        <v>3.3565</v>
      </c>
      <c r="F460" s="10"/>
      <c r="G460" s="10"/>
      <c r="H460" s="10"/>
      <c r="I460" s="11" t="e">
        <f>+VLOOKUP(B460,#REF!,7,FALSE)</f>
        <v>#REF!</v>
      </c>
      <c r="J460" s="12" t="str">
        <f t="shared" si="21"/>
        <v/>
      </c>
      <c r="K460" s="12" t="str">
        <f t="shared" si="22"/>
        <v/>
      </c>
      <c r="L460" s="12" t="e">
        <f t="shared" si="23"/>
        <v>#VALUE!</v>
      </c>
    </row>
    <row r="461" spans="1:12" ht="24" customHeight="1" x14ac:dyDescent="0.25">
      <c r="A461" s="9">
        <v>43187</v>
      </c>
      <c r="B461" s="10" t="s">
        <v>24</v>
      </c>
      <c r="C461" s="17">
        <v>42</v>
      </c>
      <c r="D461" s="11" t="e">
        <f>+VLOOKUP(B461,#REF!,6,FALSE)</f>
        <v>#REF!</v>
      </c>
      <c r="E461" s="10">
        <v>9.1701999999999995</v>
      </c>
      <c r="F461" s="10"/>
      <c r="G461" s="10"/>
      <c r="H461" s="10"/>
      <c r="I461" s="11" t="e">
        <f>+VLOOKUP(B461,#REF!,7,FALSE)</f>
        <v>#REF!</v>
      </c>
      <c r="J461" s="12" t="str">
        <f t="shared" si="21"/>
        <v/>
      </c>
      <c r="K461" s="12" t="str">
        <f t="shared" si="22"/>
        <v/>
      </c>
      <c r="L461" s="12" t="e">
        <f t="shared" si="23"/>
        <v>#VALUE!</v>
      </c>
    </row>
    <row r="462" spans="1:12" ht="24" customHeight="1" x14ac:dyDescent="0.25">
      <c r="A462" s="9">
        <v>43187</v>
      </c>
      <c r="B462" s="10" t="s">
        <v>184</v>
      </c>
      <c r="C462" s="17">
        <v>7044</v>
      </c>
      <c r="D462" s="11" t="e">
        <f>+VLOOKUP(B462,#REF!,6,FALSE)/6</f>
        <v>#REF!</v>
      </c>
      <c r="E462" s="10">
        <f>11.6464/6</f>
        <v>1.9410666666666667</v>
      </c>
      <c r="F462" s="10"/>
      <c r="G462" s="10"/>
      <c r="H462" s="10"/>
      <c r="I462" s="11" t="e">
        <f>+VLOOKUP(B462,#REF!,7,FALSE)</f>
        <v>#REF!</v>
      </c>
      <c r="J462" s="12" t="str">
        <f t="shared" si="21"/>
        <v/>
      </c>
      <c r="K462" s="12" t="str">
        <f t="shared" si="22"/>
        <v/>
      </c>
      <c r="L462" s="12" t="e">
        <f t="shared" si="23"/>
        <v>#VALUE!</v>
      </c>
    </row>
    <row r="463" spans="1:12" ht="24" customHeight="1" x14ac:dyDescent="0.25">
      <c r="A463" s="9">
        <v>43187</v>
      </c>
      <c r="B463" s="10" t="s">
        <v>200</v>
      </c>
      <c r="C463" s="17">
        <v>9792</v>
      </c>
      <c r="D463" s="11" t="e">
        <f>+VLOOKUP(B463,#REF!,6,FALSE)</f>
        <v>#REF!</v>
      </c>
      <c r="E463" s="10">
        <v>2.5617000000000001</v>
      </c>
      <c r="F463" s="10"/>
      <c r="G463" s="10"/>
      <c r="H463" s="10"/>
      <c r="I463" s="11">
        <v>5.83</v>
      </c>
      <c r="J463" s="12" t="str">
        <f t="shared" si="21"/>
        <v/>
      </c>
      <c r="K463" s="12">
        <f t="shared" si="22"/>
        <v>0.56060034305317319</v>
      </c>
      <c r="L463" s="12" t="e">
        <f t="shared" si="23"/>
        <v>#VALUE!</v>
      </c>
    </row>
    <row r="464" spans="1:12" ht="24" customHeight="1" x14ac:dyDescent="0.25">
      <c r="A464" s="9">
        <v>43187</v>
      </c>
      <c r="B464" s="10" t="s">
        <v>419</v>
      </c>
      <c r="C464" s="17">
        <v>1434</v>
      </c>
      <c r="D464" s="11" t="e">
        <f>+VLOOKUP(B464,#REF!,6,FALSE)/6</f>
        <v>#REF!</v>
      </c>
      <c r="E464" s="10">
        <f>8.7115/6</f>
        <v>1.4519166666666665</v>
      </c>
      <c r="F464" s="10"/>
      <c r="G464" s="10"/>
      <c r="H464" s="10"/>
      <c r="I464" s="11" t="e">
        <f>+VLOOKUP(B464,#REF!,7,FALSE)</f>
        <v>#REF!</v>
      </c>
      <c r="J464" s="12" t="str">
        <f t="shared" si="21"/>
        <v/>
      </c>
      <c r="K464" s="12" t="str">
        <f t="shared" si="22"/>
        <v/>
      </c>
      <c r="L464" s="12" t="e">
        <f t="shared" si="23"/>
        <v>#VALUE!</v>
      </c>
    </row>
    <row r="465" spans="1:12" ht="24" customHeight="1" x14ac:dyDescent="0.25">
      <c r="A465" s="9">
        <v>43187</v>
      </c>
      <c r="B465" s="10" t="s">
        <v>430</v>
      </c>
      <c r="C465" s="17">
        <v>3204</v>
      </c>
      <c r="D465" s="11" t="e">
        <f>+VLOOKUP(B465,#REF!,6,FALSE)</f>
        <v>#REF!</v>
      </c>
      <c r="E465" s="10">
        <f>19.6649/6</f>
        <v>3.2774833333333331</v>
      </c>
      <c r="F465" s="10"/>
      <c r="G465" s="10"/>
      <c r="H465" s="10"/>
      <c r="I465" s="11" t="e">
        <f>+VLOOKUP(B465,#REF!,7,FALSE)</f>
        <v>#REF!</v>
      </c>
      <c r="J465" s="12" t="str">
        <f t="shared" si="21"/>
        <v/>
      </c>
      <c r="K465" s="12" t="str">
        <f t="shared" si="22"/>
        <v/>
      </c>
      <c r="L465" s="12" t="e">
        <f t="shared" si="23"/>
        <v>#VALUE!</v>
      </c>
    </row>
    <row r="466" spans="1:12" ht="24" customHeight="1" x14ac:dyDescent="0.25">
      <c r="A466" s="9">
        <v>43187</v>
      </c>
      <c r="B466" s="10" t="s">
        <v>465</v>
      </c>
      <c r="C466" s="17">
        <v>1176</v>
      </c>
      <c r="D466" s="11" t="e">
        <f>+VLOOKUP(B466,#REF!,6,FALSE)</f>
        <v>#REF!</v>
      </c>
      <c r="E466" s="10">
        <v>2.4001199999999998</v>
      </c>
      <c r="F466" s="10"/>
      <c r="G466" s="10"/>
      <c r="H466" s="10"/>
      <c r="I466" s="11" t="e">
        <f>+VLOOKUP(B466,#REF!,7,FALSE)</f>
        <v>#REF!</v>
      </c>
      <c r="J466" s="12" t="str">
        <f t="shared" si="21"/>
        <v/>
      </c>
      <c r="K466" s="12" t="str">
        <f t="shared" si="22"/>
        <v/>
      </c>
      <c r="L466" s="12" t="e">
        <f t="shared" si="23"/>
        <v>#VALUE!</v>
      </c>
    </row>
    <row r="467" spans="1:12" ht="24" customHeight="1" x14ac:dyDescent="0.25">
      <c r="A467" s="9">
        <v>43187</v>
      </c>
      <c r="B467" s="10" t="s">
        <v>466</v>
      </c>
      <c r="C467" s="17">
        <v>540</v>
      </c>
      <c r="D467" s="11" t="e">
        <f>+VLOOKUP(B467,#REF!,6,FALSE)</f>
        <v>#REF!</v>
      </c>
      <c r="E467" s="10">
        <v>2.4028</v>
      </c>
      <c r="F467" s="10"/>
      <c r="G467" s="10"/>
      <c r="H467" s="10"/>
      <c r="I467" s="11" t="e">
        <f>+VLOOKUP(B467,#REF!,7,FALSE)</f>
        <v>#REF!</v>
      </c>
      <c r="J467" s="12" t="str">
        <f t="shared" si="21"/>
        <v/>
      </c>
      <c r="K467" s="12" t="str">
        <f t="shared" si="22"/>
        <v/>
      </c>
      <c r="L467" s="12" t="e">
        <f t="shared" si="23"/>
        <v>#VALUE!</v>
      </c>
    </row>
    <row r="468" spans="1:12" ht="24" customHeight="1" x14ac:dyDescent="0.25">
      <c r="A468" s="9">
        <v>43187</v>
      </c>
      <c r="B468" s="10" t="s">
        <v>467</v>
      </c>
      <c r="C468" s="17">
        <v>1122</v>
      </c>
      <c r="D468" s="11" t="e">
        <f>+VLOOKUP(B468,#REF!,6,FALSE)</f>
        <v>#REF!</v>
      </c>
      <c r="E468" s="10">
        <v>2.2347000000000001</v>
      </c>
      <c r="F468" s="10"/>
      <c r="G468" s="10"/>
      <c r="H468" s="10"/>
      <c r="I468" s="11" t="e">
        <f>+VLOOKUP(B468,#REF!,7,FALSE)</f>
        <v>#REF!</v>
      </c>
      <c r="J468" s="12" t="str">
        <f t="shared" si="21"/>
        <v/>
      </c>
      <c r="K468" s="12" t="str">
        <f t="shared" si="22"/>
        <v/>
      </c>
      <c r="L468" s="12" t="e">
        <f t="shared" si="23"/>
        <v>#VALUE!</v>
      </c>
    </row>
    <row r="469" spans="1:12" ht="24" customHeight="1" x14ac:dyDescent="0.25">
      <c r="A469" s="9">
        <v>43188</v>
      </c>
      <c r="B469" s="10" t="s">
        <v>45</v>
      </c>
      <c r="C469" s="17">
        <v>53</v>
      </c>
      <c r="D469" s="11" t="e">
        <f>+VLOOKUP(B469,#REF!,6,FALSE)</f>
        <v>#REF!</v>
      </c>
      <c r="E469" s="10">
        <v>17.017499999999998</v>
      </c>
      <c r="F469" s="10"/>
      <c r="G469" s="10"/>
      <c r="H469" s="10"/>
      <c r="I469" s="11" t="e">
        <f>+VLOOKUP(B469,#REF!,7,FALSE)</f>
        <v>#REF!</v>
      </c>
      <c r="J469" s="12" t="str">
        <f t="shared" si="21"/>
        <v/>
      </c>
      <c r="K469" s="12" t="str">
        <f t="shared" si="22"/>
        <v/>
      </c>
      <c r="L469" s="12" t="e">
        <f t="shared" si="23"/>
        <v>#VALUE!</v>
      </c>
    </row>
    <row r="470" spans="1:12" ht="24" customHeight="1" x14ac:dyDescent="0.25">
      <c r="A470" s="9">
        <v>43188</v>
      </c>
      <c r="B470" s="10" t="s">
        <v>128</v>
      </c>
      <c r="C470" s="17">
        <v>37080</v>
      </c>
      <c r="D470" s="11" t="e">
        <f>+VLOOKUP(B470,#REF!,6,FALSE)</f>
        <v>#REF!</v>
      </c>
      <c r="E470" s="10">
        <f>15.6188/72</f>
        <v>0.21692777777777777</v>
      </c>
      <c r="F470" s="10"/>
      <c r="G470" s="10"/>
      <c r="H470" s="10"/>
      <c r="I470" s="11" t="e">
        <f>+VLOOKUP(B470,#REF!,7,FALSE)</f>
        <v>#REF!</v>
      </c>
      <c r="J470" s="12" t="str">
        <f t="shared" si="21"/>
        <v/>
      </c>
      <c r="K470" s="12" t="str">
        <f t="shared" si="22"/>
        <v/>
      </c>
      <c r="L470" s="12" t="e">
        <f t="shared" si="23"/>
        <v>#VALUE!</v>
      </c>
    </row>
    <row r="471" spans="1:12" ht="24" customHeight="1" x14ac:dyDescent="0.25">
      <c r="A471" s="9">
        <v>43188</v>
      </c>
      <c r="B471" s="10" t="s">
        <v>200</v>
      </c>
      <c r="C471" s="17">
        <v>9978</v>
      </c>
      <c r="D471" s="11" t="e">
        <f>+VLOOKUP(B471,#REF!,6,FALSE)</f>
        <v>#REF!</v>
      </c>
      <c r="E471" s="10">
        <v>2.2616999999999998</v>
      </c>
      <c r="F471" s="10"/>
      <c r="G471" s="10"/>
      <c r="H471" s="10"/>
      <c r="I471" s="11">
        <v>5.83</v>
      </c>
      <c r="J471" s="12" t="str">
        <f t="shared" si="21"/>
        <v/>
      </c>
      <c r="K471" s="12">
        <f t="shared" si="22"/>
        <v>0.61205831903945118</v>
      </c>
      <c r="L471" s="12" t="e">
        <f t="shared" si="23"/>
        <v>#VALUE!</v>
      </c>
    </row>
    <row r="472" spans="1:12" ht="24" customHeight="1" x14ac:dyDescent="0.25">
      <c r="A472" s="9">
        <v>43188</v>
      </c>
      <c r="B472" s="10" t="s">
        <v>214</v>
      </c>
      <c r="C472" s="17">
        <v>11496</v>
      </c>
      <c r="D472" s="11" t="e">
        <f>+VLOOKUP(B472,#REF!,6,FALSE)/12</f>
        <v>#REF!</v>
      </c>
      <c r="E472" s="10">
        <f>8.8446/12</f>
        <v>0.73704999999999998</v>
      </c>
      <c r="F472" s="10"/>
      <c r="G472" s="10"/>
      <c r="H472" s="10"/>
      <c r="I472" s="11" t="e">
        <f>+VLOOKUP(B472,#REF!,7,FALSE)</f>
        <v>#REF!</v>
      </c>
      <c r="J472" s="12" t="str">
        <f t="shared" si="21"/>
        <v/>
      </c>
      <c r="K472" s="12" t="str">
        <f t="shared" si="22"/>
        <v/>
      </c>
      <c r="L472" s="12" t="e">
        <f t="shared" si="23"/>
        <v>#VALUE!</v>
      </c>
    </row>
    <row r="473" spans="1:12" ht="24" customHeight="1" x14ac:dyDescent="0.25">
      <c r="A473" s="9">
        <v>43188</v>
      </c>
      <c r="B473" s="10" t="s">
        <v>441</v>
      </c>
      <c r="C473" s="17">
        <v>1434</v>
      </c>
      <c r="D473" s="11" t="e">
        <f>+VLOOKUP(B473,#REF!,6,FALSE)</f>
        <v>#REF!</v>
      </c>
      <c r="E473" s="10">
        <v>0.5837</v>
      </c>
      <c r="F473" s="10"/>
      <c r="G473" s="10"/>
      <c r="H473" s="10"/>
      <c r="I473" s="11" t="e">
        <f>+VLOOKUP(B473,#REF!,7,FALSE)</f>
        <v>#REF!</v>
      </c>
      <c r="J473" s="12" t="str">
        <f t="shared" si="21"/>
        <v/>
      </c>
      <c r="K473" s="12" t="str">
        <f t="shared" si="22"/>
        <v/>
      </c>
      <c r="L473" s="12" t="e">
        <f t="shared" si="23"/>
        <v>#VALUE!</v>
      </c>
    </row>
    <row r="474" spans="1:12" ht="24" customHeight="1" x14ac:dyDescent="0.25">
      <c r="A474" s="9">
        <v>43188</v>
      </c>
      <c r="B474" s="10" t="s">
        <v>430</v>
      </c>
      <c r="C474" s="17">
        <v>3468</v>
      </c>
      <c r="D474" s="11" t="e">
        <f>+VLOOKUP(B474,#REF!,6,FALSE)</f>
        <v>#REF!</v>
      </c>
      <c r="E474" s="10">
        <f>18.624/6</f>
        <v>3.1039999999999996</v>
      </c>
      <c r="F474" s="10"/>
      <c r="G474" s="10"/>
      <c r="H474" s="10"/>
      <c r="I474" s="11" t="e">
        <f>+VLOOKUP(B474,#REF!,7,FALSE)</f>
        <v>#REF!</v>
      </c>
      <c r="J474" s="12" t="str">
        <f t="shared" si="21"/>
        <v/>
      </c>
      <c r="K474" s="23" t="str">
        <f t="shared" si="22"/>
        <v/>
      </c>
      <c r="L474" s="12" t="e">
        <f t="shared" si="23"/>
        <v>#VALUE!</v>
      </c>
    </row>
    <row r="475" spans="1:12" ht="24" customHeight="1" x14ac:dyDescent="0.25">
      <c r="A475" s="9">
        <v>43189</v>
      </c>
      <c r="B475" s="10" t="s">
        <v>88</v>
      </c>
      <c r="C475" s="17">
        <v>42</v>
      </c>
      <c r="D475" s="11" t="e">
        <f>+VLOOKUP(B475,#REF!,6,FALSE)</f>
        <v>#REF!</v>
      </c>
      <c r="E475" s="10">
        <v>3.5207999999999999</v>
      </c>
      <c r="F475" s="10"/>
      <c r="G475" s="10"/>
      <c r="H475" s="10"/>
      <c r="I475" s="11" t="e">
        <f>+VLOOKUP(B475,#REF!,7,FALSE)</f>
        <v>#REF!</v>
      </c>
      <c r="J475" s="12" t="str">
        <f t="shared" si="21"/>
        <v/>
      </c>
      <c r="K475" s="12" t="str">
        <f t="shared" si="22"/>
        <v/>
      </c>
      <c r="L475" s="12" t="e">
        <f t="shared" si="23"/>
        <v>#VALUE!</v>
      </c>
    </row>
    <row r="476" spans="1:12" ht="24" customHeight="1" x14ac:dyDescent="0.25">
      <c r="A476" s="9">
        <v>43189</v>
      </c>
      <c r="B476" s="10" t="s">
        <v>117</v>
      </c>
      <c r="C476" s="17">
        <f>16020/12</f>
        <v>1335</v>
      </c>
      <c r="D476" s="11" t="e">
        <f>+VLOOKUP(B476,#REF!,6,FALSE)</f>
        <v>#REF!</v>
      </c>
      <c r="E476" s="10">
        <v>3.4517000000000002</v>
      </c>
      <c r="F476" s="10"/>
      <c r="G476" s="10"/>
      <c r="H476" s="10"/>
      <c r="I476" s="11" t="e">
        <f>+VLOOKUP(B476,#REF!,7,FALSE)</f>
        <v>#REF!</v>
      </c>
      <c r="J476" s="12" t="str">
        <f t="shared" si="21"/>
        <v/>
      </c>
      <c r="K476" s="12" t="str">
        <f t="shared" si="22"/>
        <v/>
      </c>
      <c r="L476" s="12" t="e">
        <f t="shared" si="23"/>
        <v>#VALUE!</v>
      </c>
    </row>
    <row r="477" spans="1:12" ht="24" customHeight="1" x14ac:dyDescent="0.25">
      <c r="A477" s="9">
        <v>43189</v>
      </c>
      <c r="B477" s="10" t="s">
        <v>139</v>
      </c>
      <c r="C477" s="17">
        <v>1392</v>
      </c>
      <c r="D477" s="11" t="e">
        <f>+VLOOKUP(B477,#REF!,6,FALSE)/4</f>
        <v>#REF!</v>
      </c>
      <c r="E477" s="10">
        <f>16.446/4</f>
        <v>4.1115000000000004</v>
      </c>
      <c r="F477" s="10"/>
      <c r="G477" s="10"/>
      <c r="H477" s="10"/>
      <c r="I477" s="11" t="e">
        <f>+VLOOKUP(B477,#REF!,7,FALSE)</f>
        <v>#REF!</v>
      </c>
      <c r="J477" s="12" t="str">
        <f t="shared" si="21"/>
        <v/>
      </c>
      <c r="K477" s="12" t="str">
        <f t="shared" si="22"/>
        <v/>
      </c>
      <c r="L477" s="12" t="e">
        <f t="shared" si="23"/>
        <v>#VALUE!</v>
      </c>
    </row>
    <row r="478" spans="1:12" ht="24" customHeight="1" x14ac:dyDescent="0.25">
      <c r="A478" s="9">
        <v>43189</v>
      </c>
      <c r="B478" s="10" t="s">
        <v>200</v>
      </c>
      <c r="C478" s="17">
        <v>558</v>
      </c>
      <c r="D478" s="11" t="e">
        <f>+VLOOKUP(B478,#REF!,6,FALSE)</f>
        <v>#REF!</v>
      </c>
      <c r="E478" s="10">
        <v>2.2452999999999999</v>
      </c>
      <c r="F478" s="10"/>
      <c r="G478" s="10"/>
      <c r="H478" s="10"/>
      <c r="I478" s="11">
        <v>5.83</v>
      </c>
      <c r="J478" s="12" t="str">
        <f t="shared" si="21"/>
        <v/>
      </c>
      <c r="K478" s="12">
        <f t="shared" si="22"/>
        <v>0.61487135506003432</v>
      </c>
      <c r="L478" s="12" t="e">
        <f t="shared" si="23"/>
        <v>#VALUE!</v>
      </c>
    </row>
    <row r="479" spans="1:12" ht="24" customHeight="1" x14ac:dyDescent="0.25">
      <c r="A479" s="9">
        <v>43189</v>
      </c>
      <c r="B479" s="10" t="s">
        <v>214</v>
      </c>
      <c r="C479" s="17">
        <f>10140</f>
        <v>10140</v>
      </c>
      <c r="D479" s="22" t="e">
        <f>+VLOOKUP(B479,#REF!,6,FALSE)/12</f>
        <v>#REF!</v>
      </c>
      <c r="E479" s="10">
        <f>8.7676/12</f>
        <v>0.73063333333333336</v>
      </c>
      <c r="F479" s="10"/>
      <c r="G479" s="10"/>
      <c r="H479" s="10"/>
      <c r="I479" s="11" t="e">
        <f>+VLOOKUP(B479,#REF!,7,FALSE)</f>
        <v>#REF!</v>
      </c>
      <c r="J479" s="12" t="str">
        <f t="shared" si="21"/>
        <v/>
      </c>
      <c r="K479" s="12" t="str">
        <f t="shared" si="22"/>
        <v/>
      </c>
      <c r="L479" s="12" t="e">
        <f t="shared" si="23"/>
        <v>#VALUE!</v>
      </c>
    </row>
    <row r="480" spans="1:12" ht="24" customHeight="1" x14ac:dyDescent="0.25">
      <c r="A480" s="9">
        <v>43189</v>
      </c>
      <c r="B480" s="10" t="s">
        <v>441</v>
      </c>
      <c r="C480" s="17">
        <v>7086</v>
      </c>
      <c r="D480" s="11" t="e">
        <f>+VLOOKUP(B480,#REF!,6,FALSE)</f>
        <v>#REF!</v>
      </c>
      <c r="E480" s="10">
        <v>0.50639999999999996</v>
      </c>
      <c r="F480" s="10"/>
      <c r="G480" s="10"/>
      <c r="H480" s="10"/>
      <c r="I480" s="11" t="e">
        <f>+VLOOKUP(B480,#REF!,7,FALSE)</f>
        <v>#REF!</v>
      </c>
      <c r="J480" s="12" t="str">
        <f t="shared" si="21"/>
        <v/>
      </c>
      <c r="K480" s="12" t="str">
        <f t="shared" si="22"/>
        <v/>
      </c>
      <c r="L480" s="12" t="e">
        <f t="shared" si="23"/>
        <v>#VALUE!</v>
      </c>
    </row>
    <row r="481" spans="1:12" ht="24" customHeight="1" x14ac:dyDescent="0.25">
      <c r="A481" s="9">
        <v>43189</v>
      </c>
      <c r="B481" s="10" t="s">
        <v>430</v>
      </c>
      <c r="C481" s="17">
        <v>4182</v>
      </c>
      <c r="D481" s="11" t="e">
        <f>+VLOOKUP(B481,#REF!,6,FALSE)</f>
        <v>#REF!</v>
      </c>
      <c r="E481" s="10">
        <f>18.4006/6</f>
        <v>3.0667666666666666</v>
      </c>
      <c r="F481" s="10"/>
      <c r="G481" s="10"/>
      <c r="H481" s="10"/>
      <c r="I481" s="11" t="e">
        <f>+VLOOKUP(B481,#REF!,7,FALSE)</f>
        <v>#REF!</v>
      </c>
      <c r="J481" s="12" t="str">
        <f t="shared" si="21"/>
        <v/>
      </c>
      <c r="K481" s="12" t="str">
        <f t="shared" si="22"/>
        <v/>
      </c>
      <c r="L481" s="12" t="e">
        <f t="shared" si="23"/>
        <v>#VALUE!</v>
      </c>
    </row>
    <row r="482" spans="1:12" ht="24" customHeight="1" x14ac:dyDescent="0.25">
      <c r="A482" s="9">
        <v>43189</v>
      </c>
      <c r="B482" s="10" t="s">
        <v>463</v>
      </c>
      <c r="C482" s="17">
        <v>8616</v>
      </c>
      <c r="D482" s="11" t="e">
        <f>+VLOOKUP(B482,#REF!,6,FALSE)</f>
        <v>#REF!</v>
      </c>
      <c r="E482" s="10">
        <f>21.7908/6</f>
        <v>3.6318000000000001</v>
      </c>
      <c r="F482" s="10"/>
      <c r="G482" s="10"/>
      <c r="H482" s="10"/>
      <c r="I482" s="11" t="e">
        <f>+VLOOKUP(B482,#REF!,7,FALSE)</f>
        <v>#REF!</v>
      </c>
      <c r="J482" s="12" t="str">
        <f t="shared" si="21"/>
        <v/>
      </c>
      <c r="K482" s="12" t="str">
        <f t="shared" si="22"/>
        <v/>
      </c>
      <c r="L482" s="12" t="e">
        <f t="shared" si="23"/>
        <v>#VALUE!</v>
      </c>
    </row>
    <row r="483" spans="1:12" ht="24" customHeight="1" x14ac:dyDescent="0.25">
      <c r="A483" s="9">
        <v>43193</v>
      </c>
      <c r="B483" s="10" t="s">
        <v>88</v>
      </c>
      <c r="C483" s="17">
        <v>143</v>
      </c>
      <c r="D483" s="11" t="e">
        <f>VLOOKUP(B483,#REF!,7,FALSE)</f>
        <v>#REF!</v>
      </c>
      <c r="E483" s="1">
        <v>3.5177999999999998</v>
      </c>
      <c r="F483" s="10"/>
      <c r="G483" s="10"/>
      <c r="H483" s="10"/>
      <c r="I483" s="11" t="e">
        <f>+VLOOKUP(B483,#REF!,7,FALSE)</f>
        <v>#REF!</v>
      </c>
      <c r="J483" s="12" t="str">
        <f t="shared" si="21"/>
        <v/>
      </c>
      <c r="K483" s="12" t="str">
        <f t="shared" si="22"/>
        <v/>
      </c>
      <c r="L483" s="12" t="e">
        <f t="shared" si="23"/>
        <v>#VALUE!</v>
      </c>
    </row>
    <row r="484" spans="1:12" ht="24" customHeight="1" x14ac:dyDescent="0.25">
      <c r="A484" s="9">
        <v>43193</v>
      </c>
      <c r="B484" s="10" t="s">
        <v>117</v>
      </c>
      <c r="C484" s="17">
        <v>4848</v>
      </c>
      <c r="D484" s="11" t="e">
        <f>VLOOKUP(B484,#REF!,7,FALSE)</f>
        <v>#REF!</v>
      </c>
      <c r="E484" s="1">
        <f>0.2876*12</f>
        <v>3.4512</v>
      </c>
      <c r="F484" s="10"/>
      <c r="G484" s="10"/>
      <c r="H484" s="10"/>
      <c r="I484" s="11" t="e">
        <f>+VLOOKUP(B484,#REF!,7,FALSE)</f>
        <v>#REF!</v>
      </c>
      <c r="J484" s="12" t="str">
        <f t="shared" si="21"/>
        <v/>
      </c>
      <c r="K484" s="12" t="str">
        <f t="shared" si="22"/>
        <v/>
      </c>
      <c r="L484" s="12" t="e">
        <f t="shared" si="23"/>
        <v>#VALUE!</v>
      </c>
    </row>
    <row r="485" spans="1:12" ht="24" customHeight="1" x14ac:dyDescent="0.25">
      <c r="A485" s="9">
        <v>43193</v>
      </c>
      <c r="B485" s="10" t="s">
        <v>166</v>
      </c>
      <c r="C485" s="17">
        <f>21612/12</f>
        <v>1801</v>
      </c>
      <c r="D485" s="11" t="e">
        <f>VLOOKUP(B485,#REF!,7,FALSE)</f>
        <v>#REF!</v>
      </c>
      <c r="E485" s="1">
        <f>12*0.2481</f>
        <v>2.9771999999999998</v>
      </c>
      <c r="F485" s="10"/>
      <c r="G485" s="10"/>
      <c r="H485" s="10"/>
      <c r="I485" s="11" t="e">
        <f>+VLOOKUP(B485,#REF!,7,FALSE)</f>
        <v>#REF!</v>
      </c>
      <c r="J485" s="12" t="str">
        <f t="shared" si="21"/>
        <v/>
      </c>
      <c r="K485" s="12" t="str">
        <f t="shared" si="22"/>
        <v/>
      </c>
      <c r="L485" s="12" t="e">
        <f t="shared" si="23"/>
        <v>#VALUE!</v>
      </c>
    </row>
    <row r="486" spans="1:12" ht="24" customHeight="1" x14ac:dyDescent="0.25">
      <c r="A486" s="9">
        <v>43193</v>
      </c>
      <c r="B486" s="10" t="s">
        <v>189</v>
      </c>
      <c r="C486" s="17">
        <v>6912</v>
      </c>
      <c r="D486" s="11" t="e">
        <f>VLOOKUP(B486,#REF!,7,FALSE)</f>
        <v>#REF!</v>
      </c>
      <c r="E486" s="1">
        <v>1.3509</v>
      </c>
      <c r="F486" s="10"/>
      <c r="G486" s="10"/>
      <c r="H486" s="10"/>
      <c r="I486" s="11" t="e">
        <f>+VLOOKUP(B486,#REF!,7,FALSE)</f>
        <v>#REF!</v>
      </c>
      <c r="J486" s="12" t="str">
        <f t="shared" si="21"/>
        <v/>
      </c>
      <c r="K486" s="12" t="str">
        <f t="shared" si="22"/>
        <v/>
      </c>
      <c r="L486" s="12" t="e">
        <f t="shared" si="23"/>
        <v>#VALUE!</v>
      </c>
    </row>
    <row r="487" spans="1:12" ht="24" customHeight="1" x14ac:dyDescent="0.25">
      <c r="A487" s="9">
        <v>43193</v>
      </c>
      <c r="B487" s="10" t="s">
        <v>440</v>
      </c>
      <c r="C487" s="17">
        <v>9210</v>
      </c>
      <c r="D487" s="11" t="e">
        <f>VLOOKUP(B487,#REF!,7,FALSE)</f>
        <v>#REF!</v>
      </c>
      <c r="E487" s="1">
        <v>0.69230000000000003</v>
      </c>
      <c r="F487" s="10"/>
      <c r="G487" s="10"/>
      <c r="H487" s="10"/>
      <c r="I487" s="11" t="e">
        <f>+VLOOKUP(B487,#REF!,7,FALSE)</f>
        <v>#REF!</v>
      </c>
      <c r="J487" s="12" t="str">
        <f t="shared" si="21"/>
        <v/>
      </c>
      <c r="K487" s="12" t="str">
        <f t="shared" si="22"/>
        <v/>
      </c>
      <c r="L487" s="12" t="e">
        <f t="shared" si="23"/>
        <v>#VALUE!</v>
      </c>
    </row>
    <row r="488" spans="1:12" ht="24" customHeight="1" x14ac:dyDescent="0.25">
      <c r="A488" s="9">
        <v>43193</v>
      </c>
      <c r="B488" s="10" t="s">
        <v>442</v>
      </c>
      <c r="C488" s="17">
        <v>22500</v>
      </c>
      <c r="D488" s="11" t="e">
        <f>VLOOKUP(B488,#REF!,7,FALSE)</f>
        <v>#REF!</v>
      </c>
      <c r="E488" s="1">
        <v>0.65449999999999997</v>
      </c>
      <c r="F488" s="10"/>
      <c r="G488" s="10"/>
      <c r="H488" s="10"/>
      <c r="I488" s="11" t="e">
        <f>+VLOOKUP(B488,#REF!,7,FALSE)</f>
        <v>#REF!</v>
      </c>
      <c r="J488" s="12" t="str">
        <f t="shared" si="21"/>
        <v/>
      </c>
      <c r="K488" s="12" t="str">
        <f t="shared" si="22"/>
        <v/>
      </c>
      <c r="L488" s="12" t="e">
        <f t="shared" si="23"/>
        <v>#VALUE!</v>
      </c>
    </row>
    <row r="489" spans="1:12" ht="24" customHeight="1" x14ac:dyDescent="0.25">
      <c r="A489" s="9">
        <v>43193</v>
      </c>
      <c r="B489" s="10" t="s">
        <v>456</v>
      </c>
      <c r="C489" s="17">
        <v>3396</v>
      </c>
      <c r="D489" s="11" t="e">
        <f>VLOOKUP(B489,#REF!,7,FALSE)</f>
        <v>#REF!</v>
      </c>
      <c r="E489" s="1">
        <v>3.6916000000000002</v>
      </c>
      <c r="F489" s="10"/>
      <c r="G489" s="10"/>
      <c r="H489" s="10"/>
      <c r="I489" s="11" t="e">
        <f>+VLOOKUP(B489,#REF!,7,FALSE)</f>
        <v>#REF!</v>
      </c>
      <c r="J489" s="12" t="str">
        <f t="shared" si="21"/>
        <v/>
      </c>
      <c r="K489" s="12" t="str">
        <f t="shared" si="22"/>
        <v/>
      </c>
      <c r="L489" s="12" t="e">
        <f t="shared" si="23"/>
        <v>#VALUE!</v>
      </c>
    </row>
    <row r="490" spans="1:12" ht="24" customHeight="1" x14ac:dyDescent="0.25">
      <c r="A490" s="9">
        <v>43194</v>
      </c>
      <c r="B490" s="10" t="s">
        <v>88</v>
      </c>
      <c r="C490" s="17">
        <v>823</v>
      </c>
      <c r="D490" s="11" t="e">
        <f>VLOOKUP(B490,#REF!,7,FALSE)</f>
        <v>#REF!</v>
      </c>
      <c r="E490" s="1">
        <v>3.6392000000000002</v>
      </c>
      <c r="F490" s="10"/>
      <c r="G490" s="10"/>
      <c r="H490" s="10"/>
      <c r="I490" s="11" t="e">
        <f>+VLOOKUP(B490,#REF!,7,FALSE)</f>
        <v>#REF!</v>
      </c>
      <c r="J490" s="12" t="str">
        <f t="shared" si="21"/>
        <v/>
      </c>
      <c r="K490" s="12" t="str">
        <f t="shared" si="22"/>
        <v/>
      </c>
      <c r="L490" s="12" t="e">
        <f t="shared" si="23"/>
        <v>#VALUE!</v>
      </c>
    </row>
    <row r="491" spans="1:12" ht="24" customHeight="1" x14ac:dyDescent="0.25">
      <c r="A491" s="9">
        <v>43194</v>
      </c>
      <c r="B491" s="10" t="s">
        <v>103</v>
      </c>
      <c r="C491" s="17">
        <v>6654</v>
      </c>
      <c r="D491" s="11" t="e">
        <f>VLOOKUP(B491,#REF!,7,FALSE)</f>
        <v>#REF!</v>
      </c>
      <c r="E491" s="1">
        <v>1.7155</v>
      </c>
      <c r="F491" s="10"/>
      <c r="G491" s="10"/>
      <c r="H491" s="10"/>
      <c r="I491" s="11" t="e">
        <f>+VLOOKUP(B491,#REF!,7,FALSE)</f>
        <v>#REF!</v>
      </c>
      <c r="J491" s="12" t="str">
        <f t="shared" si="21"/>
        <v/>
      </c>
      <c r="K491" s="12" t="str">
        <f t="shared" si="22"/>
        <v/>
      </c>
      <c r="L491" s="12" t="e">
        <f t="shared" si="23"/>
        <v>#VALUE!</v>
      </c>
    </row>
    <row r="492" spans="1:12" ht="24" customHeight="1" x14ac:dyDescent="0.25">
      <c r="A492" s="9">
        <v>43194</v>
      </c>
      <c r="B492" s="10" t="s">
        <v>209</v>
      </c>
      <c r="C492" s="17">
        <v>900</v>
      </c>
      <c r="D492" s="11" t="e">
        <f>VLOOKUP(B492,#REF!,7,FALSE)</f>
        <v>#REF!</v>
      </c>
      <c r="E492" s="1">
        <v>1.2572000000000001</v>
      </c>
      <c r="F492" s="10"/>
      <c r="G492" s="10"/>
      <c r="H492" s="10"/>
      <c r="I492" s="11" t="e">
        <f>+VLOOKUP(B492,#REF!,7,FALSE)</f>
        <v>#REF!</v>
      </c>
      <c r="J492" s="12" t="str">
        <f t="shared" si="21"/>
        <v/>
      </c>
      <c r="K492" s="12" t="str">
        <f t="shared" si="22"/>
        <v/>
      </c>
      <c r="L492" s="12" t="e">
        <f t="shared" si="23"/>
        <v>#VALUE!</v>
      </c>
    </row>
    <row r="493" spans="1:12" ht="24" customHeight="1" x14ac:dyDescent="0.25">
      <c r="A493" s="9">
        <v>43194</v>
      </c>
      <c r="B493" s="10" t="s">
        <v>420</v>
      </c>
      <c r="C493" s="17">
        <v>2412</v>
      </c>
      <c r="D493" s="11" t="e">
        <f>VLOOKUP(B493,#REF!,7,FALSE)</f>
        <v>#REF!</v>
      </c>
      <c r="E493" s="1">
        <v>1.2725</v>
      </c>
      <c r="F493" s="10"/>
      <c r="G493" s="10"/>
      <c r="H493" s="10"/>
      <c r="I493" s="11" t="e">
        <f>+VLOOKUP(B493,#REF!,7,FALSE)</f>
        <v>#REF!</v>
      </c>
      <c r="J493" s="12" t="str">
        <f t="shared" si="21"/>
        <v/>
      </c>
      <c r="K493" s="12" t="str">
        <f t="shared" si="22"/>
        <v/>
      </c>
      <c r="L493" s="12" t="e">
        <f t="shared" si="23"/>
        <v>#VALUE!</v>
      </c>
    </row>
    <row r="494" spans="1:12" ht="24" customHeight="1" x14ac:dyDescent="0.25">
      <c r="A494" s="9">
        <v>43194</v>
      </c>
      <c r="B494" s="10" t="s">
        <v>442</v>
      </c>
      <c r="C494" s="17">
        <v>25938</v>
      </c>
      <c r="D494" s="11" t="e">
        <f>VLOOKUP(B494,#REF!,7,FALSE)</f>
        <v>#REF!</v>
      </c>
      <c r="E494" s="1">
        <v>0.6401</v>
      </c>
      <c r="F494" s="10"/>
      <c r="G494" s="10"/>
      <c r="H494" s="10"/>
      <c r="I494" s="11" t="e">
        <f>+VLOOKUP(B494,#REF!,7,FALSE)</f>
        <v>#REF!</v>
      </c>
      <c r="J494" s="12" t="str">
        <f t="shared" si="21"/>
        <v/>
      </c>
      <c r="K494" s="12" t="str">
        <f t="shared" si="22"/>
        <v/>
      </c>
      <c r="L494" s="12" t="e">
        <f t="shared" si="23"/>
        <v>#VALUE!</v>
      </c>
    </row>
    <row r="495" spans="1:12" ht="24" customHeight="1" x14ac:dyDescent="0.25">
      <c r="A495" s="9">
        <v>43194</v>
      </c>
      <c r="B495" s="10" t="s">
        <v>430</v>
      </c>
      <c r="C495" s="17">
        <v>2052</v>
      </c>
      <c r="D495" s="11" t="e">
        <f>VLOOKUP(B495,#REF!,7,FALSE)</f>
        <v>#REF!</v>
      </c>
      <c r="E495" s="1">
        <v>3.1440999999999999</v>
      </c>
      <c r="F495" s="10"/>
      <c r="G495" s="10"/>
      <c r="H495" s="10"/>
      <c r="I495" s="11" t="e">
        <f>+VLOOKUP(B495,#REF!,7,FALSE)</f>
        <v>#REF!</v>
      </c>
      <c r="J495" s="12" t="str">
        <f t="shared" si="21"/>
        <v/>
      </c>
      <c r="K495" s="12" t="str">
        <f t="shared" si="22"/>
        <v/>
      </c>
      <c r="L495" s="12" t="e">
        <f t="shared" si="23"/>
        <v>#VALUE!</v>
      </c>
    </row>
    <row r="496" spans="1:12" ht="24" customHeight="1" x14ac:dyDescent="0.25">
      <c r="A496" s="9">
        <v>43194</v>
      </c>
      <c r="B496" s="10" t="s">
        <v>456</v>
      </c>
      <c r="C496" s="17">
        <v>732</v>
      </c>
      <c r="D496" s="11" t="e">
        <f>VLOOKUP(B496,#REF!,7,FALSE)</f>
        <v>#REF!</v>
      </c>
      <c r="E496" s="1">
        <v>3.6623999999999999</v>
      </c>
      <c r="F496" s="10"/>
      <c r="G496" s="10"/>
      <c r="H496" s="10"/>
      <c r="I496" s="11" t="e">
        <f>+VLOOKUP(B496,#REF!,7,FALSE)</f>
        <v>#REF!</v>
      </c>
      <c r="J496" s="12" t="str">
        <f t="shared" si="21"/>
        <v/>
      </c>
      <c r="K496" s="12" t="str">
        <f t="shared" si="22"/>
        <v/>
      </c>
      <c r="L496" s="12" t="e">
        <f t="shared" si="23"/>
        <v>#VALUE!</v>
      </c>
    </row>
    <row r="497" spans="1:12" ht="24" customHeight="1" x14ac:dyDescent="0.25">
      <c r="A497" s="9">
        <v>43194</v>
      </c>
      <c r="B497" s="10" t="s">
        <v>465</v>
      </c>
      <c r="C497" s="17">
        <v>606</v>
      </c>
      <c r="D497" s="11" t="e">
        <f>VLOOKUP(B497,#REF!,7,FALSE)</f>
        <v>#REF!</v>
      </c>
      <c r="E497" s="1">
        <v>2.0659000000000001</v>
      </c>
      <c r="F497" s="10"/>
      <c r="G497" s="10"/>
      <c r="H497" s="10"/>
      <c r="I497" s="11" t="e">
        <f>+VLOOKUP(B497,#REF!,7,FALSE)</f>
        <v>#REF!</v>
      </c>
      <c r="J497" s="12" t="str">
        <f t="shared" si="21"/>
        <v/>
      </c>
      <c r="K497" s="12" t="str">
        <f t="shared" si="22"/>
        <v/>
      </c>
      <c r="L497" s="12" t="e">
        <f t="shared" si="23"/>
        <v>#VALUE!</v>
      </c>
    </row>
    <row r="498" spans="1:12" ht="24" customHeight="1" x14ac:dyDescent="0.25">
      <c r="A498" s="9">
        <v>43194</v>
      </c>
      <c r="B498" s="10" t="s">
        <v>466</v>
      </c>
      <c r="C498" s="17">
        <v>984</v>
      </c>
      <c r="D498" s="11" t="e">
        <f>VLOOKUP(B498,#REF!,7,FALSE)</f>
        <v>#REF!</v>
      </c>
      <c r="E498" s="1">
        <v>2.0655000000000001</v>
      </c>
      <c r="F498" s="10"/>
      <c r="G498" s="10"/>
      <c r="H498" s="10"/>
      <c r="I498" s="11" t="e">
        <f>+VLOOKUP(B498,#REF!,7,FALSE)</f>
        <v>#REF!</v>
      </c>
      <c r="J498" s="12" t="str">
        <f t="shared" si="21"/>
        <v/>
      </c>
      <c r="K498" s="12" t="str">
        <f t="shared" si="22"/>
        <v/>
      </c>
      <c r="L498" s="12" t="e">
        <f t="shared" si="23"/>
        <v>#VALUE!</v>
      </c>
    </row>
    <row r="499" spans="1:12" ht="24" customHeight="1" x14ac:dyDescent="0.25">
      <c r="A499" s="9">
        <v>43194</v>
      </c>
      <c r="B499" s="10" t="s">
        <v>468</v>
      </c>
      <c r="C499" s="17">
        <v>888</v>
      </c>
      <c r="D499" s="11" t="e">
        <f>VLOOKUP(B499,#REF!,7,FALSE)</f>
        <v>#REF!</v>
      </c>
      <c r="E499" s="1">
        <v>2.2507000000000001</v>
      </c>
      <c r="F499" s="10"/>
      <c r="G499" s="10"/>
      <c r="H499" s="10"/>
      <c r="I499" s="11" t="e">
        <f>+VLOOKUP(B499,#REF!,7,FALSE)</f>
        <v>#REF!</v>
      </c>
      <c r="J499" s="12" t="str">
        <f t="shared" si="21"/>
        <v/>
      </c>
      <c r="K499" s="12" t="str">
        <f t="shared" si="22"/>
        <v/>
      </c>
      <c r="L499" s="12" t="e">
        <f t="shared" si="23"/>
        <v>#VALUE!</v>
      </c>
    </row>
    <row r="500" spans="1:12" ht="24" customHeight="1" x14ac:dyDescent="0.25">
      <c r="A500" s="9">
        <v>43194</v>
      </c>
      <c r="B500" s="10" t="s">
        <v>469</v>
      </c>
      <c r="C500" s="17">
        <v>918</v>
      </c>
      <c r="D500" s="11" t="e">
        <f>VLOOKUP(B500,#REF!,7,FALSE)</f>
        <v>#REF!</v>
      </c>
      <c r="E500" s="1">
        <v>2.1753999999999998</v>
      </c>
      <c r="F500" s="10"/>
      <c r="G500" s="10"/>
      <c r="H500" s="10"/>
      <c r="I500" s="11" t="e">
        <f>+VLOOKUP(B500,#REF!,7,FALSE)</f>
        <v>#REF!</v>
      </c>
      <c r="J500" s="12" t="str">
        <f t="shared" si="21"/>
        <v/>
      </c>
      <c r="K500" s="12" t="str">
        <f t="shared" si="22"/>
        <v/>
      </c>
      <c r="L500" s="12" t="e">
        <f t="shared" si="23"/>
        <v>#VALUE!</v>
      </c>
    </row>
    <row r="501" spans="1:12" ht="24" customHeight="1" x14ac:dyDescent="0.25">
      <c r="A501" s="9">
        <v>43195</v>
      </c>
      <c r="B501" s="10" t="s">
        <v>88</v>
      </c>
      <c r="C501" s="17">
        <v>143</v>
      </c>
      <c r="D501" s="11" t="e">
        <f>VLOOKUP(B501,#REF!,7,FALSE)</f>
        <v>#REF!</v>
      </c>
      <c r="E501" s="1">
        <v>3.5283000000000002</v>
      </c>
      <c r="F501" s="10"/>
      <c r="G501" s="10"/>
      <c r="H501" s="10"/>
      <c r="I501" s="11" t="e">
        <f>+VLOOKUP(B501,#REF!,7,FALSE)</f>
        <v>#REF!</v>
      </c>
      <c r="J501" s="12" t="str">
        <f t="shared" si="21"/>
        <v/>
      </c>
      <c r="K501" s="12" t="str">
        <f t="shared" si="22"/>
        <v/>
      </c>
      <c r="L501" s="12" t="e">
        <f t="shared" si="23"/>
        <v>#VALUE!</v>
      </c>
    </row>
    <row r="502" spans="1:12" ht="24" customHeight="1" x14ac:dyDescent="0.25">
      <c r="A502" s="9">
        <v>43195</v>
      </c>
      <c r="B502" s="10" t="s">
        <v>93</v>
      </c>
      <c r="C502" s="17">
        <v>985</v>
      </c>
      <c r="D502" s="11" t="e">
        <f>VLOOKUP(B502,#REF!,7,FALSE)</f>
        <v>#REF!</v>
      </c>
      <c r="E502" s="1">
        <v>18.396599999999999</v>
      </c>
      <c r="F502" s="10"/>
      <c r="G502" s="10"/>
      <c r="H502" s="10"/>
      <c r="I502" s="11" t="e">
        <f>+VLOOKUP(B502,#REF!,7,FALSE)</f>
        <v>#REF!</v>
      </c>
      <c r="J502" s="12" t="str">
        <f t="shared" si="21"/>
        <v/>
      </c>
      <c r="K502" s="12" t="str">
        <f t="shared" si="22"/>
        <v/>
      </c>
      <c r="L502" s="12" t="e">
        <f t="shared" si="23"/>
        <v>#VALUE!</v>
      </c>
    </row>
    <row r="503" spans="1:12" ht="24" customHeight="1" x14ac:dyDescent="0.25">
      <c r="A503" s="9">
        <v>43195</v>
      </c>
      <c r="B503" s="10" t="s">
        <v>117</v>
      </c>
      <c r="C503" s="17">
        <v>4848</v>
      </c>
      <c r="D503" s="11" t="e">
        <f>VLOOKUP(B503,#REF!,7,FALSE)</f>
        <v>#REF!</v>
      </c>
      <c r="E503" s="1" t="s">
        <v>11</v>
      </c>
      <c r="F503" s="10"/>
      <c r="G503" s="10"/>
      <c r="H503" s="10"/>
      <c r="I503" s="11" t="e">
        <f>+VLOOKUP(B503,#REF!,7,FALSE)</f>
        <v>#REF!</v>
      </c>
      <c r="J503" s="12" t="str">
        <f t="shared" si="21"/>
        <v/>
      </c>
      <c r="K503" s="12" t="str">
        <f t="shared" si="22"/>
        <v/>
      </c>
      <c r="L503" s="12" t="e">
        <f t="shared" si="23"/>
        <v>#VALUE!</v>
      </c>
    </row>
    <row r="504" spans="1:12" ht="24" customHeight="1" x14ac:dyDescent="0.25">
      <c r="A504" s="9">
        <v>43195</v>
      </c>
      <c r="B504" s="10" t="s">
        <v>204</v>
      </c>
      <c r="C504" s="17">
        <v>843</v>
      </c>
      <c r="D504" s="11" t="e">
        <f>VLOOKUP(B504,#REF!,7,FALSE)</f>
        <v>#REF!</v>
      </c>
      <c r="E504" s="1">
        <v>19.212499999999999</v>
      </c>
      <c r="F504" s="10"/>
      <c r="G504" s="10"/>
      <c r="H504" s="10"/>
      <c r="I504" s="11" t="e">
        <f>+VLOOKUP(B504,#REF!,7,FALSE)</f>
        <v>#REF!</v>
      </c>
      <c r="J504" s="12" t="str">
        <f t="shared" si="21"/>
        <v/>
      </c>
      <c r="K504" s="12" t="str">
        <f t="shared" si="22"/>
        <v/>
      </c>
      <c r="L504" s="12" t="e">
        <f t="shared" si="23"/>
        <v>#VALUE!</v>
      </c>
    </row>
    <row r="505" spans="1:12" ht="24" customHeight="1" x14ac:dyDescent="0.25">
      <c r="A505" s="9">
        <v>43195</v>
      </c>
      <c r="B505" s="10" t="s">
        <v>419</v>
      </c>
      <c r="C505" s="17">
        <v>342</v>
      </c>
      <c r="D505" s="11" t="e">
        <f>VLOOKUP(B505,#REF!,7,FALSE)</f>
        <v>#REF!</v>
      </c>
      <c r="E505" s="1">
        <v>1.5285</v>
      </c>
      <c r="F505" s="10"/>
      <c r="G505" s="10"/>
      <c r="H505" s="10"/>
      <c r="I505" s="11" t="e">
        <f>+VLOOKUP(B505,#REF!,7,FALSE)</f>
        <v>#REF!</v>
      </c>
      <c r="J505" s="12" t="str">
        <f t="shared" si="21"/>
        <v/>
      </c>
      <c r="K505" s="12" t="str">
        <f t="shared" si="22"/>
        <v/>
      </c>
      <c r="L505" s="12" t="e">
        <f t="shared" si="23"/>
        <v>#VALUE!</v>
      </c>
    </row>
    <row r="506" spans="1:12" ht="24" customHeight="1" x14ac:dyDescent="0.25">
      <c r="A506" s="9">
        <v>43195</v>
      </c>
      <c r="B506" s="10" t="s">
        <v>10</v>
      </c>
      <c r="C506" s="17">
        <v>7002</v>
      </c>
      <c r="D506" s="11" t="e">
        <f>VLOOKUP(B506,#REF!,7,FALSE)</f>
        <v>#REF!</v>
      </c>
      <c r="E506" s="1">
        <v>2.6968000000000001</v>
      </c>
      <c r="F506" s="10"/>
      <c r="G506" s="10"/>
      <c r="H506" s="10"/>
      <c r="I506" s="11" t="e">
        <f>+VLOOKUP(B506,#REF!,7,FALSE)</f>
        <v>#REF!</v>
      </c>
      <c r="J506" s="12" t="str">
        <f t="shared" si="21"/>
        <v/>
      </c>
      <c r="K506" s="12" t="str">
        <f t="shared" si="22"/>
        <v/>
      </c>
      <c r="L506" s="12" t="e">
        <f t="shared" si="23"/>
        <v>#VALUE!</v>
      </c>
    </row>
    <row r="507" spans="1:12" ht="24" customHeight="1" x14ac:dyDescent="0.25">
      <c r="A507" s="9">
        <v>43195</v>
      </c>
      <c r="B507" s="10" t="s">
        <v>440</v>
      </c>
      <c r="C507" s="17">
        <v>35320</v>
      </c>
      <c r="D507" s="11" t="e">
        <f>VLOOKUP(B507,#REF!,7,FALSE)</f>
        <v>#REF!</v>
      </c>
      <c r="E507" s="1">
        <v>0.62949999999999995</v>
      </c>
      <c r="F507" s="10"/>
      <c r="G507" s="10"/>
      <c r="H507" s="10"/>
      <c r="I507" s="11" t="e">
        <f>+VLOOKUP(B507,#REF!,7,FALSE)</f>
        <v>#REF!</v>
      </c>
      <c r="J507" s="12" t="str">
        <f t="shared" si="21"/>
        <v/>
      </c>
      <c r="K507" s="12" t="str">
        <f t="shared" si="22"/>
        <v/>
      </c>
      <c r="L507" s="12" t="e">
        <f t="shared" si="23"/>
        <v>#VALUE!</v>
      </c>
    </row>
    <row r="508" spans="1:12" ht="24" customHeight="1" x14ac:dyDescent="0.25">
      <c r="A508" s="9">
        <v>43196</v>
      </c>
      <c r="B508" s="10" t="s">
        <v>44</v>
      </c>
      <c r="C508" s="17">
        <v>589</v>
      </c>
      <c r="D508" s="11" t="e">
        <f>VLOOKUP(B508,#REF!,7,FALSE)</f>
        <v>#REF!</v>
      </c>
      <c r="E508" s="1">
        <v>11.7866</v>
      </c>
      <c r="F508" s="10"/>
      <c r="G508" s="10"/>
      <c r="H508" s="10"/>
      <c r="I508" s="11" t="e">
        <f>+VLOOKUP(B508,#REF!,7,FALSE)</f>
        <v>#REF!</v>
      </c>
      <c r="J508" s="12" t="str">
        <f t="shared" si="21"/>
        <v/>
      </c>
      <c r="K508" s="12" t="str">
        <f t="shared" si="22"/>
        <v/>
      </c>
      <c r="L508" s="12" t="e">
        <f t="shared" si="23"/>
        <v>#VALUE!</v>
      </c>
    </row>
    <row r="509" spans="1:12" ht="24" customHeight="1" x14ac:dyDescent="0.25">
      <c r="A509" s="9">
        <v>43196</v>
      </c>
      <c r="B509" s="10" t="s">
        <v>103</v>
      </c>
      <c r="C509" s="17">
        <v>4290</v>
      </c>
      <c r="D509" s="11" t="e">
        <f>VLOOKUP(B509,#REF!,7,FALSE)</f>
        <v>#REF!</v>
      </c>
      <c r="E509" s="1">
        <v>1.8607</v>
      </c>
      <c r="F509" s="10"/>
      <c r="G509" s="10"/>
      <c r="H509" s="10"/>
      <c r="I509" s="11" t="e">
        <f>+VLOOKUP(B509,#REF!,7,FALSE)</f>
        <v>#REF!</v>
      </c>
      <c r="J509" s="12" t="str">
        <f t="shared" si="21"/>
        <v/>
      </c>
      <c r="K509" s="12" t="str">
        <f t="shared" si="22"/>
        <v/>
      </c>
      <c r="L509" s="12" t="e">
        <f t="shared" si="23"/>
        <v>#VALUE!</v>
      </c>
    </row>
    <row r="510" spans="1:12" ht="24" customHeight="1" x14ac:dyDescent="0.25">
      <c r="A510" s="9">
        <v>43196</v>
      </c>
      <c r="B510" s="10" t="s">
        <v>114</v>
      </c>
      <c r="C510" s="17">
        <v>3066</v>
      </c>
      <c r="D510" s="11" t="e">
        <f>VLOOKUP(B510,#REF!,7,FALSE)</f>
        <v>#REF!</v>
      </c>
      <c r="E510" s="1">
        <v>1.9699</v>
      </c>
      <c r="F510" s="10"/>
      <c r="G510" s="10"/>
      <c r="H510" s="10"/>
      <c r="I510" s="11" t="e">
        <f>+VLOOKUP(B510,#REF!,7,FALSE)</f>
        <v>#REF!</v>
      </c>
      <c r="J510" s="12" t="str">
        <f t="shared" si="21"/>
        <v/>
      </c>
      <c r="K510" s="12" t="str">
        <f t="shared" si="22"/>
        <v/>
      </c>
      <c r="L510" s="12" t="e">
        <f t="shared" si="23"/>
        <v>#VALUE!</v>
      </c>
    </row>
    <row r="511" spans="1:12" ht="24" customHeight="1" x14ac:dyDescent="0.25">
      <c r="A511" s="9">
        <v>43196</v>
      </c>
      <c r="B511" s="10" t="s">
        <v>131</v>
      </c>
      <c r="C511" s="17">
        <v>1415</v>
      </c>
      <c r="D511" s="11" t="e">
        <f>VLOOKUP(B511,#REF!,7,FALSE)</f>
        <v>#REF!</v>
      </c>
      <c r="E511" s="1">
        <v>16.789400000000001</v>
      </c>
      <c r="F511" s="10"/>
      <c r="G511" s="10"/>
      <c r="H511" s="10"/>
      <c r="I511" s="11" t="e">
        <f>+VLOOKUP(B511,#REF!,7,FALSE)</f>
        <v>#REF!</v>
      </c>
      <c r="J511" s="12" t="str">
        <f t="shared" si="21"/>
        <v/>
      </c>
      <c r="K511" s="12" t="str">
        <f t="shared" si="22"/>
        <v/>
      </c>
      <c r="L511" s="12" t="e">
        <f t="shared" si="23"/>
        <v>#VALUE!</v>
      </c>
    </row>
    <row r="512" spans="1:12" ht="24" customHeight="1" x14ac:dyDescent="0.25">
      <c r="A512" s="9">
        <v>43196</v>
      </c>
      <c r="B512" s="10" t="s">
        <v>137</v>
      </c>
      <c r="C512" s="17">
        <v>1008</v>
      </c>
      <c r="D512" s="11" t="e">
        <f>VLOOKUP(B512,#REF!,7,FALSE)</f>
        <v>#REF!</v>
      </c>
      <c r="E512" s="1" t="s">
        <v>11</v>
      </c>
      <c r="F512" s="10"/>
      <c r="G512" s="10"/>
      <c r="H512" s="10"/>
      <c r="I512" s="11" t="e">
        <f>+VLOOKUP(B512,#REF!,7,FALSE)</f>
        <v>#REF!</v>
      </c>
      <c r="J512" s="12" t="str">
        <f t="shared" si="21"/>
        <v/>
      </c>
      <c r="K512" s="12" t="str">
        <f t="shared" si="22"/>
        <v/>
      </c>
      <c r="L512" s="12" t="e">
        <f t="shared" si="23"/>
        <v>#VALUE!</v>
      </c>
    </row>
    <row r="513" spans="1:12" ht="24" customHeight="1" x14ac:dyDescent="0.25">
      <c r="A513" s="9">
        <v>43196</v>
      </c>
      <c r="B513" s="10" t="s">
        <v>202</v>
      </c>
      <c r="C513" s="17">
        <v>384</v>
      </c>
      <c r="D513" s="11" t="e">
        <f>VLOOKUP(B513,#REF!,7,FALSE)</f>
        <v>#REF!</v>
      </c>
      <c r="E513" s="1">
        <v>17.4754</v>
      </c>
      <c r="F513" s="10"/>
      <c r="G513" s="10"/>
      <c r="H513" s="10"/>
      <c r="I513" s="11" t="e">
        <f>+VLOOKUP(B513,#REF!,7,FALSE)</f>
        <v>#REF!</v>
      </c>
      <c r="J513" s="12" t="str">
        <f t="shared" si="21"/>
        <v/>
      </c>
      <c r="K513" s="12" t="str">
        <f t="shared" si="22"/>
        <v/>
      </c>
      <c r="L513" s="12" t="e">
        <f t="shared" si="23"/>
        <v>#VALUE!</v>
      </c>
    </row>
    <row r="514" spans="1:12" ht="24" customHeight="1" x14ac:dyDescent="0.25">
      <c r="A514" s="9">
        <v>43196</v>
      </c>
      <c r="B514" s="10" t="s">
        <v>430</v>
      </c>
      <c r="C514" s="17">
        <v>4944</v>
      </c>
      <c r="D514" s="11" t="e">
        <f>VLOOKUP(B514,#REF!,7,FALSE)</f>
        <v>#REF!</v>
      </c>
      <c r="E514" s="1">
        <v>3.137</v>
      </c>
      <c r="F514" s="10"/>
      <c r="G514" s="10"/>
      <c r="H514" s="10"/>
      <c r="I514" s="11" t="e">
        <f>+VLOOKUP(B514,#REF!,7,FALSE)</f>
        <v>#REF!</v>
      </c>
      <c r="J514" s="12" t="str">
        <f t="shared" si="21"/>
        <v/>
      </c>
      <c r="K514" s="12" t="str">
        <f t="shared" si="22"/>
        <v/>
      </c>
      <c r="L514" s="12" t="e">
        <f t="shared" si="23"/>
        <v>#VALUE!</v>
      </c>
    </row>
    <row r="515" spans="1:12" ht="24" customHeight="1" x14ac:dyDescent="0.25">
      <c r="A515" s="9">
        <v>43196</v>
      </c>
      <c r="B515" s="10" t="s">
        <v>447</v>
      </c>
      <c r="C515" s="17">
        <v>64</v>
      </c>
      <c r="D515" s="11" t="e">
        <f>VLOOKUP(B515,#REF!,7,FALSE)</f>
        <v>#REF!</v>
      </c>
      <c r="E515" s="1">
        <v>0.93510000000000004</v>
      </c>
      <c r="F515" s="10"/>
      <c r="G515" s="10"/>
      <c r="H515" s="10"/>
      <c r="I515" s="11" t="e">
        <f>+VLOOKUP(B515,#REF!,7,FALSE)</f>
        <v>#REF!</v>
      </c>
      <c r="J515" s="12" t="str">
        <f t="shared" si="21"/>
        <v/>
      </c>
      <c r="K515" s="12" t="str">
        <f t="shared" si="22"/>
        <v/>
      </c>
      <c r="L515" s="12" t="e">
        <f t="shared" si="23"/>
        <v>#VALUE!</v>
      </c>
    </row>
    <row r="516" spans="1:12" ht="24" customHeight="1" x14ac:dyDescent="0.25">
      <c r="A516" s="9">
        <v>43199</v>
      </c>
      <c r="B516" s="10" t="s">
        <v>104</v>
      </c>
      <c r="C516" s="17">
        <v>2802</v>
      </c>
      <c r="D516" s="11" t="e">
        <f>VLOOKUP(B516,#REF!,7,FALSE)</f>
        <v>#REF!</v>
      </c>
      <c r="E516" s="1">
        <v>7.1852</v>
      </c>
      <c r="F516" s="10"/>
      <c r="G516" s="10"/>
      <c r="H516" s="10"/>
      <c r="I516" s="11" t="e">
        <f>+VLOOKUP(B516,#REF!,7,FALSE)</f>
        <v>#REF!</v>
      </c>
      <c r="J516" s="12" t="str">
        <f t="shared" ref="J516:J579" si="24">IFERROR((I516-(D516+F516))/I516,"")</f>
        <v/>
      </c>
      <c r="K516" s="12" t="str">
        <f t="shared" ref="K516:K579" si="25">IF(E516="","",IFERROR((I516-(E516+G516+H516))/I516,""))</f>
        <v/>
      </c>
      <c r="L516" s="12" t="e">
        <f t="shared" ref="L516:L579" si="26">J516-K516</f>
        <v>#VALUE!</v>
      </c>
    </row>
    <row r="517" spans="1:12" ht="24" customHeight="1" x14ac:dyDescent="0.25">
      <c r="A517" s="9">
        <v>43199</v>
      </c>
      <c r="B517" s="10" t="s">
        <v>111</v>
      </c>
      <c r="C517" s="17">
        <v>4210</v>
      </c>
      <c r="D517" s="11" t="e">
        <f>VLOOKUP(B517,#REF!,7,FALSE)</f>
        <v>#REF!</v>
      </c>
      <c r="E517" s="1">
        <v>1.22</v>
      </c>
      <c r="F517" s="10"/>
      <c r="G517" s="10"/>
      <c r="H517" s="10"/>
      <c r="I517" s="11" t="e">
        <f>+VLOOKUP(B517,#REF!,7,FALSE)</f>
        <v>#REF!</v>
      </c>
      <c r="J517" s="12" t="str">
        <f t="shared" si="24"/>
        <v/>
      </c>
      <c r="K517" s="12" t="str">
        <f t="shared" si="25"/>
        <v/>
      </c>
      <c r="L517" s="12" t="e">
        <f t="shared" si="26"/>
        <v>#VALUE!</v>
      </c>
    </row>
    <row r="518" spans="1:12" ht="24" customHeight="1" x14ac:dyDescent="0.25">
      <c r="A518" s="9">
        <v>43199</v>
      </c>
      <c r="B518" s="10" t="s">
        <v>139</v>
      </c>
      <c r="C518" s="17">
        <v>3340</v>
      </c>
      <c r="D518" s="11" t="e">
        <f>VLOOKUP(B518,#REF!,7,FALSE)</f>
        <v>#REF!</v>
      </c>
      <c r="E518" s="1">
        <v>3.8199000000000001</v>
      </c>
      <c r="F518" s="10"/>
      <c r="G518" s="10"/>
      <c r="H518" s="10"/>
      <c r="I518" s="11" t="e">
        <f>+VLOOKUP(B518,#REF!,7,FALSE)</f>
        <v>#REF!</v>
      </c>
      <c r="J518" s="12" t="str">
        <f t="shared" si="24"/>
        <v/>
      </c>
      <c r="K518" s="12" t="str">
        <f t="shared" si="25"/>
        <v/>
      </c>
      <c r="L518" s="12" t="e">
        <f t="shared" si="26"/>
        <v>#VALUE!</v>
      </c>
    </row>
    <row r="519" spans="1:12" ht="24" customHeight="1" x14ac:dyDescent="0.25">
      <c r="A519" s="9">
        <v>43199</v>
      </c>
      <c r="B519" s="10" t="s">
        <v>150</v>
      </c>
      <c r="C519" s="17">
        <v>6528</v>
      </c>
      <c r="D519" s="11" t="e">
        <f>VLOOKUP(B519,#REF!,7,FALSE)</f>
        <v>#REF!</v>
      </c>
      <c r="E519" s="1">
        <v>0.85819999999999996</v>
      </c>
      <c r="F519" s="10"/>
      <c r="G519" s="10"/>
      <c r="H519" s="10"/>
      <c r="I519" s="11" t="e">
        <f>+VLOOKUP(B519,#REF!,7,FALSE)</f>
        <v>#REF!</v>
      </c>
      <c r="J519" s="12" t="str">
        <f t="shared" si="24"/>
        <v/>
      </c>
      <c r="K519" s="12" t="str">
        <f t="shared" si="25"/>
        <v/>
      </c>
      <c r="L519" s="12" t="e">
        <f t="shared" si="26"/>
        <v>#VALUE!</v>
      </c>
    </row>
    <row r="520" spans="1:12" ht="24" customHeight="1" x14ac:dyDescent="0.25">
      <c r="A520" s="9">
        <v>43199</v>
      </c>
      <c r="B520" s="10" t="s">
        <v>181</v>
      </c>
      <c r="C520" s="17">
        <v>3336</v>
      </c>
      <c r="D520" s="11" t="e">
        <f>VLOOKUP(B520,#REF!,7,FALSE)</f>
        <v>#REF!</v>
      </c>
      <c r="E520" s="1">
        <v>2.7191999999999998</v>
      </c>
      <c r="F520" s="10"/>
      <c r="G520" s="10"/>
      <c r="H520" s="10"/>
      <c r="I520" s="11" t="e">
        <f>+VLOOKUP(B520,#REF!,7,FALSE)</f>
        <v>#REF!</v>
      </c>
      <c r="J520" s="12" t="str">
        <f t="shared" si="24"/>
        <v/>
      </c>
      <c r="K520" s="12" t="str">
        <f t="shared" si="25"/>
        <v/>
      </c>
      <c r="L520" s="12" t="e">
        <f t="shared" si="26"/>
        <v>#VALUE!</v>
      </c>
    </row>
    <row r="521" spans="1:12" ht="24" customHeight="1" x14ac:dyDescent="0.25">
      <c r="A521" s="9">
        <v>43199</v>
      </c>
      <c r="B521" s="10" t="s">
        <v>422</v>
      </c>
      <c r="C521" s="17">
        <v>3144</v>
      </c>
      <c r="D521" s="11" t="e">
        <f>VLOOKUP(B521,#REF!,7,FALSE)</f>
        <v>#REF!</v>
      </c>
      <c r="E521" s="1">
        <v>2.5741999999999998</v>
      </c>
      <c r="F521" s="10"/>
      <c r="G521" s="10"/>
      <c r="H521" s="10"/>
      <c r="I521" s="11" t="e">
        <f>+VLOOKUP(B521,#REF!,7,FALSE)</f>
        <v>#REF!</v>
      </c>
      <c r="J521" s="12" t="str">
        <f t="shared" si="24"/>
        <v/>
      </c>
      <c r="K521" s="12" t="str">
        <f t="shared" si="25"/>
        <v/>
      </c>
      <c r="L521" s="12" t="e">
        <f t="shared" si="26"/>
        <v>#VALUE!</v>
      </c>
    </row>
    <row r="522" spans="1:12" ht="24" customHeight="1" x14ac:dyDescent="0.25">
      <c r="A522" s="9">
        <v>43200</v>
      </c>
      <c r="B522" s="10" t="s">
        <v>137</v>
      </c>
      <c r="C522" s="17">
        <v>1680</v>
      </c>
      <c r="D522" s="11" t="e">
        <f>VLOOKUP(B522,#REF!,7,FALSE)</f>
        <v>#REF!</v>
      </c>
      <c r="E522" s="1" t="s">
        <v>11</v>
      </c>
      <c r="F522" s="10"/>
      <c r="G522" s="10"/>
      <c r="H522" s="10"/>
      <c r="I522" s="11" t="e">
        <f>+VLOOKUP(B522,#REF!,7,FALSE)</f>
        <v>#REF!</v>
      </c>
      <c r="J522" s="12" t="str">
        <f t="shared" si="24"/>
        <v/>
      </c>
      <c r="K522" s="12" t="str">
        <f t="shared" si="25"/>
        <v/>
      </c>
      <c r="L522" s="12" t="e">
        <f t="shared" si="26"/>
        <v>#VALUE!</v>
      </c>
    </row>
    <row r="523" spans="1:12" ht="24" customHeight="1" x14ac:dyDescent="0.25">
      <c r="A523" s="9">
        <v>43200</v>
      </c>
      <c r="B523" s="10" t="s">
        <v>180</v>
      </c>
      <c r="C523" s="17">
        <v>4800</v>
      </c>
      <c r="D523" s="11" t="e">
        <f>VLOOKUP(B523,#REF!,7,FALSE)</f>
        <v>#REF!</v>
      </c>
      <c r="E523" s="1">
        <v>0.89810000000000001</v>
      </c>
      <c r="F523" s="10"/>
      <c r="G523" s="10"/>
      <c r="H523" s="10"/>
      <c r="I523" s="11" t="e">
        <f>+VLOOKUP(B523,#REF!,7,FALSE)</f>
        <v>#REF!</v>
      </c>
      <c r="J523" s="12" t="str">
        <f t="shared" si="24"/>
        <v/>
      </c>
      <c r="K523" s="12" t="str">
        <f t="shared" si="25"/>
        <v/>
      </c>
      <c r="L523" s="12" t="e">
        <f t="shared" si="26"/>
        <v>#VALUE!</v>
      </c>
    </row>
    <row r="524" spans="1:12" ht="24" customHeight="1" x14ac:dyDescent="0.25">
      <c r="A524" s="9">
        <v>43200</v>
      </c>
      <c r="B524" s="10" t="s">
        <v>208</v>
      </c>
      <c r="C524" s="17">
        <v>6528</v>
      </c>
      <c r="D524" s="11" t="e">
        <f>VLOOKUP(B524,#REF!,7,FALSE)</f>
        <v>#REF!</v>
      </c>
      <c r="E524" s="1">
        <v>1.7301</v>
      </c>
      <c r="F524" s="10"/>
      <c r="G524" s="10"/>
      <c r="H524" s="10"/>
      <c r="I524" s="11" t="e">
        <f>+VLOOKUP(B524,#REF!,7,FALSE)</f>
        <v>#REF!</v>
      </c>
      <c r="J524" s="12" t="str">
        <f t="shared" si="24"/>
        <v/>
      </c>
      <c r="K524" s="12" t="str">
        <f t="shared" si="25"/>
        <v/>
      </c>
      <c r="L524" s="12" t="e">
        <f t="shared" si="26"/>
        <v>#VALUE!</v>
      </c>
    </row>
    <row r="525" spans="1:12" ht="24" customHeight="1" x14ac:dyDescent="0.25">
      <c r="A525" s="9">
        <v>43200</v>
      </c>
      <c r="B525" s="10" t="s">
        <v>211</v>
      </c>
      <c r="C525" s="17">
        <v>14262</v>
      </c>
      <c r="D525" s="11" t="e">
        <f>VLOOKUP(B525,#REF!,7,FALSE)</f>
        <v>#REF!</v>
      </c>
      <c r="E525" s="1">
        <v>1.5156000000000001</v>
      </c>
      <c r="F525" s="10"/>
      <c r="G525" s="10"/>
      <c r="H525" s="10"/>
      <c r="I525" s="11" t="e">
        <f>+VLOOKUP(B525,#REF!,7,FALSE)</f>
        <v>#REF!</v>
      </c>
      <c r="J525" s="12" t="str">
        <f t="shared" si="24"/>
        <v/>
      </c>
      <c r="K525" s="12" t="str">
        <f t="shared" si="25"/>
        <v/>
      </c>
      <c r="L525" s="12" t="e">
        <f t="shared" si="26"/>
        <v>#VALUE!</v>
      </c>
    </row>
    <row r="526" spans="1:12" ht="24" customHeight="1" x14ac:dyDescent="0.25">
      <c r="A526" s="9">
        <v>43200</v>
      </c>
      <c r="B526" s="10" t="s">
        <v>422</v>
      </c>
      <c r="C526" s="17">
        <v>6492</v>
      </c>
      <c r="D526" s="11" t="e">
        <f>VLOOKUP(B526,#REF!,7,FALSE)</f>
        <v>#REF!</v>
      </c>
      <c r="E526" s="1">
        <v>2.6057999999999999</v>
      </c>
      <c r="F526" s="10"/>
      <c r="G526" s="10"/>
      <c r="H526" s="10"/>
      <c r="I526" s="11" t="e">
        <f>+VLOOKUP(B526,#REF!,7,FALSE)</f>
        <v>#REF!</v>
      </c>
      <c r="J526" s="12" t="str">
        <f t="shared" si="24"/>
        <v/>
      </c>
      <c r="K526" s="12" t="str">
        <f t="shared" si="25"/>
        <v/>
      </c>
      <c r="L526" s="12" t="e">
        <f t="shared" si="26"/>
        <v>#VALUE!</v>
      </c>
    </row>
    <row r="527" spans="1:12" ht="24" customHeight="1" x14ac:dyDescent="0.25">
      <c r="A527" s="9">
        <v>43201</v>
      </c>
      <c r="B527" s="10" t="s">
        <v>111</v>
      </c>
      <c r="C527" s="17">
        <v>3720</v>
      </c>
      <c r="D527" s="11" t="e">
        <f>VLOOKUP(B527,#REF!,7,FALSE)</f>
        <v>#REF!</v>
      </c>
      <c r="E527" s="1">
        <v>1.3365</v>
      </c>
      <c r="F527" s="10"/>
      <c r="G527" s="10"/>
      <c r="H527" s="10"/>
      <c r="I527" s="11" t="e">
        <f>+VLOOKUP(B527,#REF!,7,FALSE)</f>
        <v>#REF!</v>
      </c>
      <c r="J527" s="12" t="str">
        <f t="shared" si="24"/>
        <v/>
      </c>
      <c r="K527" s="12" t="str">
        <f t="shared" si="25"/>
        <v/>
      </c>
      <c r="L527" s="12" t="e">
        <f t="shared" si="26"/>
        <v>#VALUE!</v>
      </c>
    </row>
    <row r="528" spans="1:12" ht="24" customHeight="1" x14ac:dyDescent="0.25">
      <c r="A528" s="9">
        <v>43201</v>
      </c>
      <c r="B528" s="10" t="s">
        <v>211</v>
      </c>
      <c r="C528" s="17">
        <v>15996</v>
      </c>
      <c r="D528" s="11" t="e">
        <f>VLOOKUP(B528,#REF!,7,FALSE)</f>
        <v>#REF!</v>
      </c>
      <c r="E528" s="1">
        <v>1.4520999999999999</v>
      </c>
      <c r="F528" s="10"/>
      <c r="G528" s="10"/>
      <c r="H528" s="10"/>
      <c r="I528" s="11" t="e">
        <f>+VLOOKUP(B528,#REF!,7,FALSE)</f>
        <v>#REF!</v>
      </c>
      <c r="J528" s="12" t="str">
        <f t="shared" si="24"/>
        <v/>
      </c>
      <c r="K528" s="12" t="str">
        <f t="shared" si="25"/>
        <v/>
      </c>
      <c r="L528" s="12" t="e">
        <f t="shared" si="26"/>
        <v>#VALUE!</v>
      </c>
    </row>
    <row r="529" spans="1:12" ht="24" customHeight="1" x14ac:dyDescent="0.25">
      <c r="A529" s="9">
        <v>43201</v>
      </c>
      <c r="B529" s="10" t="s">
        <v>422</v>
      </c>
      <c r="C529" s="17">
        <v>3510</v>
      </c>
      <c r="D529" s="11" t="e">
        <f>VLOOKUP(B529,#REF!,7,FALSE)</f>
        <v>#REF!</v>
      </c>
      <c r="E529" s="1">
        <v>2.7107000000000001</v>
      </c>
      <c r="F529" s="10"/>
      <c r="G529" s="10"/>
      <c r="H529" s="10"/>
      <c r="I529" s="11" t="e">
        <f>+VLOOKUP(B529,#REF!,7,FALSE)</f>
        <v>#REF!</v>
      </c>
      <c r="J529" s="12" t="str">
        <f t="shared" si="24"/>
        <v/>
      </c>
      <c r="K529" s="12" t="str">
        <f t="shared" si="25"/>
        <v/>
      </c>
      <c r="L529" s="12" t="e">
        <f t="shared" si="26"/>
        <v>#VALUE!</v>
      </c>
    </row>
    <row r="530" spans="1:12" ht="24" customHeight="1" x14ac:dyDescent="0.25">
      <c r="A530" s="9">
        <v>43201</v>
      </c>
      <c r="B530" s="10" t="s">
        <v>423</v>
      </c>
      <c r="C530" s="17">
        <v>4140</v>
      </c>
      <c r="D530" s="11" t="e">
        <f>VLOOKUP(B530,#REF!,7,FALSE)</f>
        <v>#REF!</v>
      </c>
      <c r="E530" s="1">
        <v>1.7815000000000001</v>
      </c>
      <c r="F530" s="10"/>
      <c r="G530" s="10"/>
      <c r="H530" s="10"/>
      <c r="I530" s="11" t="e">
        <f>+VLOOKUP(B530,#REF!,7,FALSE)</f>
        <v>#REF!</v>
      </c>
      <c r="J530" s="12" t="str">
        <f t="shared" si="24"/>
        <v/>
      </c>
      <c r="K530" s="12" t="str">
        <f t="shared" si="25"/>
        <v/>
      </c>
      <c r="L530" s="12" t="e">
        <f t="shared" si="26"/>
        <v>#VALUE!</v>
      </c>
    </row>
    <row r="531" spans="1:12" ht="24" customHeight="1" x14ac:dyDescent="0.25">
      <c r="A531" s="9">
        <v>43201</v>
      </c>
      <c r="B531" s="10" t="s">
        <v>471</v>
      </c>
      <c r="C531" s="17">
        <v>4782</v>
      </c>
      <c r="D531" s="11" t="e">
        <f>VLOOKUP(B531,#REF!,7,FALSE)</f>
        <v>#REF!</v>
      </c>
      <c r="E531" s="1">
        <v>1.9401999999999999</v>
      </c>
      <c r="F531" s="10"/>
      <c r="G531" s="10"/>
      <c r="H531" s="10"/>
      <c r="I531" s="11" t="e">
        <f>+VLOOKUP(B531,#REF!,7,FALSE)</f>
        <v>#REF!</v>
      </c>
      <c r="J531" s="12" t="str">
        <f t="shared" si="24"/>
        <v/>
      </c>
      <c r="K531" s="12" t="str">
        <f t="shared" si="25"/>
        <v/>
      </c>
      <c r="L531" s="12" t="e">
        <f t="shared" si="26"/>
        <v>#VALUE!</v>
      </c>
    </row>
    <row r="532" spans="1:12" ht="24" customHeight="1" x14ac:dyDescent="0.25">
      <c r="A532" s="9">
        <v>43202</v>
      </c>
      <c r="B532" s="10" t="s">
        <v>472</v>
      </c>
      <c r="C532" s="17">
        <v>882</v>
      </c>
      <c r="D532" s="11" t="e">
        <f>VLOOKUP(B532,#REF!,7,FALSE)</f>
        <v>#REF!</v>
      </c>
      <c r="E532" s="1">
        <f>17.7201/6</f>
        <v>2.9533499999999999</v>
      </c>
      <c r="F532" s="10"/>
      <c r="G532" s="10"/>
      <c r="H532" s="10"/>
      <c r="I532" s="11" t="e">
        <f>VLOOKUP(B532,#REF!,7,FALSE)</f>
        <v>#REF!</v>
      </c>
      <c r="J532" s="12" t="str">
        <f t="shared" si="24"/>
        <v/>
      </c>
      <c r="K532" s="12" t="str">
        <f t="shared" si="25"/>
        <v/>
      </c>
      <c r="L532" s="12" t="e">
        <f t="shared" si="26"/>
        <v>#VALUE!</v>
      </c>
    </row>
    <row r="533" spans="1:12" ht="24" customHeight="1" x14ac:dyDescent="0.25">
      <c r="A533" s="9">
        <v>43202</v>
      </c>
      <c r="B533" s="10" t="s">
        <v>473</v>
      </c>
      <c r="C533" s="17">
        <v>1242</v>
      </c>
      <c r="D533" s="11" t="e">
        <f>VLOOKUP(B533,#REF!,7,FALSE)</f>
        <v>#REF!</v>
      </c>
      <c r="E533" s="1">
        <f>15.2018/6</f>
        <v>2.5336333333333334</v>
      </c>
      <c r="F533" s="10"/>
      <c r="G533" s="10"/>
      <c r="H533" s="10"/>
      <c r="I533" s="11" t="e">
        <f>VLOOKUP(B533,#REF!,7,FALSE)</f>
        <v>#REF!</v>
      </c>
      <c r="J533" s="12" t="str">
        <f t="shared" si="24"/>
        <v/>
      </c>
      <c r="K533" s="12" t="str">
        <f t="shared" si="25"/>
        <v/>
      </c>
      <c r="L533" s="12" t="e">
        <f t="shared" si="26"/>
        <v>#VALUE!</v>
      </c>
    </row>
    <row r="534" spans="1:12" ht="24" customHeight="1" x14ac:dyDescent="0.25">
      <c r="A534" s="9">
        <v>43202</v>
      </c>
      <c r="B534" s="10" t="s">
        <v>474</v>
      </c>
      <c r="C534" s="17">
        <v>600</v>
      </c>
      <c r="D534" s="11" t="e">
        <f>VLOOKUP(B534,#REF!,7,FALSE)</f>
        <v>#REF!</v>
      </c>
      <c r="E534" s="1">
        <f>33.0357/12</f>
        <v>2.7529749999999997</v>
      </c>
      <c r="F534" s="10"/>
      <c r="G534" s="10"/>
      <c r="H534" s="10"/>
      <c r="I534" s="11" t="e">
        <f>VLOOKUP(B534,#REF!,7,FALSE)</f>
        <v>#REF!</v>
      </c>
      <c r="J534" s="12" t="str">
        <f t="shared" si="24"/>
        <v/>
      </c>
      <c r="K534" s="12" t="str">
        <f t="shared" si="25"/>
        <v/>
      </c>
      <c r="L534" s="12" t="e">
        <f t="shared" si="26"/>
        <v>#VALUE!</v>
      </c>
    </row>
    <row r="535" spans="1:12" ht="24" customHeight="1" x14ac:dyDescent="0.25">
      <c r="A535" s="9">
        <v>43202</v>
      </c>
      <c r="B535" s="10" t="s">
        <v>475</v>
      </c>
      <c r="C535" s="17">
        <v>996</v>
      </c>
      <c r="D535" s="11" t="e">
        <f>VLOOKUP(B535,#REF!,7,FALSE)</f>
        <v>#REF!</v>
      </c>
      <c r="E535" s="1">
        <f>28.9881/12</f>
        <v>2.4156749999999998</v>
      </c>
      <c r="F535" s="10"/>
      <c r="G535" s="10"/>
      <c r="H535" s="10"/>
      <c r="I535" s="11" t="e">
        <f>VLOOKUP(B535,#REF!,7,FALSE)</f>
        <v>#REF!</v>
      </c>
      <c r="J535" s="12" t="str">
        <f t="shared" si="24"/>
        <v/>
      </c>
      <c r="K535" s="12" t="str">
        <f t="shared" si="25"/>
        <v/>
      </c>
      <c r="L535" s="12" t="e">
        <f t="shared" si="26"/>
        <v>#VALUE!</v>
      </c>
    </row>
    <row r="536" spans="1:12" ht="24" customHeight="1" x14ac:dyDescent="0.25">
      <c r="A536" s="9">
        <v>43202</v>
      </c>
      <c r="B536" s="10" t="s">
        <v>476</v>
      </c>
      <c r="C536" s="17">
        <v>492</v>
      </c>
      <c r="D536" s="11" t="e">
        <f>VLOOKUP(B536,#REF!,7,FALSE)</f>
        <v>#REF!</v>
      </c>
      <c r="E536" s="1">
        <f>7.8738/6</f>
        <v>1.3123</v>
      </c>
      <c r="F536" s="10"/>
      <c r="G536" s="10"/>
      <c r="H536" s="10"/>
      <c r="I536" s="11" t="e">
        <f>VLOOKUP(B536,#REF!,7,FALSE)</f>
        <v>#REF!</v>
      </c>
      <c r="J536" s="12" t="str">
        <f t="shared" si="24"/>
        <v/>
      </c>
      <c r="K536" s="12" t="str">
        <f t="shared" si="25"/>
        <v/>
      </c>
      <c r="L536" s="12" t="e">
        <f t="shared" si="26"/>
        <v>#VALUE!</v>
      </c>
    </row>
    <row r="537" spans="1:12" ht="24" customHeight="1" x14ac:dyDescent="0.25">
      <c r="A537" s="9">
        <v>43202</v>
      </c>
      <c r="B537" s="10" t="s">
        <v>477</v>
      </c>
      <c r="C537" s="17">
        <v>534</v>
      </c>
      <c r="D537" s="11" t="e">
        <f>VLOOKUP(B537,#REF!,7,FALSE)</f>
        <v>#REF!</v>
      </c>
      <c r="E537" s="1">
        <f>7.1658/6</f>
        <v>1.1942999999999999</v>
      </c>
      <c r="F537" s="10"/>
      <c r="G537" s="10"/>
      <c r="H537" s="10"/>
      <c r="I537" s="11" t="e">
        <f>VLOOKUP(B537,#REF!,7,FALSE)</f>
        <v>#REF!</v>
      </c>
      <c r="J537" s="12" t="str">
        <f t="shared" si="24"/>
        <v/>
      </c>
      <c r="K537" s="12" t="str">
        <f t="shared" si="25"/>
        <v/>
      </c>
      <c r="L537" s="12" t="e">
        <f t="shared" si="26"/>
        <v>#VALUE!</v>
      </c>
    </row>
    <row r="538" spans="1:12" ht="24" customHeight="1" x14ac:dyDescent="0.25">
      <c r="A538" s="9">
        <v>43202</v>
      </c>
      <c r="B538" s="10" t="s">
        <v>150</v>
      </c>
      <c r="C538" s="17">
        <v>6900</v>
      </c>
      <c r="D538" s="11" t="e">
        <f>VLOOKUP(B538,#REF!,7,FALSE)</f>
        <v>#REF!</v>
      </c>
      <c r="E538" s="1">
        <f>5.2465/6</f>
        <v>0.87441666666666673</v>
      </c>
      <c r="F538" s="10"/>
      <c r="G538" s="10"/>
      <c r="H538" s="10"/>
      <c r="I538" s="11" t="e">
        <f>+VLOOKUP(B538,#REF!,7,FALSE)</f>
        <v>#REF!</v>
      </c>
      <c r="J538" s="12" t="str">
        <f t="shared" si="24"/>
        <v/>
      </c>
      <c r="K538" s="12" t="str">
        <f t="shared" si="25"/>
        <v/>
      </c>
      <c r="L538" s="12" t="e">
        <f t="shared" si="26"/>
        <v>#VALUE!</v>
      </c>
    </row>
    <row r="539" spans="1:12" ht="24" customHeight="1" x14ac:dyDescent="0.25">
      <c r="A539" s="9">
        <v>43202</v>
      </c>
      <c r="B539" s="10" t="s">
        <v>423</v>
      </c>
      <c r="C539" s="17">
        <v>6792</v>
      </c>
      <c r="D539" s="11" t="e">
        <f>VLOOKUP(B539,#REF!,7,FALSE)</f>
        <v>#REF!</v>
      </c>
      <c r="E539" s="1">
        <f>13.4639/6</f>
        <v>2.2439833333333334</v>
      </c>
      <c r="F539" s="10"/>
      <c r="G539" s="10"/>
      <c r="H539" s="10"/>
      <c r="I539" s="11" t="e">
        <f>+VLOOKUP(B539,#REF!,7,FALSE)</f>
        <v>#REF!</v>
      </c>
      <c r="J539" s="12" t="str">
        <f t="shared" si="24"/>
        <v/>
      </c>
      <c r="K539" s="12" t="str">
        <f t="shared" si="25"/>
        <v/>
      </c>
      <c r="L539" s="12" t="e">
        <f t="shared" si="26"/>
        <v>#VALUE!</v>
      </c>
    </row>
    <row r="540" spans="1:12" ht="24" customHeight="1" x14ac:dyDescent="0.25">
      <c r="A540" s="9">
        <v>43202</v>
      </c>
      <c r="B540" s="10" t="s">
        <v>471</v>
      </c>
      <c r="C540" s="17">
        <v>3870</v>
      </c>
      <c r="D540" s="11" t="e">
        <f>VLOOKUP(B540,#REF!,7,FALSE)</f>
        <v>#REF!</v>
      </c>
      <c r="E540" s="1">
        <v>1.9202999999999999</v>
      </c>
      <c r="F540" s="10"/>
      <c r="G540" s="10"/>
      <c r="H540" s="10"/>
      <c r="I540" s="11" t="e">
        <f>+VLOOKUP(B540,#REF!,7,FALSE)</f>
        <v>#REF!</v>
      </c>
      <c r="J540" s="12" t="str">
        <f t="shared" si="24"/>
        <v/>
      </c>
      <c r="K540" s="12" t="str">
        <f t="shared" si="25"/>
        <v/>
      </c>
      <c r="L540" s="12" t="e">
        <f t="shared" si="26"/>
        <v>#VALUE!</v>
      </c>
    </row>
    <row r="541" spans="1:12" ht="24" customHeight="1" x14ac:dyDescent="0.25">
      <c r="A541" s="9">
        <v>43203</v>
      </c>
      <c r="B541" s="10" t="s">
        <v>139</v>
      </c>
      <c r="C541" s="17">
        <v>3840</v>
      </c>
      <c r="D541" s="11" t="e">
        <f>VLOOKUP(B541,#REF!,7,FALSE)</f>
        <v>#REF!</v>
      </c>
      <c r="E541" s="1">
        <f>15.3365/4</f>
        <v>3.8341249999999998</v>
      </c>
      <c r="F541" s="10"/>
      <c r="G541" s="10"/>
      <c r="H541" s="10"/>
      <c r="I541" s="11" t="e">
        <f>+VLOOKUP(B541,#REF!,7,FALSE)</f>
        <v>#REF!</v>
      </c>
      <c r="J541" s="12" t="str">
        <f t="shared" si="24"/>
        <v/>
      </c>
      <c r="K541" s="12" t="str">
        <f t="shared" si="25"/>
        <v/>
      </c>
      <c r="L541" s="12" t="e">
        <f t="shared" si="26"/>
        <v>#VALUE!</v>
      </c>
    </row>
    <row r="542" spans="1:12" ht="24" customHeight="1" x14ac:dyDescent="0.25">
      <c r="A542" s="9">
        <v>43203</v>
      </c>
      <c r="B542" s="10" t="s">
        <v>446</v>
      </c>
      <c r="C542" s="17">
        <v>4160</v>
      </c>
      <c r="D542" s="11" t="e">
        <f>VLOOKUP(B542,#REF!,7,FALSE)</f>
        <v>#REF!</v>
      </c>
      <c r="E542" s="1">
        <f>18.6679/8</f>
        <v>2.3334874999999999</v>
      </c>
      <c r="F542" s="10"/>
      <c r="G542" s="10"/>
      <c r="H542" s="10"/>
      <c r="I542" s="11" t="e">
        <f>+VLOOKUP(B542,#REF!,7,FALSE)</f>
        <v>#REF!</v>
      </c>
      <c r="J542" s="12" t="str">
        <f t="shared" si="24"/>
        <v/>
      </c>
      <c r="K542" s="12" t="str">
        <f t="shared" si="25"/>
        <v/>
      </c>
      <c r="L542" s="12" t="e">
        <f t="shared" si="26"/>
        <v>#VALUE!</v>
      </c>
    </row>
    <row r="543" spans="1:12" ht="24" customHeight="1" x14ac:dyDescent="0.25">
      <c r="A543" s="9">
        <v>43203</v>
      </c>
      <c r="B543" s="10" t="s">
        <v>462</v>
      </c>
      <c r="C543" s="17">
        <v>5872</v>
      </c>
      <c r="D543" s="11" t="e">
        <f>VLOOKUP(B543,#REF!,7,FALSE)</f>
        <v>#REF!</v>
      </c>
      <c r="E543" s="1">
        <f>16.7406/8</f>
        <v>2.0925750000000001</v>
      </c>
      <c r="F543" s="10"/>
      <c r="G543" s="10"/>
      <c r="H543" s="10"/>
      <c r="I543" s="11" t="e">
        <f>+VLOOKUP(B543,#REF!,7,FALSE)</f>
        <v>#REF!</v>
      </c>
      <c r="J543" s="12" t="str">
        <f t="shared" si="24"/>
        <v/>
      </c>
      <c r="K543" s="12" t="str">
        <f t="shared" si="25"/>
        <v/>
      </c>
      <c r="L543" s="12" t="e">
        <f t="shared" si="26"/>
        <v>#VALUE!</v>
      </c>
    </row>
    <row r="544" spans="1:12" ht="24" customHeight="1" x14ac:dyDescent="0.25">
      <c r="A544" s="9">
        <v>43203</v>
      </c>
      <c r="B544" s="10" t="s">
        <v>464</v>
      </c>
      <c r="C544" s="17">
        <v>10104</v>
      </c>
      <c r="D544" s="11" t="e">
        <f>VLOOKUP(B544,#REF!,7,FALSE)</f>
        <v>#REF!</v>
      </c>
      <c r="E544" s="1">
        <f>11.2985/12</f>
        <v>0.94154166666666672</v>
      </c>
      <c r="F544" s="10"/>
      <c r="G544" s="10"/>
      <c r="H544" s="10"/>
      <c r="I544" s="11" t="e">
        <f>+VLOOKUP(B544,#REF!,7,FALSE)</f>
        <v>#REF!</v>
      </c>
      <c r="J544" s="12" t="str">
        <f t="shared" si="24"/>
        <v/>
      </c>
      <c r="K544" s="12" t="str">
        <f t="shared" si="25"/>
        <v/>
      </c>
      <c r="L544" s="12" t="e">
        <f t="shared" si="26"/>
        <v>#VALUE!</v>
      </c>
    </row>
    <row r="545" spans="1:12" ht="24" customHeight="1" x14ac:dyDescent="0.25">
      <c r="A545" s="9">
        <v>43203</v>
      </c>
      <c r="B545" s="10" t="s">
        <v>471</v>
      </c>
      <c r="C545" s="17">
        <v>7458</v>
      </c>
      <c r="D545" s="11" t="e">
        <f>VLOOKUP(B545,#REF!,7,FALSE)</f>
        <v>#REF!</v>
      </c>
      <c r="E545" s="1">
        <v>1.8779999999999999</v>
      </c>
      <c r="F545" s="10"/>
      <c r="G545" s="10"/>
      <c r="H545" s="10"/>
      <c r="I545" s="11" t="e">
        <f>+VLOOKUP(B545,#REF!,7,FALSE)</f>
        <v>#REF!</v>
      </c>
      <c r="J545" s="12" t="str">
        <f t="shared" si="24"/>
        <v/>
      </c>
      <c r="K545" s="12" t="str">
        <f t="shared" si="25"/>
        <v/>
      </c>
      <c r="L545" s="12" t="e">
        <f t="shared" si="26"/>
        <v>#VALUE!</v>
      </c>
    </row>
    <row r="546" spans="1:12" ht="24" customHeight="1" x14ac:dyDescent="0.25">
      <c r="A546" s="9">
        <v>43206</v>
      </c>
      <c r="B546" s="10" t="s">
        <v>139</v>
      </c>
      <c r="C546" s="17">
        <v>3144</v>
      </c>
      <c r="D546" s="11" t="e">
        <f>VLOOKUP(B546,#REF!,7,FALSE)</f>
        <v>#REF!</v>
      </c>
      <c r="E546" s="10">
        <f>15.8941/4</f>
        <v>3.973525</v>
      </c>
      <c r="F546" s="10"/>
      <c r="G546" s="10"/>
      <c r="H546" s="10"/>
      <c r="I546" s="11" t="e">
        <f>+VLOOKUP(B546,#REF!,7,FALSE)</f>
        <v>#REF!</v>
      </c>
      <c r="J546" s="12" t="str">
        <f t="shared" si="24"/>
        <v/>
      </c>
      <c r="K546" s="12" t="str">
        <f t="shared" si="25"/>
        <v/>
      </c>
      <c r="L546" s="12" t="e">
        <f t="shared" si="26"/>
        <v>#VALUE!</v>
      </c>
    </row>
    <row r="547" spans="1:12" ht="24" customHeight="1" x14ac:dyDescent="0.25">
      <c r="A547" s="9">
        <v>43206</v>
      </c>
      <c r="B547" s="10" t="s">
        <v>214</v>
      </c>
      <c r="C547" s="17">
        <v>8508</v>
      </c>
      <c r="D547" s="11" t="e">
        <f>VLOOKUP(B547,#REF!,7,FALSE)</f>
        <v>#REF!</v>
      </c>
      <c r="E547" s="10">
        <f>9.5433/12</f>
        <v>0.79527500000000007</v>
      </c>
      <c r="F547" s="10"/>
      <c r="G547" s="10"/>
      <c r="H547" s="10"/>
      <c r="I547" s="11" t="e">
        <f>+VLOOKUP(B547,#REF!,7,FALSE)</f>
        <v>#REF!</v>
      </c>
      <c r="J547" s="12" t="str">
        <f t="shared" si="24"/>
        <v/>
      </c>
      <c r="K547" s="12" t="str">
        <f t="shared" si="25"/>
        <v/>
      </c>
      <c r="L547" s="12" t="e">
        <f t="shared" si="26"/>
        <v>#VALUE!</v>
      </c>
    </row>
    <row r="548" spans="1:12" ht="24" customHeight="1" x14ac:dyDescent="0.25">
      <c r="A548" s="9">
        <v>43206</v>
      </c>
      <c r="B548" s="10" t="s">
        <v>446</v>
      </c>
      <c r="C548" s="17">
        <v>1376</v>
      </c>
      <c r="D548" s="11" t="e">
        <f>VLOOKUP(B548,#REF!,7,FALSE)</f>
        <v>#REF!</v>
      </c>
      <c r="E548" s="10">
        <f>18.9825/8</f>
        <v>2.3728125000000002</v>
      </c>
      <c r="F548" s="10"/>
      <c r="G548" s="10"/>
      <c r="H548" s="10"/>
      <c r="I548" s="11" t="e">
        <f>+VLOOKUP(B548,#REF!,7,FALSE)</f>
        <v>#REF!</v>
      </c>
      <c r="J548" s="12" t="str">
        <f t="shared" si="24"/>
        <v/>
      </c>
      <c r="K548" s="12" t="str">
        <f t="shared" si="25"/>
        <v/>
      </c>
      <c r="L548" s="12" t="e">
        <f t="shared" si="26"/>
        <v>#VALUE!</v>
      </c>
    </row>
    <row r="549" spans="1:12" ht="24" customHeight="1" x14ac:dyDescent="0.25">
      <c r="A549" s="9">
        <v>43206</v>
      </c>
      <c r="B549" s="10" t="s">
        <v>430</v>
      </c>
      <c r="C549" s="17">
        <v>3762</v>
      </c>
      <c r="D549" s="11" t="e">
        <f>VLOOKUP(B549,#REF!,7,FALSE)</f>
        <v>#REF!</v>
      </c>
      <c r="E549" s="10">
        <f>18.5084/6</f>
        <v>3.0847333333333338</v>
      </c>
      <c r="F549" s="10"/>
      <c r="G549" s="10"/>
      <c r="H549" s="10"/>
      <c r="I549" s="11" t="e">
        <f>+VLOOKUP(B549,#REF!,7,FALSE)</f>
        <v>#REF!</v>
      </c>
      <c r="J549" s="12" t="str">
        <f t="shared" si="24"/>
        <v/>
      </c>
      <c r="K549" s="12" t="str">
        <f t="shared" si="25"/>
        <v/>
      </c>
      <c r="L549" s="12" t="e">
        <f t="shared" si="26"/>
        <v>#VALUE!</v>
      </c>
    </row>
    <row r="550" spans="1:12" ht="24" customHeight="1" x14ac:dyDescent="0.25">
      <c r="A550" s="9">
        <v>43206</v>
      </c>
      <c r="B550" s="10" t="s">
        <v>471</v>
      </c>
      <c r="C550" s="17">
        <v>2310</v>
      </c>
      <c r="D550" s="11" t="e">
        <f>VLOOKUP(B550,#REF!,7,FALSE)</f>
        <v>#REF!</v>
      </c>
      <c r="E550" s="10">
        <v>1.8592</v>
      </c>
      <c r="F550" s="10"/>
      <c r="G550" s="10"/>
      <c r="H550" s="10"/>
      <c r="I550" s="11" t="e">
        <f>+VLOOKUP(B550,#REF!,7,FALSE)</f>
        <v>#REF!</v>
      </c>
      <c r="J550" s="12" t="str">
        <f t="shared" si="24"/>
        <v/>
      </c>
      <c r="K550" s="12" t="str">
        <f t="shared" si="25"/>
        <v/>
      </c>
      <c r="L550" s="12" t="e">
        <f t="shared" si="26"/>
        <v>#VALUE!</v>
      </c>
    </row>
    <row r="551" spans="1:12" ht="24" customHeight="1" x14ac:dyDescent="0.25">
      <c r="A551" s="9">
        <v>43207</v>
      </c>
      <c r="B551" s="10" t="s">
        <v>101</v>
      </c>
      <c r="C551" s="17">
        <v>20640</v>
      </c>
      <c r="D551" s="11" t="e">
        <f>VLOOKUP(B551,#REF!,7,FALSE)</f>
        <v>#REF!</v>
      </c>
      <c r="E551" s="10">
        <v>0.71220000000000006</v>
      </c>
      <c r="F551" s="10"/>
      <c r="G551" s="10"/>
      <c r="H551" s="10"/>
      <c r="I551" s="11" t="e">
        <f>+VLOOKUP(B551,#REF!,7,FALSE)</f>
        <v>#REF!</v>
      </c>
      <c r="J551" s="12" t="str">
        <f t="shared" si="24"/>
        <v/>
      </c>
      <c r="K551" s="12" t="str">
        <f t="shared" si="25"/>
        <v/>
      </c>
      <c r="L551" s="12" t="e">
        <f t="shared" si="26"/>
        <v>#VALUE!</v>
      </c>
    </row>
    <row r="552" spans="1:12" ht="24" customHeight="1" x14ac:dyDescent="0.25">
      <c r="A552" s="9">
        <v>43207</v>
      </c>
      <c r="B552" s="10" t="s">
        <v>105</v>
      </c>
      <c r="C552" s="17">
        <v>1976</v>
      </c>
      <c r="D552" s="11" t="e">
        <f>VLOOKUP(B552,#REF!,7,FALSE)</f>
        <v>#REF!</v>
      </c>
      <c r="E552" s="10">
        <v>8.9487000000000005</v>
      </c>
      <c r="F552" s="10"/>
      <c r="G552" s="10"/>
      <c r="H552" s="10"/>
      <c r="I552" s="11" t="e">
        <f>+VLOOKUP(B552,#REF!,7,FALSE)</f>
        <v>#REF!</v>
      </c>
      <c r="J552" s="12" t="str">
        <f t="shared" si="24"/>
        <v/>
      </c>
      <c r="K552" s="12" t="str">
        <f t="shared" si="25"/>
        <v/>
      </c>
      <c r="L552" s="12" t="e">
        <f t="shared" si="26"/>
        <v>#VALUE!</v>
      </c>
    </row>
    <row r="553" spans="1:12" ht="24" customHeight="1" x14ac:dyDescent="0.25">
      <c r="A553" s="9">
        <v>43207</v>
      </c>
      <c r="B553" s="10" t="s">
        <v>214</v>
      </c>
      <c r="C553" s="17">
        <v>7224</v>
      </c>
      <c r="D553" s="11" t="e">
        <f>VLOOKUP(B553,#REF!,7,FALSE)</f>
        <v>#REF!</v>
      </c>
      <c r="E553" s="10">
        <f>9.5459/12</f>
        <v>0.7954916666666666</v>
      </c>
      <c r="F553" s="10"/>
      <c r="G553" s="10"/>
      <c r="H553" s="10"/>
      <c r="I553" s="11" t="e">
        <f>+VLOOKUP(B553,#REF!,7,FALSE)</f>
        <v>#REF!</v>
      </c>
      <c r="J553" s="12" t="str">
        <f t="shared" si="24"/>
        <v/>
      </c>
      <c r="K553" s="12" t="str">
        <f t="shared" si="25"/>
        <v/>
      </c>
      <c r="L553" s="12" t="e">
        <f t="shared" si="26"/>
        <v>#VALUE!</v>
      </c>
    </row>
    <row r="554" spans="1:12" ht="24" customHeight="1" x14ac:dyDescent="0.25">
      <c r="A554" s="9">
        <v>43207</v>
      </c>
      <c r="B554" s="10" t="s">
        <v>441</v>
      </c>
      <c r="C554" s="17">
        <v>15804</v>
      </c>
      <c r="D554" s="11" t="e">
        <f>VLOOKUP(B554,#REF!,7,FALSE)</f>
        <v>#REF!</v>
      </c>
      <c r="E554" s="10">
        <v>0.49990000000000001</v>
      </c>
      <c r="F554" s="10"/>
      <c r="G554" s="10"/>
      <c r="H554" s="10"/>
      <c r="I554" s="11" t="e">
        <f>+VLOOKUP(B554,#REF!,7,FALSE)</f>
        <v>#REF!</v>
      </c>
      <c r="J554" s="12" t="str">
        <f t="shared" si="24"/>
        <v/>
      </c>
      <c r="K554" s="12" t="str">
        <f t="shared" si="25"/>
        <v/>
      </c>
      <c r="L554" s="12" t="e">
        <f t="shared" si="26"/>
        <v>#VALUE!</v>
      </c>
    </row>
    <row r="555" spans="1:12" ht="24" customHeight="1" x14ac:dyDescent="0.25">
      <c r="A555" s="9">
        <v>43207</v>
      </c>
      <c r="B555" s="10" t="s">
        <v>484</v>
      </c>
      <c r="C555" s="17">
        <v>2670</v>
      </c>
      <c r="D555" s="11" t="e">
        <f>VLOOKUP(B555,#REF!,7,FALSE)</f>
        <v>#REF!</v>
      </c>
      <c r="E555" s="10">
        <v>3.0613999999999999</v>
      </c>
      <c r="F555" s="10"/>
      <c r="G555" s="10"/>
      <c r="H555" s="10"/>
      <c r="I555" s="11" t="e">
        <f>+VLOOKUP(B555,#REF!,7,FALSE)</f>
        <v>#REF!</v>
      </c>
      <c r="J555" s="12" t="str">
        <f t="shared" si="24"/>
        <v/>
      </c>
      <c r="K555" s="12" t="str">
        <f t="shared" si="25"/>
        <v/>
      </c>
      <c r="L555" s="12" t="e">
        <f t="shared" si="26"/>
        <v>#VALUE!</v>
      </c>
    </row>
    <row r="556" spans="1:12" ht="24" customHeight="1" x14ac:dyDescent="0.25">
      <c r="A556" s="9">
        <v>43208</v>
      </c>
      <c r="B556" s="10" t="s">
        <v>101</v>
      </c>
      <c r="C556" s="17">
        <v>41640</v>
      </c>
      <c r="D556" s="11" t="e">
        <f>VLOOKUP(B556,#REF!,7,FALSE)</f>
        <v>#REF!</v>
      </c>
      <c r="E556" s="10">
        <v>0.74770000000000003</v>
      </c>
      <c r="F556" s="10"/>
      <c r="G556" s="10"/>
      <c r="H556" s="10"/>
      <c r="I556" s="11" t="e">
        <f>+VLOOKUP(B556,#REF!,7,FALSE)</f>
        <v>#REF!</v>
      </c>
      <c r="J556" s="12" t="str">
        <f t="shared" si="24"/>
        <v/>
      </c>
      <c r="K556" s="12" t="str">
        <f t="shared" si="25"/>
        <v/>
      </c>
      <c r="L556" s="12" t="e">
        <f t="shared" si="26"/>
        <v>#VALUE!</v>
      </c>
    </row>
    <row r="557" spans="1:12" ht="24" customHeight="1" x14ac:dyDescent="0.25">
      <c r="A557" s="9">
        <v>43208</v>
      </c>
      <c r="B557" s="10" t="s">
        <v>128</v>
      </c>
      <c r="C557" s="17">
        <v>51552</v>
      </c>
      <c r="D557" s="11" t="e">
        <f>VLOOKUP(B557,#REF!,7,FALSE)</f>
        <v>#REF!</v>
      </c>
      <c r="E557" s="10">
        <f>17.0682/72</f>
        <v>0.23705833333333334</v>
      </c>
      <c r="F557" s="10"/>
      <c r="G557" s="10"/>
      <c r="H557" s="10"/>
      <c r="I557" s="11" t="e">
        <f>+VLOOKUP(B557,#REF!,7,FALSE)</f>
        <v>#REF!</v>
      </c>
      <c r="J557" s="12" t="str">
        <f t="shared" si="24"/>
        <v/>
      </c>
      <c r="K557" s="12" t="str">
        <f t="shared" si="25"/>
        <v/>
      </c>
      <c r="L557" s="12" t="e">
        <f t="shared" si="26"/>
        <v>#VALUE!</v>
      </c>
    </row>
    <row r="558" spans="1:12" ht="24" customHeight="1" x14ac:dyDescent="0.25">
      <c r="A558" s="9">
        <v>43208</v>
      </c>
      <c r="B558" s="10" t="s">
        <v>190</v>
      </c>
      <c r="C558" s="17">
        <v>2700</v>
      </c>
      <c r="D558" s="11" t="e">
        <f>VLOOKUP(B558,#REF!,7,FALSE)</f>
        <v>#REF!</v>
      </c>
      <c r="E558" s="10">
        <f>15.0152/6</f>
        <v>2.5025333333333335</v>
      </c>
      <c r="F558" s="10"/>
      <c r="G558" s="10"/>
      <c r="H558" s="10"/>
      <c r="I558" s="11" t="e">
        <f>+VLOOKUP(B558,#REF!,7,FALSE)</f>
        <v>#REF!</v>
      </c>
      <c r="J558" s="12" t="str">
        <f t="shared" si="24"/>
        <v/>
      </c>
      <c r="K558" s="12" t="str">
        <f t="shared" si="25"/>
        <v/>
      </c>
      <c r="L558" s="12" t="e">
        <f t="shared" si="26"/>
        <v>#VALUE!</v>
      </c>
    </row>
    <row r="559" spans="1:12" ht="24" customHeight="1" x14ac:dyDescent="0.25">
      <c r="A559" s="9">
        <v>43208</v>
      </c>
      <c r="B559" s="10" t="s">
        <v>422</v>
      </c>
      <c r="C559" s="17">
        <v>804</v>
      </c>
      <c r="D559" s="11" t="e">
        <f>VLOOKUP(B559,#REF!,7,FALSE)</f>
        <v>#REF!</v>
      </c>
      <c r="E559" s="10">
        <f>15.6378/6</f>
        <v>2.6063000000000001</v>
      </c>
      <c r="F559" s="10"/>
      <c r="G559" s="10"/>
      <c r="H559" s="10"/>
      <c r="I559" s="11" t="e">
        <f>+VLOOKUP(B559,#REF!,7,FALSE)</f>
        <v>#REF!</v>
      </c>
      <c r="J559" s="12" t="str">
        <f t="shared" si="24"/>
        <v/>
      </c>
      <c r="K559" s="12" t="str">
        <f t="shared" si="25"/>
        <v/>
      </c>
      <c r="L559" s="12" t="e">
        <f t="shared" si="26"/>
        <v>#VALUE!</v>
      </c>
    </row>
    <row r="560" spans="1:12" ht="24" customHeight="1" x14ac:dyDescent="0.25">
      <c r="A560" s="9">
        <v>43208</v>
      </c>
      <c r="B560" s="10" t="s">
        <v>423</v>
      </c>
      <c r="C560" s="17">
        <v>2472</v>
      </c>
      <c r="D560" s="11" t="e">
        <f>VLOOKUP(B560,#REF!,7,FALSE)</f>
        <v>#REF!</v>
      </c>
      <c r="E560" s="10">
        <f>12.5019/6+0.052</f>
        <v>2.13565</v>
      </c>
      <c r="F560" s="10"/>
      <c r="G560" s="10"/>
      <c r="H560" s="10"/>
      <c r="I560" s="11" t="e">
        <f>+VLOOKUP(B560,#REF!,7,FALSE)</f>
        <v>#REF!</v>
      </c>
      <c r="J560" s="12" t="str">
        <f t="shared" si="24"/>
        <v/>
      </c>
      <c r="K560" s="12" t="str">
        <f t="shared" si="25"/>
        <v/>
      </c>
      <c r="L560" s="12" t="e">
        <f t="shared" si="26"/>
        <v>#VALUE!</v>
      </c>
    </row>
    <row r="561" spans="1:12" ht="24" customHeight="1" x14ac:dyDescent="0.25">
      <c r="A561" s="9">
        <v>43208</v>
      </c>
      <c r="B561" s="10" t="s">
        <v>484</v>
      </c>
      <c r="C561" s="17">
        <v>7542</v>
      </c>
      <c r="D561" s="11" t="e">
        <f>VLOOKUP(B561,#REF!,7,FALSE)</f>
        <v>#REF!</v>
      </c>
      <c r="E561" s="10">
        <v>2.8862000000000001</v>
      </c>
      <c r="F561" s="10"/>
      <c r="G561" s="10"/>
      <c r="H561" s="10"/>
      <c r="I561" s="11" t="e">
        <f>+VLOOKUP(B561,#REF!,7,FALSE)</f>
        <v>#REF!</v>
      </c>
      <c r="J561" s="12" t="str">
        <f t="shared" si="24"/>
        <v/>
      </c>
      <c r="K561" s="12" t="str">
        <f t="shared" si="25"/>
        <v/>
      </c>
      <c r="L561" s="12" t="e">
        <f t="shared" si="26"/>
        <v>#VALUE!</v>
      </c>
    </row>
    <row r="562" spans="1:12" ht="24" customHeight="1" x14ac:dyDescent="0.25">
      <c r="A562" s="9">
        <v>43209</v>
      </c>
      <c r="B562" s="10" t="s">
        <v>235</v>
      </c>
      <c r="C562" s="17">
        <v>234</v>
      </c>
      <c r="D562" s="11" t="e">
        <f>VLOOKUP(B562,#REF!,7,FALSE)</f>
        <v>#REF!</v>
      </c>
      <c r="E562" s="10">
        <v>3.5432999999999999</v>
      </c>
      <c r="F562" s="10"/>
      <c r="G562" s="10"/>
      <c r="H562" s="10"/>
      <c r="I562" s="11" t="e">
        <f>+VLOOKUP(B562,#REF!,7,FALSE)</f>
        <v>#REF!</v>
      </c>
      <c r="J562" s="12" t="str">
        <f t="shared" si="24"/>
        <v/>
      </c>
      <c r="K562" s="12" t="str">
        <f t="shared" si="25"/>
        <v/>
      </c>
      <c r="L562" s="12" t="e">
        <f t="shared" si="26"/>
        <v>#VALUE!</v>
      </c>
    </row>
    <row r="563" spans="1:12" ht="24" customHeight="1" x14ac:dyDescent="0.25">
      <c r="A563" s="9">
        <v>43209</v>
      </c>
      <c r="B563" s="10" t="s">
        <v>45</v>
      </c>
      <c r="C563" s="17">
        <v>452</v>
      </c>
      <c r="D563" s="11" t="e">
        <f>VLOOKUP(B563,#REF!,7,FALSE)</f>
        <v>#REF!</v>
      </c>
      <c r="E563" s="10">
        <v>13.139099999999999</v>
      </c>
      <c r="F563" s="10"/>
      <c r="G563" s="10"/>
      <c r="H563" s="10"/>
      <c r="I563" s="11" t="e">
        <f>+VLOOKUP(B563,#REF!,7,FALSE)</f>
        <v>#REF!</v>
      </c>
      <c r="J563" s="12" t="str">
        <f t="shared" si="24"/>
        <v/>
      </c>
      <c r="K563" s="12" t="str">
        <f t="shared" si="25"/>
        <v/>
      </c>
      <c r="L563" s="12" t="e">
        <f t="shared" si="26"/>
        <v>#VALUE!</v>
      </c>
    </row>
    <row r="564" spans="1:12" ht="24" customHeight="1" x14ac:dyDescent="0.25">
      <c r="A564" s="9">
        <v>43209</v>
      </c>
      <c r="B564" s="10" t="s">
        <v>88</v>
      </c>
      <c r="C564" s="17">
        <v>1471</v>
      </c>
      <c r="D564" s="11" t="e">
        <f>VLOOKUP(B564,#REF!,7,FALSE)</f>
        <v>#REF!</v>
      </c>
      <c r="E564" s="10">
        <v>4.0689000000000002</v>
      </c>
      <c r="F564" s="10"/>
      <c r="G564" s="10"/>
      <c r="H564" s="10"/>
      <c r="I564" s="11" t="e">
        <f>+VLOOKUP(B564,#REF!,7,FALSE)</f>
        <v>#REF!</v>
      </c>
      <c r="J564" s="12" t="str">
        <f t="shared" si="24"/>
        <v/>
      </c>
      <c r="K564" s="12" t="str">
        <f t="shared" si="25"/>
        <v/>
      </c>
      <c r="L564" s="12" t="e">
        <f t="shared" si="26"/>
        <v>#VALUE!</v>
      </c>
    </row>
    <row r="565" spans="1:12" ht="24" customHeight="1" x14ac:dyDescent="0.25">
      <c r="A565" s="9">
        <v>43209</v>
      </c>
      <c r="B565" s="10" t="s">
        <v>101</v>
      </c>
      <c r="C565" s="17">
        <v>40956</v>
      </c>
      <c r="D565" s="11" t="e">
        <f>VLOOKUP(B565,#REF!,7,FALSE)</f>
        <v>#REF!</v>
      </c>
      <c r="E565" s="10">
        <v>0.74</v>
      </c>
      <c r="F565" s="10"/>
      <c r="G565" s="10"/>
      <c r="H565" s="10"/>
      <c r="I565" s="11" t="e">
        <f>+VLOOKUP(B565,#REF!,7,FALSE)</f>
        <v>#REF!</v>
      </c>
      <c r="J565" s="12" t="str">
        <f t="shared" si="24"/>
        <v/>
      </c>
      <c r="K565" s="12" t="str">
        <f t="shared" si="25"/>
        <v/>
      </c>
      <c r="L565" s="12" t="e">
        <f t="shared" si="26"/>
        <v>#VALUE!</v>
      </c>
    </row>
    <row r="566" spans="1:12" ht="24" customHeight="1" x14ac:dyDescent="0.25">
      <c r="A566" s="9">
        <v>43209</v>
      </c>
      <c r="B566" s="10" t="s">
        <v>480</v>
      </c>
      <c r="C566" s="17">
        <v>369</v>
      </c>
      <c r="D566" s="11" t="e">
        <f>VLOOKUP(B566,#REF!,7,FALSE)</f>
        <v>#REF!</v>
      </c>
      <c r="E566" s="10">
        <v>6.4615999999999998</v>
      </c>
      <c r="F566" s="10"/>
      <c r="G566" s="10"/>
      <c r="H566" s="10"/>
      <c r="I566" s="11" t="e">
        <f>+VLOOKUP(B566,#REF!,7,FALSE)</f>
        <v>#REF!</v>
      </c>
      <c r="J566" s="12" t="str">
        <f t="shared" si="24"/>
        <v/>
      </c>
      <c r="K566" s="12" t="str">
        <f t="shared" si="25"/>
        <v/>
      </c>
      <c r="L566" s="12" t="e">
        <f t="shared" si="26"/>
        <v>#VALUE!</v>
      </c>
    </row>
    <row r="567" spans="1:12" ht="24" customHeight="1" x14ac:dyDescent="0.25">
      <c r="A567" s="9">
        <v>43209</v>
      </c>
      <c r="B567" s="10" t="s">
        <v>484</v>
      </c>
      <c r="C567" s="17">
        <v>7518</v>
      </c>
      <c r="D567" s="11" t="e">
        <f>VLOOKUP(B567,#REF!,7,FALSE)</f>
        <v>#REF!</v>
      </c>
      <c r="E567" s="10">
        <v>2.8386999999999998</v>
      </c>
      <c r="F567" s="10"/>
      <c r="G567" s="10"/>
      <c r="H567" s="10"/>
      <c r="I567" s="11" t="e">
        <f>+VLOOKUP(B567,#REF!,7,FALSE)</f>
        <v>#REF!</v>
      </c>
      <c r="J567" s="12" t="str">
        <f t="shared" si="24"/>
        <v/>
      </c>
      <c r="K567" s="12" t="str">
        <f t="shared" si="25"/>
        <v/>
      </c>
      <c r="L567" s="12" t="e">
        <f t="shared" si="26"/>
        <v>#VALUE!</v>
      </c>
    </row>
    <row r="568" spans="1:12" ht="24" customHeight="1" x14ac:dyDescent="0.25">
      <c r="A568" s="9">
        <v>43210</v>
      </c>
      <c r="B568" s="10" t="s">
        <v>88</v>
      </c>
      <c r="C568" s="17">
        <v>1960</v>
      </c>
      <c r="D568" s="11" t="e">
        <f>VLOOKUP(B568,#REF!,7,FALSE)</f>
        <v>#REF!</v>
      </c>
      <c r="E568" s="10">
        <v>3.972</v>
      </c>
      <c r="F568" s="10"/>
      <c r="G568" s="10"/>
      <c r="H568" s="10"/>
      <c r="I568" s="11" t="e">
        <f>+VLOOKUP(B568,#REF!,7,FALSE)</f>
        <v>#REF!</v>
      </c>
      <c r="J568" s="12" t="str">
        <f t="shared" si="24"/>
        <v/>
      </c>
      <c r="K568" s="12" t="str">
        <f t="shared" si="25"/>
        <v/>
      </c>
      <c r="L568" s="12" t="e">
        <f t="shared" si="26"/>
        <v>#VALUE!</v>
      </c>
    </row>
    <row r="569" spans="1:12" ht="24" customHeight="1" x14ac:dyDescent="0.25">
      <c r="A569" s="9">
        <v>43210</v>
      </c>
      <c r="B569" s="10" t="s">
        <v>99</v>
      </c>
      <c r="C569" s="17">
        <v>16014</v>
      </c>
      <c r="D569" s="11" t="e">
        <f>VLOOKUP(B569,#REF!,7,FALSE)</f>
        <v>#REF!</v>
      </c>
      <c r="E569" s="10">
        <v>2.5937999999999999</v>
      </c>
      <c r="F569" s="10"/>
      <c r="G569" s="10"/>
      <c r="H569" s="10"/>
      <c r="I569" s="11" t="e">
        <f>+VLOOKUP(B569,#REF!,7,FALSE)</f>
        <v>#REF!</v>
      </c>
      <c r="J569" s="12" t="str">
        <f t="shared" si="24"/>
        <v/>
      </c>
      <c r="K569" s="12" t="str">
        <f t="shared" si="25"/>
        <v/>
      </c>
      <c r="L569" s="12" t="e">
        <f t="shared" si="26"/>
        <v>#VALUE!</v>
      </c>
    </row>
    <row r="570" spans="1:12" ht="24" customHeight="1" x14ac:dyDescent="0.25">
      <c r="A570" s="9">
        <v>43210</v>
      </c>
      <c r="B570" s="10" t="s">
        <v>441</v>
      </c>
      <c r="C570" s="17">
        <v>6624</v>
      </c>
      <c r="D570" s="11" t="e">
        <f>VLOOKUP(B570,#REF!,7,FALSE)</f>
        <v>#REF!</v>
      </c>
      <c r="E570" s="10">
        <v>0.54059999999999997</v>
      </c>
      <c r="F570" s="10"/>
      <c r="G570" s="10"/>
      <c r="H570" s="10"/>
      <c r="I570" s="11" t="e">
        <f>+VLOOKUP(B570,#REF!,7,FALSE)</f>
        <v>#REF!</v>
      </c>
      <c r="J570" s="12" t="str">
        <f t="shared" si="24"/>
        <v/>
      </c>
      <c r="K570" s="12" t="str">
        <f t="shared" si="25"/>
        <v/>
      </c>
      <c r="L570" s="12" t="e">
        <f t="shared" si="26"/>
        <v>#VALUE!</v>
      </c>
    </row>
    <row r="571" spans="1:12" ht="24" customHeight="1" x14ac:dyDescent="0.25">
      <c r="A571" s="9">
        <v>43210</v>
      </c>
      <c r="B571" s="10" t="s">
        <v>465</v>
      </c>
      <c r="C571" s="17">
        <v>2268</v>
      </c>
      <c r="D571" s="11" t="e">
        <f>VLOOKUP(B571,#REF!,7,FALSE)</f>
        <v>#REF!</v>
      </c>
      <c r="E571" s="10">
        <v>2.4195000000000002</v>
      </c>
      <c r="F571" s="10"/>
      <c r="G571" s="10"/>
      <c r="H571" s="10"/>
      <c r="I571" s="11" t="e">
        <f>+VLOOKUP(B571,#REF!,7,FALSE)</f>
        <v>#REF!</v>
      </c>
      <c r="J571" s="12" t="str">
        <f t="shared" si="24"/>
        <v/>
      </c>
      <c r="K571" s="12" t="str">
        <f t="shared" si="25"/>
        <v/>
      </c>
      <c r="L571" s="12" t="e">
        <f t="shared" si="26"/>
        <v>#VALUE!</v>
      </c>
    </row>
    <row r="572" spans="1:12" ht="24" customHeight="1" x14ac:dyDescent="0.25">
      <c r="A572" s="9">
        <v>43210</v>
      </c>
      <c r="B572" s="10" t="s">
        <v>466</v>
      </c>
      <c r="C572" s="17">
        <v>2472</v>
      </c>
      <c r="D572" s="11" t="e">
        <f>VLOOKUP(B572,#REF!,7,FALSE)</f>
        <v>#REF!</v>
      </c>
      <c r="E572" s="10">
        <v>2.1657000000000002</v>
      </c>
      <c r="F572" s="10"/>
      <c r="G572" s="10"/>
      <c r="H572" s="10"/>
      <c r="I572" s="11" t="e">
        <f>+VLOOKUP(B572,#REF!,7,FALSE)</f>
        <v>#REF!</v>
      </c>
      <c r="J572" s="12" t="str">
        <f t="shared" si="24"/>
        <v/>
      </c>
      <c r="K572" s="12" t="str">
        <f t="shared" si="25"/>
        <v/>
      </c>
      <c r="L572" s="12" t="e">
        <f t="shared" si="26"/>
        <v>#VALUE!</v>
      </c>
    </row>
    <row r="573" spans="1:12" ht="24" customHeight="1" x14ac:dyDescent="0.25">
      <c r="A573" s="9">
        <v>43213</v>
      </c>
      <c r="B573" s="10" t="s">
        <v>12</v>
      </c>
      <c r="C573" s="17">
        <v>480</v>
      </c>
      <c r="D573" s="11" t="e">
        <f>VLOOKUP(B573,#REF!,7,FALSE)</f>
        <v>#REF!</v>
      </c>
      <c r="E573" s="10">
        <v>2.61</v>
      </c>
      <c r="F573" s="10"/>
      <c r="G573" s="10"/>
      <c r="H573" s="10"/>
      <c r="I573" s="11" t="e">
        <f>+VLOOKUP(B573,#REF!,7,FALSE)</f>
        <v>#REF!</v>
      </c>
      <c r="J573" s="12" t="str">
        <f t="shared" si="24"/>
        <v/>
      </c>
      <c r="K573" s="12" t="str">
        <f t="shared" si="25"/>
        <v/>
      </c>
      <c r="L573" s="12" t="e">
        <f t="shared" si="26"/>
        <v>#VALUE!</v>
      </c>
    </row>
    <row r="574" spans="1:12" ht="24" customHeight="1" x14ac:dyDescent="0.25">
      <c r="A574" s="9">
        <v>43213</v>
      </c>
      <c r="B574" s="21" t="s">
        <v>481</v>
      </c>
      <c r="C574" s="17">
        <v>567</v>
      </c>
      <c r="D574" s="11" t="e">
        <f>VLOOKUP(B574,#REF!,7,FALSE)</f>
        <v>#REF!</v>
      </c>
      <c r="E574" s="10">
        <f>11.079/6</f>
        <v>1.8465</v>
      </c>
      <c r="F574" s="10"/>
      <c r="G574" s="10"/>
      <c r="H574" s="10"/>
      <c r="I574" s="11" t="e">
        <f>+VLOOKUP(B574,#REF!,7,FALSE)</f>
        <v>#REF!</v>
      </c>
      <c r="J574" s="12" t="str">
        <f t="shared" si="24"/>
        <v/>
      </c>
      <c r="K574" s="12" t="str">
        <f t="shared" si="25"/>
        <v/>
      </c>
      <c r="L574" s="12" t="e">
        <f t="shared" si="26"/>
        <v>#VALUE!</v>
      </c>
    </row>
    <row r="575" spans="1:12" ht="24" customHeight="1" x14ac:dyDescent="0.25">
      <c r="A575" s="9">
        <v>43213</v>
      </c>
      <c r="B575" s="10" t="s">
        <v>33</v>
      </c>
      <c r="C575" s="17">
        <v>500</v>
      </c>
      <c r="D575" s="11" t="e">
        <f>VLOOKUP(B575,#REF!,7,FALSE)</f>
        <v>#REF!</v>
      </c>
      <c r="E575" s="10">
        <v>4.3529999999999998</v>
      </c>
      <c r="F575" s="10"/>
      <c r="G575" s="10"/>
      <c r="H575" s="10"/>
      <c r="I575" s="11" t="e">
        <f>+VLOOKUP(B575,#REF!,7,FALSE)</f>
        <v>#REF!</v>
      </c>
      <c r="J575" s="12" t="str">
        <f t="shared" si="24"/>
        <v/>
      </c>
      <c r="K575" s="12" t="str">
        <f t="shared" si="25"/>
        <v/>
      </c>
      <c r="L575" s="12" t="e">
        <f t="shared" si="26"/>
        <v>#VALUE!</v>
      </c>
    </row>
    <row r="576" spans="1:12" ht="24" customHeight="1" x14ac:dyDescent="0.25">
      <c r="A576" s="9">
        <v>43213</v>
      </c>
      <c r="B576" s="10" t="s">
        <v>90</v>
      </c>
      <c r="C576" s="17">
        <v>8040</v>
      </c>
      <c r="D576" s="11" t="e">
        <f>VLOOKUP(B576,#REF!,7,FALSE)</f>
        <v>#REF!</v>
      </c>
      <c r="E576" s="10">
        <f>9.75828/12</f>
        <v>0.81318999999999997</v>
      </c>
      <c r="F576" s="10"/>
      <c r="G576" s="10"/>
      <c r="H576" s="10"/>
      <c r="I576" s="11" t="e">
        <f>+VLOOKUP(B576,#REF!,7,FALSE)</f>
        <v>#REF!</v>
      </c>
      <c r="J576" s="12" t="str">
        <f t="shared" si="24"/>
        <v/>
      </c>
      <c r="K576" s="12" t="str">
        <f t="shared" si="25"/>
        <v/>
      </c>
      <c r="L576" s="12" t="e">
        <f t="shared" si="26"/>
        <v>#VALUE!</v>
      </c>
    </row>
    <row r="577" spans="1:12" ht="24" customHeight="1" x14ac:dyDescent="0.25">
      <c r="A577" s="9">
        <v>43213</v>
      </c>
      <c r="B577" s="10" t="s">
        <v>93</v>
      </c>
      <c r="C577" s="17">
        <v>445</v>
      </c>
      <c r="D577" s="11" t="e">
        <f>VLOOKUP(B577,#REF!,7,FALSE)</f>
        <v>#REF!</v>
      </c>
      <c r="E577" s="10">
        <v>18.1343</v>
      </c>
      <c r="F577" s="10"/>
      <c r="G577" s="10"/>
      <c r="H577" s="10"/>
      <c r="I577" s="11" t="e">
        <f>+VLOOKUP(B577,#REF!,7,FALSE)</f>
        <v>#REF!</v>
      </c>
      <c r="J577" s="12" t="str">
        <f t="shared" si="24"/>
        <v/>
      </c>
      <c r="K577" s="12" t="str">
        <f t="shared" si="25"/>
        <v/>
      </c>
      <c r="L577" s="12" t="e">
        <f t="shared" si="26"/>
        <v>#VALUE!</v>
      </c>
    </row>
    <row r="578" spans="1:12" ht="24" customHeight="1" x14ac:dyDescent="0.25">
      <c r="A578" s="9">
        <v>43213</v>
      </c>
      <c r="B578" s="10" t="s">
        <v>103</v>
      </c>
      <c r="C578" s="17">
        <v>318</v>
      </c>
      <c r="D578" s="11" t="e">
        <f>VLOOKUP(B578,#REF!,7,FALSE)</f>
        <v>#REF!</v>
      </c>
      <c r="E578" s="10">
        <f>13.7997/6</f>
        <v>2.2999499999999999</v>
      </c>
      <c r="F578" s="10"/>
      <c r="G578" s="10"/>
      <c r="H578" s="10"/>
      <c r="I578" s="11" t="e">
        <f>+VLOOKUP(B578,#REF!,7,FALSE)</f>
        <v>#REF!</v>
      </c>
      <c r="J578" s="12" t="str">
        <f t="shared" si="24"/>
        <v/>
      </c>
      <c r="K578" s="12" t="str">
        <f t="shared" si="25"/>
        <v/>
      </c>
      <c r="L578" s="12" t="e">
        <f t="shared" si="26"/>
        <v>#VALUE!</v>
      </c>
    </row>
    <row r="579" spans="1:12" ht="24" customHeight="1" x14ac:dyDescent="0.25">
      <c r="A579" s="9">
        <v>43213</v>
      </c>
      <c r="B579" s="10" t="s">
        <v>117</v>
      </c>
      <c r="C579" s="17">
        <f>24288/12</f>
        <v>2024</v>
      </c>
      <c r="D579" s="11" t="e">
        <f>VLOOKUP(B579,#REF!,7,FALSE)</f>
        <v>#REF!</v>
      </c>
      <c r="E579" s="10">
        <v>3.0581999999999998</v>
      </c>
      <c r="F579" s="10"/>
      <c r="G579" s="10"/>
      <c r="H579" s="10"/>
      <c r="I579" s="11" t="e">
        <f>+VLOOKUP(B579,#REF!,7,FALSE)</f>
        <v>#REF!</v>
      </c>
      <c r="J579" s="12" t="str">
        <f t="shared" si="24"/>
        <v/>
      </c>
      <c r="K579" s="12" t="str">
        <f t="shared" si="25"/>
        <v/>
      </c>
      <c r="L579" s="12" t="e">
        <f t="shared" si="26"/>
        <v>#VALUE!</v>
      </c>
    </row>
    <row r="580" spans="1:12" ht="24" customHeight="1" x14ac:dyDescent="0.25">
      <c r="A580" s="9">
        <v>43213</v>
      </c>
      <c r="B580" s="10" t="s">
        <v>136</v>
      </c>
      <c r="C580" s="17">
        <v>1992</v>
      </c>
      <c r="D580" s="11" t="e">
        <f>VLOOKUP(B580,#REF!,7,FALSE)</f>
        <v>#REF!</v>
      </c>
      <c r="E580" s="10">
        <f>10.7106/6</f>
        <v>1.7850999999999999</v>
      </c>
      <c r="F580" s="10"/>
      <c r="G580" s="10"/>
      <c r="H580" s="10"/>
      <c r="I580" s="11" t="e">
        <f>+VLOOKUP(B580,#REF!,7,FALSE)</f>
        <v>#REF!</v>
      </c>
      <c r="J580" s="12" t="str">
        <f t="shared" ref="J580:J643" si="27">IFERROR((I580-(D580+F580))/I580,"")</f>
        <v/>
      </c>
      <c r="K580" s="12" t="str">
        <f t="shared" ref="K580:K643" si="28">IF(E580="","",IFERROR((I580-(E580+G580+H580))/I580,""))</f>
        <v/>
      </c>
      <c r="L580" s="12" t="e">
        <f t="shared" ref="L580:L643" si="29">J580-K580</f>
        <v>#VALUE!</v>
      </c>
    </row>
    <row r="581" spans="1:12" ht="24" customHeight="1" x14ac:dyDescent="0.25">
      <c r="A581" s="9">
        <v>43213</v>
      </c>
      <c r="B581" s="10" t="s">
        <v>137</v>
      </c>
      <c r="C581" s="17">
        <v>4032</v>
      </c>
      <c r="D581" s="11" t="e">
        <f>VLOOKUP(B581,#REF!,7,FALSE)</f>
        <v>#REF!</v>
      </c>
      <c r="E581" s="10">
        <f>16.3049/6</f>
        <v>2.7174833333333335</v>
      </c>
      <c r="F581" s="10"/>
      <c r="G581" s="10"/>
      <c r="H581" s="10"/>
      <c r="I581" s="11" t="e">
        <f>+VLOOKUP(B581,#REF!,7,FALSE)</f>
        <v>#REF!</v>
      </c>
      <c r="J581" s="12" t="str">
        <f t="shared" si="27"/>
        <v/>
      </c>
      <c r="K581" s="12" t="str">
        <f t="shared" si="28"/>
        <v/>
      </c>
      <c r="L581" s="12" t="e">
        <f t="shared" si="29"/>
        <v>#VALUE!</v>
      </c>
    </row>
    <row r="582" spans="1:12" ht="24" customHeight="1" x14ac:dyDescent="0.25">
      <c r="A582" s="9">
        <v>43213</v>
      </c>
      <c r="B582" s="10" t="s">
        <v>191</v>
      </c>
      <c r="C582" s="17">
        <v>6222</v>
      </c>
      <c r="D582" s="11" t="e">
        <f>VLOOKUP(B582,#REF!,7,FALSE)</f>
        <v>#REF!</v>
      </c>
      <c r="E582" s="10">
        <f>15.6482/6</f>
        <v>2.6080333333333332</v>
      </c>
      <c r="F582" s="10"/>
      <c r="G582" s="10"/>
      <c r="H582" s="10"/>
      <c r="I582" s="11" t="e">
        <f>+VLOOKUP(B582,#REF!,7,FALSE)</f>
        <v>#REF!</v>
      </c>
      <c r="J582" s="12" t="str">
        <f t="shared" si="27"/>
        <v/>
      </c>
      <c r="K582" s="12" t="str">
        <f t="shared" si="28"/>
        <v/>
      </c>
      <c r="L582" s="12" t="e">
        <f t="shared" si="29"/>
        <v>#VALUE!</v>
      </c>
    </row>
    <row r="583" spans="1:12" ht="24" customHeight="1" x14ac:dyDescent="0.25">
      <c r="A583" s="9">
        <v>43213</v>
      </c>
      <c r="B583" s="10" t="s">
        <v>440</v>
      </c>
      <c r="C583" s="17">
        <v>7260</v>
      </c>
      <c r="D583" s="11" t="e">
        <f>VLOOKUP(B583,#REF!,7,FALSE)</f>
        <v>#REF!</v>
      </c>
      <c r="E583" s="10">
        <v>0.67500000000000004</v>
      </c>
      <c r="F583" s="10"/>
      <c r="G583" s="10"/>
      <c r="H583" s="10"/>
      <c r="I583" s="11" t="e">
        <f>+VLOOKUP(B583,#REF!,7,FALSE)</f>
        <v>#REF!</v>
      </c>
      <c r="J583" s="12" t="str">
        <f t="shared" si="27"/>
        <v/>
      </c>
      <c r="K583" s="12" t="str">
        <f t="shared" si="28"/>
        <v/>
      </c>
      <c r="L583" s="12" t="e">
        <f t="shared" si="29"/>
        <v>#VALUE!</v>
      </c>
    </row>
    <row r="584" spans="1:12" ht="24" customHeight="1" x14ac:dyDescent="0.25">
      <c r="A584" s="9">
        <v>43214</v>
      </c>
      <c r="B584" s="10" t="s">
        <v>93</v>
      </c>
      <c r="C584" s="17">
        <v>1491</v>
      </c>
      <c r="D584" s="11" t="e">
        <f>VLOOKUP(B584,#REF!,7,FALSE)</f>
        <v>#REF!</v>
      </c>
      <c r="E584" s="10">
        <v>18.506799999999998</v>
      </c>
      <c r="F584" s="10"/>
      <c r="G584" s="10"/>
      <c r="H584" s="10"/>
      <c r="I584" s="11" t="e">
        <f>+VLOOKUP(B584,#REF!,7,FALSE)</f>
        <v>#REF!</v>
      </c>
      <c r="J584" s="12" t="str">
        <f t="shared" si="27"/>
        <v/>
      </c>
      <c r="K584" s="12" t="str">
        <f t="shared" si="28"/>
        <v/>
      </c>
      <c r="L584" s="12" t="e">
        <f t="shared" si="29"/>
        <v>#VALUE!</v>
      </c>
    </row>
    <row r="585" spans="1:12" ht="24" customHeight="1" x14ac:dyDescent="0.25">
      <c r="A585" s="9">
        <v>43214</v>
      </c>
      <c r="B585" s="10" t="s">
        <v>103</v>
      </c>
      <c r="C585" s="17">
        <v>7620</v>
      </c>
      <c r="D585" s="11" t="e">
        <f>VLOOKUP(B585,#REF!,7,FALSE)</f>
        <v>#REF!</v>
      </c>
      <c r="E585" s="10">
        <f>11.1766/6</f>
        <v>1.8627666666666667</v>
      </c>
      <c r="F585" s="10"/>
      <c r="G585" s="10"/>
      <c r="H585" s="10"/>
      <c r="I585" s="11" t="e">
        <f>+VLOOKUP(B585,#REF!,7,FALSE)</f>
        <v>#REF!</v>
      </c>
      <c r="J585" s="12" t="str">
        <f t="shared" si="27"/>
        <v/>
      </c>
      <c r="K585" s="12" t="str">
        <f t="shared" si="28"/>
        <v/>
      </c>
      <c r="L585" s="12" t="e">
        <f t="shared" si="29"/>
        <v>#VALUE!</v>
      </c>
    </row>
    <row r="586" spans="1:12" ht="24" customHeight="1" x14ac:dyDescent="0.25">
      <c r="A586" s="9">
        <v>43214</v>
      </c>
      <c r="B586" s="10" t="s">
        <v>137</v>
      </c>
      <c r="C586" s="17">
        <v>1104</v>
      </c>
      <c r="D586" s="11" t="e">
        <f>VLOOKUP(B586,#REF!,7,FALSE)</f>
        <v>#REF!</v>
      </c>
      <c r="E586" s="10">
        <f>17.4858/6</f>
        <v>2.9143000000000003</v>
      </c>
      <c r="F586" s="10"/>
      <c r="G586" s="10"/>
      <c r="H586" s="10"/>
      <c r="I586" s="11" t="e">
        <f>+VLOOKUP(B586,#REF!,7,FALSE)</f>
        <v>#REF!</v>
      </c>
      <c r="J586" s="12" t="str">
        <f t="shared" si="27"/>
        <v/>
      </c>
      <c r="K586" s="12" t="str">
        <f t="shared" si="28"/>
        <v/>
      </c>
      <c r="L586" s="12" t="e">
        <f t="shared" si="29"/>
        <v>#VALUE!</v>
      </c>
    </row>
    <row r="587" spans="1:12" ht="24" customHeight="1" x14ac:dyDescent="0.25">
      <c r="A587" s="9">
        <v>43214</v>
      </c>
      <c r="B587" s="10" t="s">
        <v>441</v>
      </c>
      <c r="C587" s="17">
        <v>17808</v>
      </c>
      <c r="D587" s="11" t="e">
        <f>VLOOKUP(B587,#REF!,7,FALSE)</f>
        <v>#REF!</v>
      </c>
      <c r="E587" s="10">
        <v>0.50480000000000003</v>
      </c>
      <c r="F587" s="10"/>
      <c r="G587" s="10"/>
      <c r="H587" s="10"/>
      <c r="I587" s="11" t="e">
        <f>+VLOOKUP(B587,#REF!,7,FALSE)</f>
        <v>#REF!</v>
      </c>
      <c r="J587" s="12" t="str">
        <f t="shared" si="27"/>
        <v/>
      </c>
      <c r="K587" s="12" t="str">
        <f t="shared" si="28"/>
        <v/>
      </c>
      <c r="L587" s="12" t="e">
        <f t="shared" si="29"/>
        <v>#VALUE!</v>
      </c>
    </row>
    <row r="588" spans="1:12" ht="24" customHeight="1" x14ac:dyDescent="0.25">
      <c r="A588" s="9">
        <v>43214</v>
      </c>
      <c r="B588" s="10" t="s">
        <v>467</v>
      </c>
      <c r="C588" s="17">
        <v>3048</v>
      </c>
      <c r="D588" s="11" t="e">
        <f>VLOOKUP(B588,#REF!,7,FALSE)</f>
        <v>#REF!</v>
      </c>
      <c r="E588" s="10">
        <v>2.1246</v>
      </c>
      <c r="F588" s="10"/>
      <c r="G588" s="10"/>
      <c r="H588" s="10"/>
      <c r="I588" s="11" t="e">
        <f>+VLOOKUP(B588,#REF!,7,FALSE)</f>
        <v>#REF!</v>
      </c>
      <c r="J588" s="12" t="str">
        <f t="shared" si="27"/>
        <v/>
      </c>
      <c r="K588" s="12" t="str">
        <f t="shared" si="28"/>
        <v/>
      </c>
      <c r="L588" s="12" t="e">
        <f t="shared" si="29"/>
        <v>#VALUE!</v>
      </c>
    </row>
    <row r="589" spans="1:12" ht="24" customHeight="1" x14ac:dyDescent="0.25">
      <c r="A589" s="9">
        <v>43214</v>
      </c>
      <c r="B589" s="10" t="s">
        <v>468</v>
      </c>
      <c r="C589" s="17">
        <v>2718</v>
      </c>
      <c r="D589" s="11" t="e">
        <f>VLOOKUP(B589,#REF!,7,FALSE)</f>
        <v>#REF!</v>
      </c>
      <c r="E589" s="10">
        <f>0.205+1.9442</f>
        <v>2.1492</v>
      </c>
      <c r="F589" s="10"/>
      <c r="G589" s="10"/>
      <c r="H589" s="10"/>
      <c r="I589" s="11" t="e">
        <f>+VLOOKUP(B589,#REF!,7,FALSE)</f>
        <v>#REF!</v>
      </c>
      <c r="J589" s="12" t="str">
        <f t="shared" si="27"/>
        <v/>
      </c>
      <c r="K589" s="12" t="str">
        <f t="shared" si="28"/>
        <v/>
      </c>
      <c r="L589" s="12" t="e">
        <f t="shared" si="29"/>
        <v>#VALUE!</v>
      </c>
    </row>
    <row r="590" spans="1:12" ht="24" customHeight="1" x14ac:dyDescent="0.25">
      <c r="A590" s="9">
        <v>43214</v>
      </c>
      <c r="B590" s="10" t="s">
        <v>469</v>
      </c>
      <c r="C590" s="17">
        <v>2112</v>
      </c>
      <c r="D590" s="11" t="e">
        <f>VLOOKUP(B590,#REF!,7,FALSE)</f>
        <v>#REF!</v>
      </c>
      <c r="E590" s="10">
        <v>2.2662</v>
      </c>
      <c r="F590" s="10"/>
      <c r="G590" s="10"/>
      <c r="H590" s="10"/>
      <c r="I590" s="11" t="e">
        <f>+VLOOKUP(B590,#REF!,7,FALSE)</f>
        <v>#REF!</v>
      </c>
      <c r="J590" s="12" t="str">
        <f t="shared" si="27"/>
        <v/>
      </c>
      <c r="K590" s="12" t="str">
        <f t="shared" si="28"/>
        <v/>
      </c>
      <c r="L590" s="12" t="e">
        <f t="shared" si="29"/>
        <v>#VALUE!</v>
      </c>
    </row>
    <row r="591" spans="1:12" ht="24" customHeight="1" x14ac:dyDescent="0.25">
      <c r="A591" s="9">
        <v>43215</v>
      </c>
      <c r="B591" s="10" t="s">
        <v>48</v>
      </c>
      <c r="C591" s="17">
        <v>181</v>
      </c>
      <c r="D591" s="11" t="e">
        <f>VLOOKUP(B591,#REF!,7,FALSE)</f>
        <v>#REF!</v>
      </c>
      <c r="E591" s="10">
        <v>4.2834000000000003</v>
      </c>
      <c r="F591" s="10"/>
      <c r="G591" s="10"/>
      <c r="H591" s="10"/>
      <c r="I591" s="11" t="e">
        <f>+VLOOKUP(B591,#REF!,7,FALSE)</f>
        <v>#REF!</v>
      </c>
      <c r="J591" s="12" t="str">
        <f t="shared" si="27"/>
        <v/>
      </c>
      <c r="K591" s="12" t="str">
        <f t="shared" si="28"/>
        <v/>
      </c>
      <c r="L591" s="12" t="e">
        <f t="shared" si="29"/>
        <v>#VALUE!</v>
      </c>
    </row>
    <row r="592" spans="1:12" ht="24" customHeight="1" x14ac:dyDescent="0.25">
      <c r="A592" s="9">
        <v>43215</v>
      </c>
      <c r="B592" s="10" t="s">
        <v>67</v>
      </c>
      <c r="C592" s="17">
        <v>544</v>
      </c>
      <c r="D592" s="11" t="e">
        <f>VLOOKUP(B592,#REF!,7,FALSE)</f>
        <v>#REF!</v>
      </c>
      <c r="E592" s="10">
        <v>0.78420000000000001</v>
      </c>
      <c r="F592" s="10"/>
      <c r="G592" s="10"/>
      <c r="H592" s="10"/>
      <c r="I592" s="11" t="e">
        <f>+VLOOKUP(B592,#REF!,7,FALSE)</f>
        <v>#REF!</v>
      </c>
      <c r="J592" s="12" t="str">
        <f t="shared" si="27"/>
        <v/>
      </c>
      <c r="K592" s="12" t="str">
        <f t="shared" si="28"/>
        <v/>
      </c>
      <c r="L592" s="12" t="e">
        <f t="shared" si="29"/>
        <v>#VALUE!</v>
      </c>
    </row>
    <row r="593" spans="1:12" ht="24" customHeight="1" x14ac:dyDescent="0.25">
      <c r="A593" s="9">
        <v>43215</v>
      </c>
      <c r="B593" s="10" t="s">
        <v>68</v>
      </c>
      <c r="C593" s="17">
        <v>128</v>
      </c>
      <c r="D593" s="11" t="e">
        <f>VLOOKUP(B593,#REF!,7,FALSE)</f>
        <v>#REF!</v>
      </c>
      <c r="E593" s="10">
        <v>1.8240000000000001</v>
      </c>
      <c r="F593" s="10"/>
      <c r="G593" s="10"/>
      <c r="H593" s="10"/>
      <c r="I593" s="11" t="e">
        <f>+VLOOKUP(B593,#REF!,7,FALSE)</f>
        <v>#REF!</v>
      </c>
      <c r="J593" s="12" t="str">
        <f t="shared" si="27"/>
        <v/>
      </c>
      <c r="K593" s="12" t="str">
        <f t="shared" si="28"/>
        <v/>
      </c>
      <c r="L593" s="12" t="e">
        <f t="shared" si="29"/>
        <v>#VALUE!</v>
      </c>
    </row>
    <row r="594" spans="1:12" ht="24" customHeight="1" x14ac:dyDescent="0.25">
      <c r="A594" s="9">
        <v>43215</v>
      </c>
      <c r="B594" s="10" t="s">
        <v>482</v>
      </c>
      <c r="C594" s="17">
        <v>846</v>
      </c>
      <c r="D594" s="11" t="e">
        <f>VLOOKUP(B594,#REF!,7,FALSE)</f>
        <v>#REF!</v>
      </c>
      <c r="E594" s="10">
        <f>12.3228/6</f>
        <v>2.0538000000000003</v>
      </c>
      <c r="F594" s="10"/>
      <c r="G594" s="10"/>
      <c r="H594" s="10"/>
      <c r="I594" s="11" t="e">
        <f>+VLOOKUP(B594,#REF!,7,FALSE)</f>
        <v>#REF!</v>
      </c>
      <c r="J594" s="12" t="str">
        <f t="shared" si="27"/>
        <v/>
      </c>
      <c r="K594" s="12" t="str">
        <f t="shared" si="28"/>
        <v/>
      </c>
      <c r="L594" s="12" t="e">
        <f t="shared" si="29"/>
        <v>#VALUE!</v>
      </c>
    </row>
    <row r="595" spans="1:12" ht="24" customHeight="1" x14ac:dyDescent="0.25">
      <c r="A595" s="9">
        <v>43215</v>
      </c>
      <c r="B595" s="10" t="s">
        <v>103</v>
      </c>
      <c r="C595" s="17">
        <v>8634</v>
      </c>
      <c r="D595" s="11" t="e">
        <f>VLOOKUP(B595,#REF!,7,FALSE)</f>
        <v>#REF!</v>
      </c>
      <c r="E595" s="10">
        <f>10.6811/6</f>
        <v>1.7801833333333335</v>
      </c>
      <c r="F595" s="10"/>
      <c r="G595" s="10"/>
      <c r="H595" s="10"/>
      <c r="I595" s="11" t="e">
        <f>+VLOOKUP(B595,#REF!,7,FALSE)</f>
        <v>#REF!</v>
      </c>
      <c r="J595" s="12" t="str">
        <f t="shared" si="27"/>
        <v/>
      </c>
      <c r="K595" s="12" t="str">
        <f t="shared" si="28"/>
        <v/>
      </c>
      <c r="L595" s="12" t="e">
        <f t="shared" si="29"/>
        <v>#VALUE!</v>
      </c>
    </row>
    <row r="596" spans="1:12" ht="24" customHeight="1" x14ac:dyDescent="0.25">
      <c r="A596" s="9">
        <v>43215</v>
      </c>
      <c r="B596" s="10" t="s">
        <v>440</v>
      </c>
      <c r="C596" s="17">
        <v>18750</v>
      </c>
      <c r="D596" s="11" t="e">
        <f>VLOOKUP(B596,#REF!,7,FALSE)</f>
        <v>#REF!</v>
      </c>
      <c r="E596" s="10">
        <v>0.57989999999999997</v>
      </c>
      <c r="F596" s="10"/>
      <c r="G596" s="10"/>
      <c r="H596" s="10"/>
      <c r="I596" s="11" t="e">
        <f>+VLOOKUP(B596,#REF!,7,FALSE)</f>
        <v>#REF!</v>
      </c>
      <c r="J596" s="12" t="str">
        <f t="shared" si="27"/>
        <v/>
      </c>
      <c r="K596" s="12" t="str">
        <f t="shared" si="28"/>
        <v/>
      </c>
      <c r="L596" s="12" t="e">
        <f t="shared" si="29"/>
        <v>#VALUE!</v>
      </c>
    </row>
    <row r="597" spans="1:12" ht="24" customHeight="1" x14ac:dyDescent="0.25">
      <c r="A597" s="9">
        <v>43215</v>
      </c>
      <c r="B597" s="10" t="s">
        <v>446</v>
      </c>
      <c r="C597" s="17">
        <v>568</v>
      </c>
      <c r="D597" s="11" t="e">
        <f>VLOOKUP(B597,#REF!,7,FALSE)</f>
        <v>#REF!</v>
      </c>
      <c r="E597" s="10">
        <f>19.4747/8</f>
        <v>2.4343374999999998</v>
      </c>
      <c r="F597" s="10"/>
      <c r="G597" s="10"/>
      <c r="H597" s="10"/>
      <c r="I597" s="11" t="e">
        <f>+VLOOKUP(B597,#REF!,7,FALSE)</f>
        <v>#REF!</v>
      </c>
      <c r="J597" s="12" t="str">
        <f t="shared" si="27"/>
        <v/>
      </c>
      <c r="K597" s="12" t="str">
        <f t="shared" si="28"/>
        <v/>
      </c>
      <c r="L597" s="12" t="e">
        <f t="shared" si="29"/>
        <v>#VALUE!</v>
      </c>
    </row>
    <row r="598" spans="1:12" ht="24" customHeight="1" x14ac:dyDescent="0.25">
      <c r="A598" s="9">
        <v>43215</v>
      </c>
      <c r="B598" s="10" t="s">
        <v>484</v>
      </c>
      <c r="C598" s="17">
        <v>2034</v>
      </c>
      <c r="D598" s="11" t="e">
        <f>VLOOKUP(B598,#REF!,7,FALSE)</f>
        <v>#REF!</v>
      </c>
      <c r="E598" s="10">
        <v>2.6886999999999999</v>
      </c>
      <c r="F598" s="10"/>
      <c r="G598" s="10"/>
      <c r="H598" s="10"/>
      <c r="I598" s="11" t="e">
        <f>+VLOOKUP(B598,#REF!,7,FALSE)</f>
        <v>#REF!</v>
      </c>
      <c r="J598" s="12" t="str">
        <f t="shared" si="27"/>
        <v/>
      </c>
      <c r="K598" s="12" t="str">
        <f t="shared" si="28"/>
        <v/>
      </c>
      <c r="L598" s="12" t="e">
        <f t="shared" si="29"/>
        <v>#VALUE!</v>
      </c>
    </row>
    <row r="599" spans="1:12" ht="24" customHeight="1" x14ac:dyDescent="0.25">
      <c r="A599" s="9">
        <v>43215</v>
      </c>
      <c r="B599" s="10" t="s">
        <v>486</v>
      </c>
      <c r="C599" s="17">
        <v>312</v>
      </c>
      <c r="D599" s="11" t="e">
        <f>VLOOKUP(B599,#REF!,7,FALSE)</f>
        <v>#REF!</v>
      </c>
      <c r="E599" s="10">
        <v>2.601</v>
      </c>
      <c r="F599" s="10"/>
      <c r="G599" s="10"/>
      <c r="H599" s="10"/>
      <c r="I599" s="11" t="e">
        <f>+VLOOKUP(B599,#REF!,7,FALSE)</f>
        <v>#REF!</v>
      </c>
      <c r="J599" s="12" t="str">
        <f t="shared" si="27"/>
        <v/>
      </c>
      <c r="K599" s="12" t="str">
        <f t="shared" si="28"/>
        <v/>
      </c>
      <c r="L599" s="12" t="e">
        <f t="shared" si="29"/>
        <v>#VALUE!</v>
      </c>
    </row>
    <row r="600" spans="1:12" ht="24" customHeight="1" x14ac:dyDescent="0.25">
      <c r="A600" s="9">
        <v>43215</v>
      </c>
      <c r="B600" s="10" t="s">
        <v>226</v>
      </c>
      <c r="C600" s="17">
        <f>33264/6</f>
        <v>5544</v>
      </c>
      <c r="D600" s="11" t="e">
        <f>VLOOKUP(B600,#REF!,7,FALSE)</f>
        <v>#REF!</v>
      </c>
      <c r="E600" s="10">
        <v>1.4952000000000001</v>
      </c>
      <c r="F600" s="10"/>
      <c r="G600" s="10"/>
      <c r="H600" s="10"/>
      <c r="I600" s="11" t="e">
        <f>+VLOOKUP(B600,#REF!,7,FALSE)</f>
        <v>#REF!</v>
      </c>
      <c r="J600" s="12" t="str">
        <f t="shared" si="27"/>
        <v/>
      </c>
      <c r="K600" s="12" t="str">
        <f t="shared" si="28"/>
        <v/>
      </c>
      <c r="L600" s="12" t="e">
        <f t="shared" si="29"/>
        <v>#VALUE!</v>
      </c>
    </row>
    <row r="601" spans="1:12" ht="24" customHeight="1" x14ac:dyDescent="0.25">
      <c r="A601" s="9">
        <v>43216</v>
      </c>
      <c r="B601" s="10" t="s">
        <v>103</v>
      </c>
      <c r="C601" s="17">
        <v>8892</v>
      </c>
      <c r="D601" s="11" t="e">
        <f>VLOOKUP(B601,#REF!,7,FALSE)</f>
        <v>#REF!</v>
      </c>
      <c r="E601" s="10">
        <f>11.1621/6</f>
        <v>1.8603500000000002</v>
      </c>
      <c r="F601" s="10"/>
      <c r="G601" s="10"/>
      <c r="H601" s="10"/>
      <c r="I601" s="11" t="e">
        <f>+VLOOKUP(B601,#REF!,7,FALSE)</f>
        <v>#REF!</v>
      </c>
      <c r="J601" s="12" t="str">
        <f t="shared" si="27"/>
        <v/>
      </c>
      <c r="K601" s="12" t="str">
        <f t="shared" si="28"/>
        <v/>
      </c>
      <c r="L601" s="12" t="e">
        <f t="shared" si="29"/>
        <v>#VALUE!</v>
      </c>
    </row>
    <row r="602" spans="1:12" ht="24" customHeight="1" x14ac:dyDescent="0.25">
      <c r="A602" s="9">
        <v>43216</v>
      </c>
      <c r="B602" s="10" t="s">
        <v>440</v>
      </c>
      <c r="C602" s="17">
        <v>20440</v>
      </c>
      <c r="D602" s="11" t="e">
        <f>VLOOKUP(B602,#REF!,7,FALSE)</f>
        <v>#REF!</v>
      </c>
      <c r="E602" s="10">
        <v>0.62129999999999996</v>
      </c>
      <c r="F602" s="10"/>
      <c r="G602" s="10"/>
      <c r="H602" s="10"/>
      <c r="I602" s="11" t="e">
        <f>+VLOOKUP(B602,#REF!,7,FALSE)</f>
        <v>#REF!</v>
      </c>
      <c r="J602" s="12" t="str">
        <f t="shared" si="27"/>
        <v/>
      </c>
      <c r="K602" s="12" t="str">
        <f t="shared" si="28"/>
        <v/>
      </c>
      <c r="L602" s="12" t="e">
        <f t="shared" si="29"/>
        <v>#VALUE!</v>
      </c>
    </row>
    <row r="603" spans="1:12" ht="24" customHeight="1" x14ac:dyDescent="0.25">
      <c r="A603" s="9">
        <v>43216</v>
      </c>
      <c r="B603" s="10" t="s">
        <v>486</v>
      </c>
      <c r="C603" s="17">
        <v>3678</v>
      </c>
      <c r="D603" s="11" t="e">
        <f>VLOOKUP(B603,#REF!,7,FALSE)</f>
        <v>#REF!</v>
      </c>
      <c r="E603" s="10">
        <v>1.9639</v>
      </c>
      <c r="F603" s="10"/>
      <c r="G603" s="10"/>
      <c r="H603" s="10"/>
      <c r="I603" s="11" t="e">
        <f>+VLOOKUP(B603,#REF!,7,FALSE)</f>
        <v>#REF!</v>
      </c>
      <c r="J603" s="12" t="str">
        <f t="shared" si="27"/>
        <v/>
      </c>
      <c r="K603" s="12" t="str">
        <f t="shared" si="28"/>
        <v/>
      </c>
      <c r="L603" s="12" t="e">
        <f t="shared" si="29"/>
        <v>#VALUE!</v>
      </c>
    </row>
    <row r="604" spans="1:12" ht="24" customHeight="1" x14ac:dyDescent="0.25">
      <c r="A604" s="9">
        <v>43216</v>
      </c>
      <c r="B604" s="10" t="s">
        <v>226</v>
      </c>
      <c r="C604" s="17">
        <f>38808/6</f>
        <v>6468</v>
      </c>
      <c r="D604" s="11" t="e">
        <f>VLOOKUP(B604,#REF!,7,FALSE)</f>
        <v>#REF!</v>
      </c>
      <c r="E604" s="10">
        <v>1.6281000000000001</v>
      </c>
      <c r="F604" s="10"/>
      <c r="G604" s="10"/>
      <c r="H604" s="10"/>
      <c r="I604" s="11" t="e">
        <f>+VLOOKUP(B604,#REF!,7,FALSE)</f>
        <v>#REF!</v>
      </c>
      <c r="J604" s="12" t="str">
        <f t="shared" si="27"/>
        <v/>
      </c>
      <c r="K604" s="12" t="str">
        <f t="shared" si="28"/>
        <v/>
      </c>
      <c r="L604" s="12" t="e">
        <f t="shared" si="29"/>
        <v>#VALUE!</v>
      </c>
    </row>
    <row r="605" spans="1:12" ht="24" customHeight="1" x14ac:dyDescent="0.25">
      <c r="A605" s="9">
        <v>43217</v>
      </c>
      <c r="B605" s="10" t="s">
        <v>103</v>
      </c>
      <c r="C605" s="17">
        <v>8880</v>
      </c>
      <c r="D605" s="11" t="e">
        <f>VLOOKUP(B605,#REF!,7,FALSE)</f>
        <v>#REF!</v>
      </c>
      <c r="E605" s="10">
        <f>10.5514/6</f>
        <v>1.7585666666666666</v>
      </c>
      <c r="F605" s="10"/>
      <c r="G605" s="10"/>
      <c r="H605" s="10"/>
      <c r="I605" s="11" t="e">
        <f>+VLOOKUP(B605,#REF!,7,FALSE)</f>
        <v>#REF!</v>
      </c>
      <c r="J605" s="12" t="str">
        <f t="shared" si="27"/>
        <v/>
      </c>
      <c r="K605" s="12" t="str">
        <f t="shared" si="28"/>
        <v/>
      </c>
      <c r="L605" s="12" t="e">
        <f t="shared" si="29"/>
        <v>#VALUE!</v>
      </c>
    </row>
    <row r="606" spans="1:12" ht="24" customHeight="1" x14ac:dyDescent="0.25">
      <c r="A606" s="9">
        <v>43217</v>
      </c>
      <c r="B606" s="10" t="s">
        <v>440</v>
      </c>
      <c r="C606" s="17">
        <v>19120</v>
      </c>
      <c r="D606" s="11" t="e">
        <f>VLOOKUP(B606,#REF!,7,FALSE)</f>
        <v>#REF!</v>
      </c>
      <c r="E606" s="10">
        <v>0.57199999999999995</v>
      </c>
      <c r="F606" s="10"/>
      <c r="G606" s="10"/>
      <c r="H606" s="10"/>
      <c r="I606" s="11" t="e">
        <f>+VLOOKUP(B606,#REF!,7,FALSE)</f>
        <v>#REF!</v>
      </c>
      <c r="J606" s="12" t="str">
        <f t="shared" si="27"/>
        <v/>
      </c>
      <c r="K606" s="12" t="str">
        <f t="shared" si="28"/>
        <v/>
      </c>
      <c r="L606" s="12" t="e">
        <f t="shared" si="29"/>
        <v>#VALUE!</v>
      </c>
    </row>
    <row r="607" spans="1:12" ht="24" customHeight="1" x14ac:dyDescent="0.25">
      <c r="A607" s="9">
        <v>43217</v>
      </c>
      <c r="B607" s="10" t="s">
        <v>486</v>
      </c>
      <c r="C607" s="17">
        <v>7662</v>
      </c>
      <c r="D607" s="11" t="e">
        <f>VLOOKUP(B607,#REF!,7,FALSE)</f>
        <v>#REF!</v>
      </c>
      <c r="E607" s="10">
        <v>1.9186000000000001</v>
      </c>
      <c r="F607" s="10"/>
      <c r="G607" s="10"/>
      <c r="H607" s="10"/>
      <c r="I607" s="11" t="e">
        <f>+VLOOKUP(B607,#REF!,7,FALSE)</f>
        <v>#REF!</v>
      </c>
      <c r="J607" s="12" t="str">
        <f t="shared" si="27"/>
        <v/>
      </c>
      <c r="K607" s="12" t="str">
        <f t="shared" si="28"/>
        <v/>
      </c>
      <c r="L607" s="12" t="e">
        <f t="shared" si="29"/>
        <v>#VALUE!</v>
      </c>
    </row>
    <row r="608" spans="1:12" ht="24" customHeight="1" x14ac:dyDescent="0.25">
      <c r="A608" s="9">
        <v>43217</v>
      </c>
      <c r="B608" s="10" t="s">
        <v>225</v>
      </c>
      <c r="C608" s="17">
        <v>961</v>
      </c>
      <c r="D608" s="11" t="e">
        <f>VLOOKUP(B608,#REF!,7,FALSE)</f>
        <v>#REF!</v>
      </c>
      <c r="E608" s="10">
        <v>8.1064000000000007</v>
      </c>
      <c r="F608" s="10"/>
      <c r="G608" s="10"/>
      <c r="H608" s="10"/>
      <c r="I608" s="11" t="e">
        <f>+VLOOKUP(B608,#REF!,7,FALSE)</f>
        <v>#REF!</v>
      </c>
      <c r="J608" s="12" t="str">
        <f t="shared" si="27"/>
        <v/>
      </c>
      <c r="K608" s="12" t="str">
        <f t="shared" si="28"/>
        <v/>
      </c>
      <c r="L608" s="12" t="e">
        <f t="shared" si="29"/>
        <v>#VALUE!</v>
      </c>
    </row>
    <row r="609" spans="1:12" ht="24" customHeight="1" x14ac:dyDescent="0.25">
      <c r="A609" s="9">
        <v>43217</v>
      </c>
      <c r="B609" s="10" t="s">
        <v>226</v>
      </c>
      <c r="C609" s="17">
        <f>18480/6</f>
        <v>3080</v>
      </c>
      <c r="D609" s="11" t="e">
        <f>VLOOKUP(B609,#REF!,7,FALSE)</f>
        <v>#REF!</v>
      </c>
      <c r="E609" s="10">
        <v>1.7292000000000001</v>
      </c>
      <c r="F609" s="10"/>
      <c r="G609" s="10"/>
      <c r="H609" s="10"/>
      <c r="I609" s="11" t="e">
        <f>+VLOOKUP(B609,#REF!,7,FALSE)</f>
        <v>#REF!</v>
      </c>
      <c r="J609" s="12" t="str">
        <f t="shared" si="27"/>
        <v/>
      </c>
      <c r="K609" s="12" t="str">
        <f t="shared" si="28"/>
        <v/>
      </c>
      <c r="L609" s="12" t="e">
        <f t="shared" si="29"/>
        <v>#VALUE!</v>
      </c>
    </row>
    <row r="610" spans="1:12" ht="24" customHeight="1" x14ac:dyDescent="0.25">
      <c r="A610" s="9">
        <v>43220</v>
      </c>
      <c r="B610" s="10" t="s">
        <v>103</v>
      </c>
      <c r="C610" s="17">
        <v>3684</v>
      </c>
      <c r="D610" s="11" t="e">
        <f>VLOOKUP(B610,#REF!,7,FALSE)</f>
        <v>#REF!</v>
      </c>
      <c r="E610" s="10">
        <f>10.1816/6</f>
        <v>1.6969333333333332</v>
      </c>
      <c r="F610" s="10"/>
      <c r="G610" s="10"/>
      <c r="H610" s="10"/>
      <c r="I610" s="11" t="e">
        <f>+VLOOKUP(B610,#REF!,7,FALSE)</f>
        <v>#REF!</v>
      </c>
      <c r="J610" s="12" t="str">
        <f t="shared" si="27"/>
        <v/>
      </c>
      <c r="K610" s="12" t="str">
        <f t="shared" si="28"/>
        <v/>
      </c>
      <c r="L610" s="12" t="e">
        <f t="shared" si="29"/>
        <v>#VALUE!</v>
      </c>
    </row>
    <row r="611" spans="1:12" ht="24" customHeight="1" x14ac:dyDescent="0.25">
      <c r="A611" s="9">
        <v>43220</v>
      </c>
      <c r="B611" s="10" t="s">
        <v>140</v>
      </c>
      <c r="C611" s="17">
        <v>6140</v>
      </c>
      <c r="D611" s="11" t="e">
        <f>VLOOKUP(B611,#REF!,7,FALSE)</f>
        <v>#REF!</v>
      </c>
      <c r="E611" s="10">
        <f>15.4964/4</f>
        <v>3.8740999999999999</v>
      </c>
      <c r="F611" s="10"/>
      <c r="G611" s="10"/>
      <c r="H611" s="10"/>
      <c r="I611" s="11" t="e">
        <f>+VLOOKUP(B611,#REF!,7,FALSE)</f>
        <v>#REF!</v>
      </c>
      <c r="J611" s="12" t="str">
        <f t="shared" si="27"/>
        <v/>
      </c>
      <c r="K611" s="12" t="str">
        <f t="shared" si="28"/>
        <v/>
      </c>
      <c r="L611" s="12" t="e">
        <f t="shared" si="29"/>
        <v>#VALUE!</v>
      </c>
    </row>
    <row r="612" spans="1:12" ht="24" customHeight="1" x14ac:dyDescent="0.25">
      <c r="A612" s="9">
        <v>43220</v>
      </c>
      <c r="B612" s="10" t="s">
        <v>178</v>
      </c>
      <c r="C612" s="17">
        <v>9630</v>
      </c>
      <c r="D612" s="11" t="e">
        <f>VLOOKUP(B612,#REF!,7,FALSE)/6</f>
        <v>#REF!</v>
      </c>
      <c r="E612" s="10">
        <f>3.3303/6</f>
        <v>0.55504999999999993</v>
      </c>
      <c r="F612" s="10"/>
      <c r="G612" s="10"/>
      <c r="H612" s="10"/>
      <c r="I612" s="11" t="e">
        <f>+VLOOKUP(B612,#REF!,7,FALSE)</f>
        <v>#REF!</v>
      </c>
      <c r="J612" s="12" t="str">
        <f t="shared" si="27"/>
        <v/>
      </c>
      <c r="K612" s="12" t="str">
        <f t="shared" si="28"/>
        <v/>
      </c>
      <c r="L612" s="12" t="e">
        <f t="shared" si="29"/>
        <v>#VALUE!</v>
      </c>
    </row>
    <row r="613" spans="1:12" ht="24" customHeight="1" x14ac:dyDescent="0.25">
      <c r="A613" s="9">
        <v>43220</v>
      </c>
      <c r="B613" s="10" t="s">
        <v>199</v>
      </c>
      <c r="C613" s="17">
        <f>180+8112</f>
        <v>8292</v>
      </c>
      <c r="D613" s="11" t="e">
        <f>VLOOKUP(B613,#REF!,7,FALSE)</f>
        <v>#REF!</v>
      </c>
      <c r="E613" s="10">
        <v>2.5929000000000002</v>
      </c>
      <c r="F613" s="10"/>
      <c r="G613" s="10"/>
      <c r="H613" s="10"/>
      <c r="I613" s="11" t="e">
        <f>+VLOOKUP(B613,#REF!,7,FALSE)</f>
        <v>#REF!</v>
      </c>
      <c r="J613" s="12" t="str">
        <f t="shared" si="27"/>
        <v/>
      </c>
      <c r="K613" s="12" t="str">
        <f t="shared" si="28"/>
        <v/>
      </c>
      <c r="L613" s="12" t="e">
        <f t="shared" si="29"/>
        <v>#VALUE!</v>
      </c>
    </row>
    <row r="614" spans="1:12" ht="24" customHeight="1" x14ac:dyDescent="0.25">
      <c r="A614" s="9">
        <v>43220</v>
      </c>
      <c r="B614" s="10" t="s">
        <v>457</v>
      </c>
      <c r="C614" s="17">
        <v>1218</v>
      </c>
      <c r="D614" s="11" t="e">
        <f>VLOOKUP(B614,#REF!,7,FALSE)</f>
        <v>#REF!</v>
      </c>
      <c r="E614" s="10">
        <f>22.11/6</f>
        <v>3.6850000000000001</v>
      </c>
      <c r="F614" s="10"/>
      <c r="G614" s="10"/>
      <c r="H614" s="10"/>
      <c r="I614" s="11" t="e">
        <f>+VLOOKUP(B614,#REF!,7,FALSE)</f>
        <v>#REF!</v>
      </c>
      <c r="J614" s="12" t="str">
        <f t="shared" si="27"/>
        <v/>
      </c>
      <c r="K614" s="12" t="str">
        <f t="shared" si="28"/>
        <v/>
      </c>
      <c r="L614" s="12" t="e">
        <f t="shared" si="29"/>
        <v>#VALUE!</v>
      </c>
    </row>
    <row r="615" spans="1:12" ht="24" customHeight="1" x14ac:dyDescent="0.25">
      <c r="A615" s="9">
        <v>43220</v>
      </c>
      <c r="B615" s="10" t="s">
        <v>486</v>
      </c>
      <c r="C615" s="17">
        <v>1686</v>
      </c>
      <c r="D615" s="11" t="e">
        <f>VLOOKUP(B615,#REF!,7,FALSE)</f>
        <v>#REF!</v>
      </c>
      <c r="E615" s="10">
        <v>1.9157</v>
      </c>
      <c r="F615" s="10"/>
      <c r="G615" s="10"/>
      <c r="H615" s="10"/>
      <c r="I615" s="11" t="e">
        <f>+VLOOKUP(B615,#REF!,7,FALSE)</f>
        <v>#REF!</v>
      </c>
      <c r="J615" s="12" t="str">
        <f t="shared" si="27"/>
        <v/>
      </c>
      <c r="K615" s="12" t="str">
        <f t="shared" si="28"/>
        <v/>
      </c>
      <c r="L615" s="12" t="e">
        <f t="shared" si="29"/>
        <v>#VALUE!</v>
      </c>
    </row>
    <row r="616" spans="1:12" ht="24" customHeight="1" x14ac:dyDescent="0.25">
      <c r="A616" s="9">
        <v>43222</v>
      </c>
      <c r="B616" s="10" t="s">
        <v>114</v>
      </c>
      <c r="C616" s="17">
        <v>7998</v>
      </c>
      <c r="D616" s="11" t="e">
        <f>VLOOKUP(B616,#REF!,7,FALSE)</f>
        <v>#REF!</v>
      </c>
      <c r="E616" s="10">
        <v>2.1173999999999999</v>
      </c>
      <c r="F616" s="10"/>
      <c r="G616" s="10"/>
      <c r="H616" s="10"/>
      <c r="I616" s="11" t="e">
        <f>+VLOOKUP(B616,#REF!,7,FALSE)</f>
        <v>#REF!</v>
      </c>
      <c r="J616" s="12" t="str">
        <f t="shared" si="27"/>
        <v/>
      </c>
      <c r="K616" s="12" t="str">
        <f t="shared" si="28"/>
        <v/>
      </c>
      <c r="L616" s="12" t="e">
        <f t="shared" si="29"/>
        <v>#VALUE!</v>
      </c>
    </row>
    <row r="617" spans="1:12" ht="24" customHeight="1" x14ac:dyDescent="0.25">
      <c r="A617" s="9">
        <v>43222</v>
      </c>
      <c r="B617" s="10" t="s">
        <v>230</v>
      </c>
      <c r="C617" s="17">
        <v>14772</v>
      </c>
      <c r="D617" s="11" t="e">
        <f>VLOOKUP(B617,#REF!,7,FALSE)</f>
        <v>#REF!</v>
      </c>
      <c r="E617" s="10">
        <f>3.282/6</f>
        <v>0.54700000000000004</v>
      </c>
      <c r="F617" s="10"/>
      <c r="G617" s="10"/>
      <c r="H617" s="10"/>
      <c r="I617" s="11" t="e">
        <f>+VLOOKUP(B617,#REF!,7,FALSE)</f>
        <v>#REF!</v>
      </c>
      <c r="J617" s="12" t="str">
        <f t="shared" si="27"/>
        <v/>
      </c>
      <c r="K617" s="12" t="str">
        <f t="shared" si="28"/>
        <v/>
      </c>
      <c r="L617" s="12" t="e">
        <f t="shared" si="29"/>
        <v>#VALUE!</v>
      </c>
    </row>
    <row r="618" spans="1:12" ht="24" customHeight="1" x14ac:dyDescent="0.25">
      <c r="A618" s="9">
        <v>43222</v>
      </c>
      <c r="B618" s="10" t="s">
        <v>215</v>
      </c>
      <c r="C618" s="17">
        <v>839</v>
      </c>
      <c r="D618" s="11" t="e">
        <f>VLOOKUP(B618,#REF!,7,FALSE)</f>
        <v>#REF!</v>
      </c>
      <c r="E618" s="10">
        <v>5.2655000000000003</v>
      </c>
      <c r="F618" s="10"/>
      <c r="G618" s="10"/>
      <c r="H618" s="10"/>
      <c r="I618" s="11" t="e">
        <f>+VLOOKUP(B618,#REF!,7,FALSE)</f>
        <v>#REF!</v>
      </c>
      <c r="J618" s="12" t="str">
        <f t="shared" si="27"/>
        <v/>
      </c>
      <c r="K618" s="12" t="str">
        <f t="shared" si="28"/>
        <v/>
      </c>
      <c r="L618" s="12" t="e">
        <f t="shared" si="29"/>
        <v>#VALUE!</v>
      </c>
    </row>
    <row r="619" spans="1:12" ht="24" customHeight="1" x14ac:dyDescent="0.25">
      <c r="A619" s="9">
        <v>43222</v>
      </c>
      <c r="B619" s="10" t="s">
        <v>216</v>
      </c>
      <c r="C619" s="17">
        <v>1420</v>
      </c>
      <c r="D619" s="11" t="e">
        <f>VLOOKUP(B619,#REF!,7,FALSE)</f>
        <v>#REF!</v>
      </c>
      <c r="E619" s="10">
        <v>4.5012999999999996</v>
      </c>
      <c r="F619" s="10"/>
      <c r="G619" s="10"/>
      <c r="H619" s="10"/>
      <c r="I619" s="11" t="e">
        <f>+VLOOKUP(B619,#REF!,7,FALSE)</f>
        <v>#REF!</v>
      </c>
      <c r="J619" s="12" t="str">
        <f t="shared" si="27"/>
        <v/>
      </c>
      <c r="K619" s="12" t="str">
        <f t="shared" si="28"/>
        <v/>
      </c>
      <c r="L619" s="12" t="e">
        <f t="shared" si="29"/>
        <v>#VALUE!</v>
      </c>
    </row>
    <row r="620" spans="1:12" ht="24" customHeight="1" x14ac:dyDescent="0.25">
      <c r="A620" s="9">
        <v>43222</v>
      </c>
      <c r="B620" s="10" t="s">
        <v>441</v>
      </c>
      <c r="C620" s="17">
        <v>1548</v>
      </c>
      <c r="D620" s="11" t="e">
        <f>VLOOKUP(B620,#REF!,7,FALSE)</f>
        <v>#REF!</v>
      </c>
      <c r="E620" s="10">
        <v>0.65529999999999999</v>
      </c>
      <c r="F620" s="10"/>
      <c r="G620" s="10"/>
      <c r="H620" s="10"/>
      <c r="I620" s="11" t="e">
        <f>+VLOOKUP(B620,#REF!,7,FALSE)</f>
        <v>#REF!</v>
      </c>
      <c r="J620" s="12" t="str">
        <f t="shared" si="27"/>
        <v/>
      </c>
      <c r="K620" s="12" t="str">
        <f t="shared" si="28"/>
        <v/>
      </c>
      <c r="L620" s="12" t="e">
        <f t="shared" si="29"/>
        <v>#VALUE!</v>
      </c>
    </row>
    <row r="621" spans="1:12" ht="24" customHeight="1" x14ac:dyDescent="0.25">
      <c r="A621" s="9">
        <v>43222</v>
      </c>
      <c r="B621" s="10" t="s">
        <v>430</v>
      </c>
      <c r="C621" s="17">
        <v>3744</v>
      </c>
      <c r="D621" s="11" t="e">
        <f>VLOOKUP(B621,#REF!,7,FALSE)</f>
        <v>#REF!</v>
      </c>
      <c r="E621" s="10">
        <f>20.794/6</f>
        <v>3.4656666666666669</v>
      </c>
      <c r="F621" s="10"/>
      <c r="G621" s="10"/>
      <c r="H621" s="10"/>
      <c r="I621" s="11" t="e">
        <f>+VLOOKUP(B621,#REF!,7,FALSE)</f>
        <v>#REF!</v>
      </c>
      <c r="J621" s="12" t="str">
        <f t="shared" si="27"/>
        <v/>
      </c>
      <c r="K621" s="12" t="str">
        <f t="shared" si="28"/>
        <v/>
      </c>
      <c r="L621" s="12" t="e">
        <f t="shared" si="29"/>
        <v>#VALUE!</v>
      </c>
    </row>
    <row r="622" spans="1:12" ht="24" customHeight="1" x14ac:dyDescent="0.25">
      <c r="A622" s="9">
        <v>43223</v>
      </c>
      <c r="B622" s="10" t="s">
        <v>102</v>
      </c>
      <c r="C622" s="17">
        <v>6138</v>
      </c>
      <c r="D622" s="11" t="e">
        <f>VLOOKUP(B622,#REF!,7,FALSE)</f>
        <v>#REF!</v>
      </c>
      <c r="E622" s="10">
        <v>2.0876999999999999</v>
      </c>
      <c r="F622" s="10"/>
      <c r="G622" s="10"/>
      <c r="H622" s="10"/>
      <c r="I622" s="11" t="e">
        <f>+VLOOKUP(B622,#REF!,7,FALSE)</f>
        <v>#REF!</v>
      </c>
      <c r="J622" s="12" t="str">
        <f t="shared" si="27"/>
        <v/>
      </c>
      <c r="K622" s="12" t="str">
        <f t="shared" si="28"/>
        <v/>
      </c>
      <c r="L622" s="12" t="e">
        <f t="shared" si="29"/>
        <v>#VALUE!</v>
      </c>
    </row>
    <row r="623" spans="1:12" ht="24" customHeight="1" x14ac:dyDescent="0.25">
      <c r="A623" s="9">
        <v>43223</v>
      </c>
      <c r="B623" s="10" t="s">
        <v>151</v>
      </c>
      <c r="C623" s="17">
        <v>11244</v>
      </c>
      <c r="D623" s="11" t="e">
        <f>VLOOKUP(B623,#REF!,7,FALSE)</f>
        <v>#REF!</v>
      </c>
      <c r="E623" s="10">
        <v>2.9794999999999998</v>
      </c>
      <c r="F623" s="10"/>
      <c r="G623" s="10"/>
      <c r="H623" s="10"/>
      <c r="I623" s="11" t="e">
        <f>+VLOOKUP(B623,#REF!,7,FALSE)</f>
        <v>#REF!</v>
      </c>
      <c r="J623" s="12" t="str">
        <f t="shared" si="27"/>
        <v/>
      </c>
      <c r="K623" s="12" t="str">
        <f t="shared" si="28"/>
        <v/>
      </c>
      <c r="L623" s="12" t="e">
        <f t="shared" si="29"/>
        <v>#VALUE!</v>
      </c>
    </row>
    <row r="624" spans="1:12" ht="24" customHeight="1" x14ac:dyDescent="0.25">
      <c r="A624" s="9">
        <v>43223</v>
      </c>
      <c r="B624" s="10" t="s">
        <v>168</v>
      </c>
      <c r="C624" s="17">
        <v>232</v>
      </c>
      <c r="D624" s="11" t="e">
        <f>VLOOKUP(B624,#REF!,7,FALSE)/4</f>
        <v>#REF!</v>
      </c>
      <c r="E624" s="10">
        <v>2.1930000000000001</v>
      </c>
      <c r="F624" s="10"/>
      <c r="G624" s="10"/>
      <c r="H624" s="10"/>
      <c r="I624" s="11" t="e">
        <f>+VLOOKUP(B624,#REF!,7,FALSE)</f>
        <v>#REF!</v>
      </c>
      <c r="J624" s="12" t="str">
        <f t="shared" si="27"/>
        <v/>
      </c>
      <c r="K624" s="12" t="str">
        <f t="shared" si="28"/>
        <v/>
      </c>
      <c r="L624" s="12" t="e">
        <f t="shared" si="29"/>
        <v>#VALUE!</v>
      </c>
    </row>
    <row r="625" spans="1:12" ht="24" customHeight="1" x14ac:dyDescent="0.25">
      <c r="A625" s="9">
        <v>43223</v>
      </c>
      <c r="B625" s="10" t="s">
        <v>169</v>
      </c>
      <c r="C625" s="17">
        <v>176</v>
      </c>
      <c r="D625" s="11" t="e">
        <f>VLOOKUP(B625,#REF!,7,FALSE)/4</f>
        <v>#REF!</v>
      </c>
      <c r="E625" s="10">
        <f>30.1636/4</f>
        <v>7.5408999999999997</v>
      </c>
      <c r="F625" s="10"/>
      <c r="G625" s="10"/>
      <c r="H625" s="10"/>
      <c r="I625" s="11" t="e">
        <f>+VLOOKUP(B625,#REF!,7,FALSE)</f>
        <v>#REF!</v>
      </c>
      <c r="J625" s="12" t="str">
        <f t="shared" si="27"/>
        <v/>
      </c>
      <c r="K625" s="12" t="str">
        <f t="shared" si="28"/>
        <v/>
      </c>
      <c r="L625" s="12" t="e">
        <f t="shared" si="29"/>
        <v>#VALUE!</v>
      </c>
    </row>
    <row r="626" spans="1:12" ht="24" customHeight="1" x14ac:dyDescent="0.25">
      <c r="A626" s="9">
        <v>43223</v>
      </c>
      <c r="B626" s="10" t="s">
        <v>194</v>
      </c>
      <c r="C626" s="17">
        <v>926</v>
      </c>
      <c r="D626" s="11" t="e">
        <f>VLOOKUP(B626,#REF!,7,FALSE)</f>
        <v>#REF!</v>
      </c>
      <c r="E626" s="10">
        <v>3.0354000000000001</v>
      </c>
      <c r="F626" s="10"/>
      <c r="G626" s="10"/>
      <c r="H626" s="10"/>
      <c r="I626" s="11" t="e">
        <f>+VLOOKUP(B626,#REF!,7,FALSE)</f>
        <v>#REF!</v>
      </c>
      <c r="J626" s="12" t="str">
        <f t="shared" si="27"/>
        <v/>
      </c>
      <c r="K626" s="12" t="str">
        <f t="shared" si="28"/>
        <v/>
      </c>
      <c r="L626" s="12" t="e">
        <f t="shared" si="29"/>
        <v>#VALUE!</v>
      </c>
    </row>
    <row r="627" spans="1:12" ht="24" customHeight="1" x14ac:dyDescent="0.25">
      <c r="A627" s="9">
        <v>43223</v>
      </c>
      <c r="B627" s="10" t="s">
        <v>195</v>
      </c>
      <c r="C627" s="17">
        <v>1094</v>
      </c>
      <c r="D627" s="11" t="e">
        <f>VLOOKUP(B627,#REF!,7,FALSE)</f>
        <v>#REF!</v>
      </c>
      <c r="E627" s="10">
        <f>2.9102</f>
        <v>2.9102000000000001</v>
      </c>
      <c r="F627" s="10"/>
      <c r="G627" s="10"/>
      <c r="H627" s="10"/>
      <c r="I627" s="11" t="e">
        <f>+VLOOKUP(B627,#REF!,7,FALSE)</f>
        <v>#REF!</v>
      </c>
      <c r="J627" s="12" t="str">
        <f t="shared" si="27"/>
        <v/>
      </c>
      <c r="K627" s="12" t="str">
        <f t="shared" si="28"/>
        <v/>
      </c>
      <c r="L627" s="12" t="e">
        <f t="shared" si="29"/>
        <v>#VALUE!</v>
      </c>
    </row>
    <row r="628" spans="1:12" ht="24" customHeight="1" x14ac:dyDescent="0.25">
      <c r="A628" s="9">
        <v>43223</v>
      </c>
      <c r="B628" s="10" t="s">
        <v>441</v>
      </c>
      <c r="C628" s="17">
        <v>18030</v>
      </c>
      <c r="D628" s="11" t="e">
        <f>VLOOKUP(B628,#REF!,7,FALSE)</f>
        <v>#REF!</v>
      </c>
      <c r="E628" s="10">
        <v>0.4955</v>
      </c>
      <c r="F628" s="10"/>
      <c r="G628" s="10"/>
      <c r="H628" s="10"/>
      <c r="I628" s="11" t="e">
        <f>+VLOOKUP(B628,#REF!,7,FALSE)</f>
        <v>#REF!</v>
      </c>
      <c r="J628" s="12" t="str">
        <f t="shared" si="27"/>
        <v/>
      </c>
      <c r="K628" s="12" t="str">
        <f t="shared" si="28"/>
        <v/>
      </c>
      <c r="L628" s="12" t="e">
        <f t="shared" si="29"/>
        <v>#VALUE!</v>
      </c>
    </row>
    <row r="629" spans="1:12" ht="24" customHeight="1" x14ac:dyDescent="0.25">
      <c r="A629" s="9">
        <v>43224</v>
      </c>
      <c r="B629" s="10" t="s">
        <v>130</v>
      </c>
      <c r="C629" s="17">
        <v>395</v>
      </c>
      <c r="D629" s="11" t="e">
        <f>VLOOKUP(B629,#REF!,7,FALSE)</f>
        <v>#REF!</v>
      </c>
      <c r="E629" s="10">
        <v>19.7014</v>
      </c>
      <c r="F629" s="10"/>
      <c r="G629" s="10"/>
      <c r="H629" s="10"/>
      <c r="I629" s="11" t="e">
        <f>+VLOOKUP(B629,#REF!,7,FALSE)</f>
        <v>#REF!</v>
      </c>
      <c r="J629" s="12" t="str">
        <f t="shared" si="27"/>
        <v/>
      </c>
      <c r="K629" s="12" t="str">
        <f t="shared" si="28"/>
        <v/>
      </c>
      <c r="L629" s="12" t="e">
        <f t="shared" si="29"/>
        <v>#VALUE!</v>
      </c>
    </row>
    <row r="630" spans="1:12" ht="24" customHeight="1" x14ac:dyDescent="0.25">
      <c r="A630" s="9">
        <v>43224</v>
      </c>
      <c r="B630" s="10" t="s">
        <v>158</v>
      </c>
      <c r="C630" s="17">
        <v>1464</v>
      </c>
      <c r="D630" s="11" t="e">
        <f>VLOOKUP(B630,#REF!,7,FALSE)</f>
        <v>#REF!</v>
      </c>
      <c r="E630" s="10">
        <f>11.3742/12</f>
        <v>0.94784999999999997</v>
      </c>
      <c r="F630" s="10"/>
      <c r="G630" s="10"/>
      <c r="H630" s="10"/>
      <c r="I630" s="11" t="e">
        <f>+VLOOKUP(B630,#REF!,7,FALSE)</f>
        <v>#REF!</v>
      </c>
      <c r="J630" s="12" t="str">
        <f t="shared" si="27"/>
        <v/>
      </c>
      <c r="K630" s="12" t="str">
        <f t="shared" si="28"/>
        <v/>
      </c>
      <c r="L630" s="12" t="e">
        <f t="shared" si="29"/>
        <v>#VALUE!</v>
      </c>
    </row>
    <row r="631" spans="1:12" ht="24" customHeight="1" x14ac:dyDescent="0.25">
      <c r="A631" s="9">
        <v>43224</v>
      </c>
      <c r="B631" s="10" t="s">
        <v>192</v>
      </c>
      <c r="C631" s="17">
        <v>9360</v>
      </c>
      <c r="D631" s="11" t="e">
        <f>VLOOKUP(B631,#REF!,7,FALSE)</f>
        <v>#REF!</v>
      </c>
      <c r="E631" s="10">
        <f>7.9754/8</f>
        <v>0.99692499999999995</v>
      </c>
      <c r="F631" s="10"/>
      <c r="G631" s="10"/>
      <c r="H631" s="10"/>
      <c r="I631" s="11" t="e">
        <f>+VLOOKUP(B631,#REF!,7,FALSE)</f>
        <v>#REF!</v>
      </c>
      <c r="J631" s="12" t="str">
        <f t="shared" si="27"/>
        <v/>
      </c>
      <c r="K631" s="12" t="str">
        <f t="shared" si="28"/>
        <v/>
      </c>
      <c r="L631" s="12" t="e">
        <f t="shared" si="29"/>
        <v>#VALUE!</v>
      </c>
    </row>
    <row r="632" spans="1:12" ht="24" customHeight="1" x14ac:dyDescent="0.25">
      <c r="A632" s="9">
        <v>43224</v>
      </c>
      <c r="B632" s="10" t="s">
        <v>207</v>
      </c>
      <c r="C632" s="17">
        <v>13352</v>
      </c>
      <c r="D632" s="11" t="e">
        <f>VLOOKUP(B632,#REF!,7,FALSE)</f>
        <v>#REF!</v>
      </c>
      <c r="E632" s="10">
        <f>6.8887/8</f>
        <v>0.86108750000000001</v>
      </c>
      <c r="F632" s="10"/>
      <c r="G632" s="10"/>
      <c r="H632" s="10"/>
      <c r="I632" s="11" t="e">
        <f>+VLOOKUP(B632,#REF!,7,FALSE)</f>
        <v>#REF!</v>
      </c>
      <c r="J632" s="12" t="str">
        <f t="shared" si="27"/>
        <v/>
      </c>
      <c r="K632" s="12" t="str">
        <f t="shared" si="28"/>
        <v/>
      </c>
      <c r="L632" s="12" t="e">
        <f t="shared" si="29"/>
        <v>#VALUE!</v>
      </c>
    </row>
    <row r="633" spans="1:12" ht="24" customHeight="1" x14ac:dyDescent="0.25">
      <c r="A633" s="9">
        <v>43224</v>
      </c>
      <c r="B633" s="10" t="s">
        <v>441</v>
      </c>
      <c r="C633" s="17">
        <v>9876</v>
      </c>
      <c r="D633" s="11" t="e">
        <f>VLOOKUP(B633,#REF!,7,FALSE)</f>
        <v>#REF!</v>
      </c>
      <c r="E633" s="10">
        <v>0.44619999999999999</v>
      </c>
      <c r="F633" s="10"/>
      <c r="G633" s="10"/>
      <c r="H633" s="10"/>
      <c r="I633" s="11" t="e">
        <f>+VLOOKUP(B633,#REF!,7,FALSE)</f>
        <v>#REF!</v>
      </c>
      <c r="J633" s="12" t="str">
        <f t="shared" si="27"/>
        <v/>
      </c>
      <c r="K633" s="12" t="str">
        <f t="shared" si="28"/>
        <v/>
      </c>
      <c r="L633" s="12" t="e">
        <f t="shared" si="29"/>
        <v>#VALUE!</v>
      </c>
    </row>
    <row r="634" spans="1:12" ht="24" customHeight="1" x14ac:dyDescent="0.25">
      <c r="A634" s="9">
        <v>43224</v>
      </c>
      <c r="B634" s="10" t="s">
        <v>431</v>
      </c>
      <c r="C634" s="17">
        <v>9308</v>
      </c>
      <c r="D634" s="11" t="e">
        <f>VLOOKUP(B634,#REF!,7,FALSE)</f>
        <v>#REF!</v>
      </c>
      <c r="E634" s="10">
        <f>3.7026/4</f>
        <v>0.92564999999999997</v>
      </c>
      <c r="F634" s="10"/>
      <c r="G634" s="10"/>
      <c r="H634" s="10"/>
      <c r="I634" s="11" t="e">
        <f>+VLOOKUP(B634,#REF!,7,FALSE)</f>
        <v>#REF!</v>
      </c>
      <c r="J634" s="12" t="str">
        <f t="shared" si="27"/>
        <v/>
      </c>
      <c r="K634" s="12" t="str">
        <f t="shared" si="28"/>
        <v/>
      </c>
      <c r="L634" s="12" t="e">
        <f t="shared" si="29"/>
        <v>#VALUE!</v>
      </c>
    </row>
    <row r="635" spans="1:12" ht="24" customHeight="1" x14ac:dyDescent="0.25">
      <c r="A635" s="9">
        <v>43234</v>
      </c>
      <c r="B635" s="10" t="s">
        <v>31</v>
      </c>
      <c r="C635" s="17">
        <v>1200</v>
      </c>
      <c r="D635" s="11" t="e">
        <f>VLOOKUP(B635,#REF!,7,FALSE)</f>
        <v>#REF!</v>
      </c>
      <c r="E635" s="10">
        <v>2.0421</v>
      </c>
      <c r="F635" s="10"/>
      <c r="G635" s="10"/>
      <c r="H635" s="10"/>
      <c r="I635" s="11" t="e">
        <f>+VLOOKUP(B635,#REF!,7,FALSE)</f>
        <v>#REF!</v>
      </c>
      <c r="J635" s="12" t="str">
        <f t="shared" si="27"/>
        <v/>
      </c>
      <c r="K635" s="12" t="str">
        <f t="shared" si="28"/>
        <v/>
      </c>
      <c r="L635" s="12" t="e">
        <f t="shared" si="29"/>
        <v>#VALUE!</v>
      </c>
    </row>
    <row r="636" spans="1:12" ht="24" customHeight="1" x14ac:dyDescent="0.25">
      <c r="A636" s="9">
        <v>43234</v>
      </c>
      <c r="B636" s="10" t="s">
        <v>40</v>
      </c>
      <c r="C636" s="17">
        <v>113</v>
      </c>
      <c r="D636" s="11" t="e">
        <f>VLOOKUP(B636,#REF!,7,FALSE)</f>
        <v>#REF!</v>
      </c>
      <c r="E636" s="10">
        <v>6.2625999999999999</v>
      </c>
      <c r="F636" s="10"/>
      <c r="G636" s="10"/>
      <c r="H636" s="10"/>
      <c r="I636" s="11" t="e">
        <f>+VLOOKUP(B636,#REF!,7,FALSE)</f>
        <v>#REF!</v>
      </c>
      <c r="J636" s="12" t="str">
        <f t="shared" si="27"/>
        <v/>
      </c>
      <c r="K636" s="12" t="str">
        <f t="shared" si="28"/>
        <v/>
      </c>
      <c r="L636" s="12" t="e">
        <f t="shared" si="29"/>
        <v>#VALUE!</v>
      </c>
    </row>
    <row r="637" spans="1:12" ht="24" customHeight="1" x14ac:dyDescent="0.25">
      <c r="A637" s="9">
        <v>43234</v>
      </c>
      <c r="B637" s="10" t="s">
        <v>86</v>
      </c>
      <c r="C637" s="17">
        <v>1526</v>
      </c>
      <c r="D637" s="11" t="e">
        <f>VLOOKUP(B637,#REF!,7,FALSE)</f>
        <v>#REF!</v>
      </c>
      <c r="E637" s="10">
        <v>2.2639999999999998</v>
      </c>
      <c r="F637" s="10"/>
      <c r="G637" s="10"/>
      <c r="H637" s="10"/>
      <c r="I637" s="11" t="e">
        <f>+VLOOKUP(B637,#REF!,7,FALSE)</f>
        <v>#REF!</v>
      </c>
      <c r="J637" s="12" t="str">
        <f t="shared" si="27"/>
        <v/>
      </c>
      <c r="K637" s="12" t="str">
        <f t="shared" si="28"/>
        <v/>
      </c>
      <c r="L637" s="12" t="e">
        <f t="shared" si="29"/>
        <v>#VALUE!</v>
      </c>
    </row>
    <row r="638" spans="1:12" ht="24" customHeight="1" x14ac:dyDescent="0.25">
      <c r="A638" s="9">
        <v>43234</v>
      </c>
      <c r="B638" s="10" t="s">
        <v>94</v>
      </c>
      <c r="C638" s="17">
        <v>855</v>
      </c>
      <c r="D638" s="11" t="e">
        <f>VLOOKUP(B638,#REF!,7,FALSE)</f>
        <v>#REF!</v>
      </c>
      <c r="E638" s="10">
        <v>2.12</v>
      </c>
      <c r="F638" s="10"/>
      <c r="G638" s="10"/>
      <c r="H638" s="10"/>
      <c r="I638" s="11" t="e">
        <f>+VLOOKUP(B638,#REF!,7,FALSE)</f>
        <v>#REF!</v>
      </c>
      <c r="J638" s="12" t="str">
        <f t="shared" si="27"/>
        <v/>
      </c>
      <c r="K638" s="12" t="str">
        <f t="shared" si="28"/>
        <v/>
      </c>
      <c r="L638" s="12" t="e">
        <f t="shared" si="29"/>
        <v>#VALUE!</v>
      </c>
    </row>
    <row r="639" spans="1:12" ht="24" customHeight="1" x14ac:dyDescent="0.25">
      <c r="A639" s="9">
        <v>43234</v>
      </c>
      <c r="B639" s="10" t="s">
        <v>95</v>
      </c>
      <c r="C639" s="17">
        <v>334</v>
      </c>
      <c r="D639" s="11" t="e">
        <f>VLOOKUP(B639,#REF!,7,FALSE)</f>
        <v>#REF!</v>
      </c>
      <c r="E639" s="10">
        <v>3.8936000000000002</v>
      </c>
      <c r="F639" s="10"/>
      <c r="G639" s="10"/>
      <c r="H639" s="10"/>
      <c r="I639" s="11" t="e">
        <f>+VLOOKUP(B639,#REF!,7,FALSE)</f>
        <v>#REF!</v>
      </c>
      <c r="J639" s="12" t="str">
        <f t="shared" si="27"/>
        <v/>
      </c>
      <c r="K639" s="12" t="str">
        <f t="shared" si="28"/>
        <v/>
      </c>
      <c r="L639" s="12" t="e">
        <f t="shared" si="29"/>
        <v>#VALUE!</v>
      </c>
    </row>
    <row r="640" spans="1:12" ht="24" customHeight="1" x14ac:dyDescent="0.25">
      <c r="A640" s="9">
        <v>43234</v>
      </c>
      <c r="B640" s="10" t="s">
        <v>159</v>
      </c>
      <c r="C640" s="17">
        <v>15060</v>
      </c>
      <c r="D640" s="11" t="e">
        <f>VLOOKUP(B640,#REF!,7,FALSE)</f>
        <v>#REF!</v>
      </c>
      <c r="E640" s="10">
        <f>8.4269/12</f>
        <v>0.70224166666666665</v>
      </c>
      <c r="F640" s="10"/>
      <c r="G640" s="10"/>
      <c r="H640" s="10"/>
      <c r="I640" s="11" t="e">
        <f>+VLOOKUP(B640,#REF!,7,FALSE)</f>
        <v>#REF!</v>
      </c>
      <c r="J640" s="12" t="str">
        <f t="shared" si="27"/>
        <v/>
      </c>
      <c r="K640" s="12" t="str">
        <f t="shared" si="28"/>
        <v/>
      </c>
      <c r="L640" s="12" t="e">
        <f t="shared" si="29"/>
        <v>#VALUE!</v>
      </c>
    </row>
    <row r="641" spans="1:12" ht="24" customHeight="1" x14ac:dyDescent="0.25">
      <c r="A641" s="9">
        <v>43234</v>
      </c>
      <c r="B641" s="10" t="s">
        <v>230</v>
      </c>
      <c r="C641" s="17">
        <v>18192</v>
      </c>
      <c r="D641" s="11" t="e">
        <f>VLOOKUP(B641,#REF!,7,FALSE)</f>
        <v>#REF!</v>
      </c>
      <c r="E641" s="10">
        <f>3.4322/6</f>
        <v>0.57203333333333328</v>
      </c>
      <c r="F641" s="10"/>
      <c r="G641" s="10"/>
      <c r="H641" s="10"/>
      <c r="I641" s="11" t="e">
        <f>+VLOOKUP(B641,#REF!,7,FALSE)</f>
        <v>#REF!</v>
      </c>
      <c r="J641" s="12" t="str">
        <f t="shared" si="27"/>
        <v/>
      </c>
      <c r="K641" s="12" t="str">
        <f t="shared" si="28"/>
        <v/>
      </c>
      <c r="L641" s="12" t="e">
        <f t="shared" si="29"/>
        <v>#VALUE!</v>
      </c>
    </row>
    <row r="642" spans="1:12" ht="24" customHeight="1" x14ac:dyDescent="0.25">
      <c r="A642" s="9">
        <v>43234</v>
      </c>
      <c r="B642" s="10" t="s">
        <v>214</v>
      </c>
      <c r="C642" s="17">
        <v>9180</v>
      </c>
      <c r="D642" s="11">
        <v>0.63800000000000001</v>
      </c>
      <c r="E642" s="10">
        <f>8.9018/12</f>
        <v>0.74181666666666668</v>
      </c>
      <c r="F642" s="10"/>
      <c r="G642" s="10"/>
      <c r="H642" s="10"/>
      <c r="I642" s="11" t="e">
        <f>+VLOOKUP(B642,#REF!,7,FALSE)</f>
        <v>#REF!</v>
      </c>
      <c r="J642" s="12" t="str">
        <f t="shared" si="27"/>
        <v/>
      </c>
      <c r="K642" s="12" t="str">
        <f t="shared" si="28"/>
        <v/>
      </c>
      <c r="L642" s="12" t="e">
        <f t="shared" si="29"/>
        <v>#VALUE!</v>
      </c>
    </row>
    <row r="643" spans="1:12" ht="24" customHeight="1" x14ac:dyDescent="0.25">
      <c r="A643" s="9">
        <v>43234</v>
      </c>
      <c r="B643" s="10" t="s">
        <v>483</v>
      </c>
      <c r="C643" s="17">
        <v>1836</v>
      </c>
      <c r="D643" s="11" t="e">
        <f>VLOOKUP(B643,#REF!,7,FALSE)/12</f>
        <v>#REF!</v>
      </c>
      <c r="E643" s="10">
        <f>8.7757/12</f>
        <v>0.73130833333333334</v>
      </c>
      <c r="F643" s="10"/>
      <c r="G643" s="10"/>
      <c r="H643" s="10"/>
      <c r="I643" s="11" t="e">
        <f>+VLOOKUP(B643,#REF!,7,FALSE)</f>
        <v>#REF!</v>
      </c>
      <c r="J643" s="12" t="str">
        <f t="shared" si="27"/>
        <v/>
      </c>
      <c r="K643" s="12" t="str">
        <f t="shared" si="28"/>
        <v/>
      </c>
      <c r="L643" s="12" t="e">
        <f t="shared" si="29"/>
        <v>#VALUE!</v>
      </c>
    </row>
    <row r="644" spans="1:12" ht="24" customHeight="1" x14ac:dyDescent="0.25">
      <c r="A644" s="9">
        <v>43235</v>
      </c>
      <c r="B644" s="10" t="s">
        <v>98</v>
      </c>
      <c r="C644" s="17">
        <v>29928</v>
      </c>
      <c r="D644" s="11" t="e">
        <f>VLOOKUP(B644,#REF!,7,FALSE)</f>
        <v>#REF!</v>
      </c>
      <c r="E644" s="10">
        <v>0.78759999999999997</v>
      </c>
      <c r="F644" s="10"/>
      <c r="G644" s="10"/>
      <c r="H644" s="10"/>
      <c r="I644" s="11" t="e">
        <f>+VLOOKUP(B644,#REF!,7,FALSE)</f>
        <v>#REF!</v>
      </c>
      <c r="J644" s="12" t="str">
        <f t="shared" ref="J644:J707" si="30">IFERROR((I644-(D644+F644))/I644,"")</f>
        <v/>
      </c>
      <c r="K644" s="12" t="str">
        <f t="shared" ref="K644:K707" si="31">IF(E644="","",IFERROR((I644-(E644+G644+H644))/I644,""))</f>
        <v/>
      </c>
      <c r="L644" s="12" t="e">
        <f t="shared" ref="L644:L707" si="32">J644-K644</f>
        <v>#VALUE!</v>
      </c>
    </row>
    <row r="645" spans="1:12" ht="24" customHeight="1" x14ac:dyDescent="0.25">
      <c r="A645" s="9">
        <v>43235</v>
      </c>
      <c r="B645" s="10" t="s">
        <v>183</v>
      </c>
      <c r="C645" s="17">
        <v>6156</v>
      </c>
      <c r="D645" s="11" t="e">
        <f>VLOOKUP(B645,#REF!,7,FALSE)</f>
        <v>#REF!</v>
      </c>
      <c r="E645" s="10">
        <f>12.358/6</f>
        <v>2.0596666666666668</v>
      </c>
      <c r="F645" s="10"/>
      <c r="G645" s="10"/>
      <c r="H645" s="10"/>
      <c r="I645" s="11" t="e">
        <f>+VLOOKUP(B645,#REF!,7,FALSE)</f>
        <v>#REF!</v>
      </c>
      <c r="J645" s="12" t="str">
        <f t="shared" si="30"/>
        <v/>
      </c>
      <c r="K645" s="12" t="str">
        <f t="shared" si="31"/>
        <v/>
      </c>
      <c r="L645" s="12" t="e">
        <f t="shared" si="32"/>
        <v>#VALUE!</v>
      </c>
    </row>
    <row r="646" spans="1:12" ht="24" customHeight="1" x14ac:dyDescent="0.25">
      <c r="A646" s="9">
        <v>43235</v>
      </c>
      <c r="B646" s="10" t="s">
        <v>230</v>
      </c>
      <c r="C646" s="17">
        <f>882+15432</f>
        <v>16314</v>
      </c>
      <c r="D646" s="11" t="e">
        <f>VLOOKUP(B646,#REF!,7,FALSE)</f>
        <v>#REF!</v>
      </c>
      <c r="E646" s="10">
        <f>3.1152/6</f>
        <v>0.51919999999999999</v>
      </c>
      <c r="F646" s="10"/>
      <c r="G646" s="10"/>
      <c r="H646" s="10"/>
      <c r="I646" s="11" t="e">
        <f>+VLOOKUP(B646,#REF!,7,FALSE)</f>
        <v>#REF!</v>
      </c>
      <c r="J646" s="12" t="str">
        <f t="shared" si="30"/>
        <v/>
      </c>
      <c r="K646" s="12" t="str">
        <f t="shared" si="31"/>
        <v/>
      </c>
      <c r="L646" s="12" t="e">
        <f t="shared" si="32"/>
        <v>#VALUE!</v>
      </c>
    </row>
    <row r="647" spans="1:12" ht="24" customHeight="1" x14ac:dyDescent="0.25">
      <c r="A647" s="9">
        <v>43235</v>
      </c>
      <c r="B647" s="10" t="s">
        <v>441</v>
      </c>
      <c r="C647" s="17">
        <v>2130</v>
      </c>
      <c r="D647" s="11" t="e">
        <f>VLOOKUP(B647,#REF!,7,FALSE)</f>
        <v>#REF!</v>
      </c>
      <c r="E647" s="10">
        <v>0.44890000000000002</v>
      </c>
      <c r="F647" s="10"/>
      <c r="G647" s="10"/>
      <c r="H647" s="10"/>
      <c r="I647" s="11" t="e">
        <f>+VLOOKUP(B647,#REF!,7,FALSE)</f>
        <v>#REF!</v>
      </c>
      <c r="J647" s="12" t="str">
        <f t="shared" si="30"/>
        <v/>
      </c>
      <c r="K647" s="12" t="str">
        <f t="shared" si="31"/>
        <v/>
      </c>
      <c r="L647" s="12" t="e">
        <f t="shared" si="32"/>
        <v>#VALUE!</v>
      </c>
    </row>
    <row r="648" spans="1:12" ht="24" customHeight="1" x14ac:dyDescent="0.25">
      <c r="A648" s="9">
        <v>43235</v>
      </c>
      <c r="B648" s="10" t="s">
        <v>483</v>
      </c>
      <c r="C648" s="17">
        <v>11952</v>
      </c>
      <c r="D648" s="11" t="e">
        <f>VLOOKUP(B648,#REF!,7,FALSE)/12</f>
        <v>#REF!</v>
      </c>
      <c r="E648" s="10">
        <f>8.765/12</f>
        <v>0.73041666666666671</v>
      </c>
      <c r="F648" s="10"/>
      <c r="G648" s="10"/>
      <c r="H648" s="10"/>
      <c r="I648" s="11" t="e">
        <f>+VLOOKUP(B648,#REF!,7,FALSE)</f>
        <v>#REF!</v>
      </c>
      <c r="J648" s="12" t="str">
        <f t="shared" si="30"/>
        <v/>
      </c>
      <c r="K648" s="12" t="str">
        <f t="shared" si="31"/>
        <v/>
      </c>
      <c r="L648" s="12" t="e">
        <f t="shared" si="32"/>
        <v>#VALUE!</v>
      </c>
    </row>
    <row r="649" spans="1:12" ht="24" customHeight="1" x14ac:dyDescent="0.25">
      <c r="A649" s="9">
        <v>43236</v>
      </c>
      <c r="B649" s="10" t="s">
        <v>98</v>
      </c>
      <c r="C649" s="17">
        <v>31608</v>
      </c>
      <c r="D649" s="11" t="e">
        <f>VLOOKUP(B649,#REF!,7,FALSE)</f>
        <v>#REF!</v>
      </c>
      <c r="E649" s="10">
        <v>0.69289999999999996</v>
      </c>
      <c r="F649" s="10"/>
      <c r="G649" s="10"/>
      <c r="H649" s="10"/>
      <c r="I649" s="11" t="e">
        <f>+VLOOKUP(B649,#REF!,7,FALSE)</f>
        <v>#REF!</v>
      </c>
      <c r="J649" s="12" t="str">
        <f t="shared" si="30"/>
        <v/>
      </c>
      <c r="K649" s="12" t="str">
        <f t="shared" si="31"/>
        <v/>
      </c>
      <c r="L649" s="12" t="e">
        <f t="shared" si="32"/>
        <v>#VALUE!</v>
      </c>
    </row>
    <row r="650" spans="1:12" ht="24" customHeight="1" x14ac:dyDescent="0.25">
      <c r="A650" s="9">
        <v>43236</v>
      </c>
      <c r="B650" s="10" t="s">
        <v>152</v>
      </c>
      <c r="C650" s="17">
        <v>14232</v>
      </c>
      <c r="D650" s="11" t="e">
        <f>VLOOKUP(B650,#REF!,7,FALSE)</f>
        <v>#REF!</v>
      </c>
      <c r="E650" s="10">
        <f>7.7337/12</f>
        <v>0.64447500000000002</v>
      </c>
      <c r="F650" s="10"/>
      <c r="G650" s="10"/>
      <c r="H650" s="10"/>
      <c r="I650" s="11" t="e">
        <f>+VLOOKUP(B650,#REF!,7,FALSE)</f>
        <v>#REF!</v>
      </c>
      <c r="J650" s="12" t="str">
        <f t="shared" si="30"/>
        <v/>
      </c>
      <c r="K650" s="12" t="str">
        <f t="shared" si="31"/>
        <v/>
      </c>
      <c r="L650" s="12" t="e">
        <f t="shared" si="32"/>
        <v>#VALUE!</v>
      </c>
    </row>
    <row r="651" spans="1:12" ht="24" customHeight="1" x14ac:dyDescent="0.25">
      <c r="A651" s="9">
        <v>43236</v>
      </c>
      <c r="B651" s="10" t="s">
        <v>153</v>
      </c>
      <c r="C651" s="17">
        <v>2496</v>
      </c>
      <c r="D651" s="11" t="e">
        <f>VLOOKUP(B651,#REF!,7,FALSE)</f>
        <v>#REF!</v>
      </c>
      <c r="E651" s="10">
        <v>0.68</v>
      </c>
      <c r="F651" s="10"/>
      <c r="G651" s="10"/>
      <c r="H651" s="10"/>
      <c r="I651" s="11" t="e">
        <f>+VLOOKUP(B651,#REF!,7,FALSE)</f>
        <v>#REF!</v>
      </c>
      <c r="J651" s="12" t="str">
        <f t="shared" si="30"/>
        <v/>
      </c>
      <c r="K651" s="12" t="str">
        <f t="shared" si="31"/>
        <v/>
      </c>
      <c r="L651" s="12" t="e">
        <f t="shared" si="32"/>
        <v>#VALUE!</v>
      </c>
    </row>
    <row r="652" spans="1:12" ht="24" customHeight="1" x14ac:dyDescent="0.25">
      <c r="A652" s="9">
        <v>43236</v>
      </c>
      <c r="B652" s="10" t="s">
        <v>457</v>
      </c>
      <c r="C652" s="17">
        <v>2592</v>
      </c>
      <c r="D652" s="11" t="e">
        <f>VLOOKUP(B652,#REF!,7,FALSE)</f>
        <v>#REF!</v>
      </c>
      <c r="E652" s="10">
        <f>21.6101/6</f>
        <v>3.6016833333333333</v>
      </c>
      <c r="F652" s="10"/>
      <c r="G652" s="10"/>
      <c r="H652" s="10"/>
      <c r="I652" s="11" t="e">
        <f>+VLOOKUP(B652,#REF!,7,FALSE)</f>
        <v>#REF!</v>
      </c>
      <c r="J652" s="12" t="str">
        <f t="shared" si="30"/>
        <v/>
      </c>
      <c r="K652" s="12" t="str">
        <f t="shared" si="31"/>
        <v/>
      </c>
      <c r="L652" s="12" t="e">
        <f t="shared" si="32"/>
        <v>#VALUE!</v>
      </c>
    </row>
    <row r="653" spans="1:12" ht="24" customHeight="1" x14ac:dyDescent="0.25">
      <c r="A653" s="9">
        <v>43236</v>
      </c>
      <c r="B653" s="10" t="s">
        <v>483</v>
      </c>
      <c r="C653" s="17">
        <v>10908</v>
      </c>
      <c r="D653" s="11" t="e">
        <f>VLOOKUP(B653,#REF!,7,FALSE)/12</f>
        <v>#REF!</v>
      </c>
      <c r="E653" s="10">
        <f>9.018/12</f>
        <v>0.75150000000000006</v>
      </c>
      <c r="F653" s="10"/>
      <c r="G653" s="10"/>
      <c r="H653" s="10"/>
      <c r="I653" s="11" t="e">
        <f>+VLOOKUP(B653,#REF!,7,FALSE)</f>
        <v>#REF!</v>
      </c>
      <c r="J653" s="12" t="str">
        <f t="shared" si="30"/>
        <v/>
      </c>
      <c r="K653" s="12" t="str">
        <f t="shared" si="31"/>
        <v/>
      </c>
      <c r="L653" s="12" t="e">
        <f t="shared" si="32"/>
        <v>#VALUE!</v>
      </c>
    </row>
    <row r="654" spans="1:12" ht="24" customHeight="1" x14ac:dyDescent="0.25">
      <c r="A654" s="9">
        <v>43237</v>
      </c>
      <c r="B654" s="10" t="s">
        <v>153</v>
      </c>
      <c r="C654" s="17">
        <v>14832</v>
      </c>
      <c r="D654" s="11" t="e">
        <f>VLOOKUP(B654,#REF!,7,FALSE)</f>
        <v>#REF!</v>
      </c>
      <c r="E654" s="10">
        <v>0.68</v>
      </c>
      <c r="F654" s="10"/>
      <c r="G654" s="10"/>
      <c r="H654" s="10"/>
      <c r="I654" s="11" t="e">
        <f>+VLOOKUP(B654,#REF!,7,FALSE)</f>
        <v>#REF!</v>
      </c>
      <c r="J654" s="12" t="str">
        <f t="shared" si="30"/>
        <v/>
      </c>
      <c r="K654" s="12" t="str">
        <f t="shared" si="31"/>
        <v/>
      </c>
      <c r="L654" s="12" t="e">
        <f t="shared" si="32"/>
        <v>#VALUE!</v>
      </c>
    </row>
    <row r="655" spans="1:12" ht="24" customHeight="1" x14ac:dyDescent="0.25">
      <c r="A655" s="9">
        <v>43237</v>
      </c>
      <c r="B655" s="10" t="s">
        <v>442</v>
      </c>
      <c r="C655" s="17">
        <v>23334</v>
      </c>
      <c r="D655" s="11" t="e">
        <f>VLOOKUP(B655,#REF!,7,FALSE)</f>
        <v>#REF!</v>
      </c>
      <c r="E655" s="10">
        <f>4.0292/6</f>
        <v>0.67153333333333343</v>
      </c>
      <c r="F655" s="10"/>
      <c r="G655" s="10"/>
      <c r="H655" s="10"/>
      <c r="I655" s="11" t="e">
        <f>+VLOOKUP(B655,#REF!,7,FALSE)</f>
        <v>#REF!</v>
      </c>
      <c r="J655" s="12" t="str">
        <f t="shared" si="30"/>
        <v/>
      </c>
      <c r="K655" s="12" t="str">
        <f t="shared" si="31"/>
        <v/>
      </c>
      <c r="L655" s="12" t="e">
        <f t="shared" si="32"/>
        <v>#VALUE!</v>
      </c>
    </row>
    <row r="656" spans="1:12" ht="24" customHeight="1" x14ac:dyDescent="0.25">
      <c r="A656" s="9">
        <v>43237</v>
      </c>
      <c r="B656" s="10" t="s">
        <v>457</v>
      </c>
      <c r="C656" s="17">
        <v>3726</v>
      </c>
      <c r="D656" s="11" t="e">
        <f>VLOOKUP(B656,#REF!,7,FALSE)</f>
        <v>#REF!</v>
      </c>
      <c r="E656" s="10">
        <f>20.9095/6</f>
        <v>3.4849166666666669</v>
      </c>
      <c r="F656" s="10"/>
      <c r="G656" s="10"/>
      <c r="H656" s="10"/>
      <c r="I656" s="11" t="e">
        <f>+VLOOKUP(B656,#REF!,7,FALSE)</f>
        <v>#REF!</v>
      </c>
      <c r="J656" s="12" t="str">
        <f t="shared" si="30"/>
        <v/>
      </c>
      <c r="K656" s="12" t="str">
        <f t="shared" si="31"/>
        <v/>
      </c>
      <c r="L656" s="12" t="e">
        <f t="shared" si="32"/>
        <v>#VALUE!</v>
      </c>
    </row>
    <row r="657" spans="1:12" ht="24" customHeight="1" x14ac:dyDescent="0.25">
      <c r="A657" s="9">
        <v>43237</v>
      </c>
      <c r="B657" s="10" t="s">
        <v>483</v>
      </c>
      <c r="C657" s="17">
        <v>9240</v>
      </c>
      <c r="D657" s="11" t="e">
        <f>VLOOKUP(B657,#REF!,7,FALSE)/12</f>
        <v>#REF!</v>
      </c>
      <c r="E657" s="10">
        <f>9.006/12</f>
        <v>0.75050000000000006</v>
      </c>
      <c r="F657" s="10"/>
      <c r="G657" s="10"/>
      <c r="H657" s="10"/>
      <c r="I657" s="11" t="e">
        <f>+VLOOKUP(B657,#REF!,7,FALSE)</f>
        <v>#REF!</v>
      </c>
      <c r="J657" s="12" t="str">
        <f t="shared" si="30"/>
        <v/>
      </c>
      <c r="K657" s="12" t="str">
        <f t="shared" si="31"/>
        <v/>
      </c>
      <c r="L657" s="12" t="e">
        <f t="shared" si="32"/>
        <v>#VALUE!</v>
      </c>
    </row>
    <row r="658" spans="1:12" ht="24" customHeight="1" x14ac:dyDescent="0.25">
      <c r="A658" s="9">
        <v>43238</v>
      </c>
      <c r="B658" s="10" t="s">
        <v>38</v>
      </c>
      <c r="C658" s="17">
        <v>188</v>
      </c>
      <c r="D658" s="11" t="e">
        <f>VLOOKUP(B658,#REF!,7,FALSE)</f>
        <v>#REF!</v>
      </c>
      <c r="E658" s="10">
        <v>4.8620999999999999</v>
      </c>
      <c r="F658" s="10"/>
      <c r="G658" s="10"/>
      <c r="H658" s="10"/>
      <c r="I658" s="11" t="e">
        <f>+VLOOKUP(B658,#REF!,7,FALSE)</f>
        <v>#REF!</v>
      </c>
      <c r="J658" s="12" t="str">
        <f t="shared" si="30"/>
        <v/>
      </c>
      <c r="K658" s="12" t="str">
        <f t="shared" si="31"/>
        <v/>
      </c>
      <c r="L658" s="12" t="e">
        <f t="shared" si="32"/>
        <v>#VALUE!</v>
      </c>
    </row>
    <row r="659" spans="1:12" ht="24" customHeight="1" x14ac:dyDescent="0.25">
      <c r="A659" s="9">
        <v>43238</v>
      </c>
      <c r="B659" s="10" t="s">
        <v>87</v>
      </c>
      <c r="C659" s="17">
        <v>1536</v>
      </c>
      <c r="D659" s="11" t="e">
        <f>VLOOKUP(B659,#REF!,7,FALSE)</f>
        <v>#REF!</v>
      </c>
      <c r="E659" s="10">
        <v>4.2968000000000002</v>
      </c>
      <c r="F659" s="10"/>
      <c r="G659" s="10"/>
      <c r="H659" s="10"/>
      <c r="I659" s="11" t="e">
        <f>+VLOOKUP(B659,#REF!,7,FALSE)</f>
        <v>#REF!</v>
      </c>
      <c r="J659" s="12" t="str">
        <f t="shared" si="30"/>
        <v/>
      </c>
      <c r="K659" s="12" t="str">
        <f t="shared" si="31"/>
        <v/>
      </c>
      <c r="L659" s="12" t="e">
        <f t="shared" si="32"/>
        <v>#VALUE!</v>
      </c>
    </row>
    <row r="660" spans="1:12" ht="24" customHeight="1" x14ac:dyDescent="0.25">
      <c r="A660" s="9">
        <v>43238</v>
      </c>
      <c r="B660" s="10" t="s">
        <v>114</v>
      </c>
      <c r="C660" s="17">
        <v>1440</v>
      </c>
      <c r="D660" s="11" t="e">
        <f>VLOOKUP(B660,#REF!,7,FALSE)</f>
        <v>#REF!</v>
      </c>
      <c r="E660" s="10">
        <v>2.3062</v>
      </c>
      <c r="F660" s="10"/>
      <c r="G660" s="10"/>
      <c r="H660" s="10"/>
      <c r="I660" s="11" t="e">
        <f>+VLOOKUP(B660,#REF!,7,FALSE)</f>
        <v>#REF!</v>
      </c>
      <c r="J660" s="12" t="str">
        <f t="shared" si="30"/>
        <v/>
      </c>
      <c r="K660" s="12" t="str">
        <f t="shared" si="31"/>
        <v/>
      </c>
      <c r="L660" s="12" t="e">
        <f t="shared" si="32"/>
        <v>#VALUE!</v>
      </c>
    </row>
    <row r="661" spans="1:12" ht="24" customHeight="1" x14ac:dyDescent="0.25">
      <c r="A661" s="9">
        <v>43238</v>
      </c>
      <c r="B661" s="10" t="s">
        <v>124</v>
      </c>
      <c r="C661" s="17">
        <v>240</v>
      </c>
      <c r="D661" s="11" t="e">
        <f>VLOOKUP(B661,#REF!,7,FALSE)</f>
        <v>#REF!</v>
      </c>
      <c r="E661" s="10">
        <f>7.5395/6</f>
        <v>1.2565833333333334</v>
      </c>
      <c r="F661" s="10"/>
      <c r="G661" s="10"/>
      <c r="H661" s="10"/>
      <c r="I661" s="11" t="e">
        <f>+VLOOKUP(B661,#REF!,7,FALSE)</f>
        <v>#REF!</v>
      </c>
      <c r="J661" s="12" t="str">
        <f t="shared" si="30"/>
        <v/>
      </c>
      <c r="K661" s="12" t="str">
        <f t="shared" si="31"/>
        <v/>
      </c>
      <c r="L661" s="12" t="e">
        <f t="shared" si="32"/>
        <v>#VALUE!</v>
      </c>
    </row>
    <row r="662" spans="1:12" ht="24" customHeight="1" x14ac:dyDescent="0.25">
      <c r="A662" s="9">
        <v>43238</v>
      </c>
      <c r="B662" s="10" t="s">
        <v>125</v>
      </c>
      <c r="C662" s="17">
        <v>1170</v>
      </c>
      <c r="D662" s="11" t="e">
        <f>VLOOKUP(B662,#REF!,7,FALSE)</f>
        <v>#REF!</v>
      </c>
      <c r="E662" s="10">
        <v>1.9108000000000001</v>
      </c>
      <c r="F662" s="10"/>
      <c r="G662" s="10"/>
      <c r="H662" s="10"/>
      <c r="I662" s="11" t="e">
        <f>+VLOOKUP(B662,#REF!,7,FALSE)</f>
        <v>#REF!</v>
      </c>
      <c r="J662" s="12" t="str">
        <f t="shared" si="30"/>
        <v/>
      </c>
      <c r="K662" s="12" t="str">
        <f t="shared" si="31"/>
        <v/>
      </c>
      <c r="L662" s="12" t="e">
        <f t="shared" si="32"/>
        <v>#VALUE!</v>
      </c>
    </row>
    <row r="663" spans="1:12" ht="24" customHeight="1" x14ac:dyDescent="0.25">
      <c r="A663" s="9">
        <v>43238</v>
      </c>
      <c r="B663" s="10" t="s">
        <v>126</v>
      </c>
      <c r="C663" s="17">
        <v>600</v>
      </c>
      <c r="D663" s="11" t="e">
        <f>VLOOKUP(B663,#REF!,7,FALSE)</f>
        <v>#REF!</v>
      </c>
      <c r="E663" s="10">
        <v>2.9245999999999999</v>
      </c>
      <c r="F663" s="10"/>
      <c r="G663" s="10"/>
      <c r="H663" s="10"/>
      <c r="I663" s="11" t="e">
        <f>+VLOOKUP(B663,#REF!,7,FALSE)</f>
        <v>#REF!</v>
      </c>
      <c r="J663" s="12" t="str">
        <f t="shared" si="30"/>
        <v/>
      </c>
      <c r="K663" s="12" t="str">
        <f t="shared" si="31"/>
        <v/>
      </c>
      <c r="L663" s="12" t="e">
        <f t="shared" si="32"/>
        <v>#VALUE!</v>
      </c>
    </row>
    <row r="664" spans="1:12" ht="24" customHeight="1" x14ac:dyDescent="0.25">
      <c r="A664" s="9">
        <v>43238</v>
      </c>
      <c r="B664" s="10" t="s">
        <v>442</v>
      </c>
      <c r="C664" s="17">
        <v>17010</v>
      </c>
      <c r="D664" s="11" t="e">
        <f>VLOOKUP(B664,#REF!,7,FALSE)</f>
        <v>#REF!</v>
      </c>
      <c r="E664" s="10">
        <f>4.0823/6</f>
        <v>0.68038333333333334</v>
      </c>
      <c r="F664" s="10"/>
      <c r="G664" s="10"/>
      <c r="H664" s="10"/>
      <c r="I664" s="11" t="e">
        <f>+VLOOKUP(B664,#REF!,7,FALSE)</f>
        <v>#REF!</v>
      </c>
      <c r="J664" s="12" t="str">
        <f t="shared" si="30"/>
        <v/>
      </c>
      <c r="K664" s="12" t="str">
        <f t="shared" si="31"/>
        <v/>
      </c>
      <c r="L664" s="12" t="e">
        <f t="shared" si="32"/>
        <v>#VALUE!</v>
      </c>
    </row>
    <row r="665" spans="1:12" ht="24" customHeight="1" x14ac:dyDescent="0.25">
      <c r="A665" s="9">
        <v>43238</v>
      </c>
      <c r="B665" s="10" t="s">
        <v>430</v>
      </c>
      <c r="C665" s="17">
        <v>960</v>
      </c>
      <c r="D665" s="11" t="e">
        <f>VLOOKUP(B665,#REF!,7,FALSE)</f>
        <v>#REF!</v>
      </c>
      <c r="E665" s="10">
        <f>20.0526/6</f>
        <v>3.3421000000000003</v>
      </c>
      <c r="F665" s="10"/>
      <c r="G665" s="10"/>
      <c r="H665" s="10"/>
      <c r="I665" s="11" t="e">
        <f>+VLOOKUP(B665,#REF!,7,FALSE)</f>
        <v>#REF!</v>
      </c>
      <c r="J665" s="12" t="str">
        <f t="shared" si="30"/>
        <v/>
      </c>
      <c r="K665" s="12" t="str">
        <f t="shared" si="31"/>
        <v/>
      </c>
      <c r="L665" s="12" t="e">
        <f t="shared" si="32"/>
        <v>#VALUE!</v>
      </c>
    </row>
    <row r="666" spans="1:12" ht="24" customHeight="1" x14ac:dyDescent="0.25">
      <c r="A666" s="9">
        <v>43238</v>
      </c>
      <c r="B666" s="10" t="s">
        <v>457</v>
      </c>
      <c r="C666" s="17">
        <v>1482</v>
      </c>
      <c r="D666" s="11" t="e">
        <f>VLOOKUP(B666,#REF!,7,FALSE)</f>
        <v>#REF!</v>
      </c>
      <c r="E666" s="10">
        <f>19.8793/6</f>
        <v>3.3132166666666669</v>
      </c>
      <c r="F666" s="10"/>
      <c r="G666" s="10"/>
      <c r="H666" s="10"/>
      <c r="I666" s="11" t="e">
        <f>+VLOOKUP(B666,#REF!,7,FALSE)</f>
        <v>#REF!</v>
      </c>
      <c r="J666" s="12" t="str">
        <f t="shared" si="30"/>
        <v/>
      </c>
      <c r="K666" s="12" t="str">
        <f t="shared" si="31"/>
        <v/>
      </c>
      <c r="L666" s="12" t="e">
        <f t="shared" si="32"/>
        <v>#VALUE!</v>
      </c>
    </row>
    <row r="667" spans="1:12" ht="24" customHeight="1" x14ac:dyDescent="0.25">
      <c r="A667" s="9">
        <v>43242</v>
      </c>
      <c r="B667" s="10" t="s">
        <v>114</v>
      </c>
      <c r="C667" s="17">
        <v>942</v>
      </c>
      <c r="D667" s="11" t="e">
        <f>VLOOKUP(B667,#REF!,7,FALSE)</f>
        <v>#REF!</v>
      </c>
      <c r="E667" s="10">
        <v>2.403</v>
      </c>
      <c r="F667" s="10"/>
      <c r="G667" s="10"/>
      <c r="H667" s="10"/>
      <c r="I667" s="11" t="e">
        <f>+VLOOKUP(B667,#REF!,7,FALSE)</f>
        <v>#REF!</v>
      </c>
      <c r="J667" s="12" t="str">
        <f t="shared" si="30"/>
        <v/>
      </c>
      <c r="K667" s="12" t="str">
        <f t="shared" si="31"/>
        <v/>
      </c>
      <c r="L667" s="12" t="e">
        <f t="shared" si="32"/>
        <v>#VALUE!</v>
      </c>
    </row>
    <row r="668" spans="1:12" ht="24" customHeight="1" x14ac:dyDescent="0.25">
      <c r="A668" s="9">
        <v>43242</v>
      </c>
      <c r="B668" s="10" t="s">
        <v>230</v>
      </c>
      <c r="C668" s="17">
        <v>15966</v>
      </c>
      <c r="D668" s="11" t="e">
        <f>VLOOKUP(B668,#REF!,7,FALSE)</f>
        <v>#REF!</v>
      </c>
      <c r="E668" s="10">
        <f>3.6609/6</f>
        <v>0.61014999999999997</v>
      </c>
      <c r="F668" s="10"/>
      <c r="G668" s="10"/>
      <c r="H668" s="10"/>
      <c r="I668" s="11" t="e">
        <f>+VLOOKUP(B668,#REF!,7,FALSE)</f>
        <v>#REF!</v>
      </c>
      <c r="J668" s="12" t="str">
        <f t="shared" si="30"/>
        <v/>
      </c>
      <c r="K668" s="12" t="str">
        <f t="shared" si="31"/>
        <v/>
      </c>
      <c r="L668" s="12" t="e">
        <f t="shared" si="32"/>
        <v>#VALUE!</v>
      </c>
    </row>
    <row r="669" spans="1:12" ht="24" customHeight="1" x14ac:dyDescent="0.25">
      <c r="A669" s="9">
        <v>43242</v>
      </c>
      <c r="B669" s="10" t="s">
        <v>212</v>
      </c>
      <c r="C669" s="17">
        <v>15780</v>
      </c>
      <c r="D669" s="11" t="e">
        <f>VLOOKUP(B669,#REF!,7,FALSE)</f>
        <v>#REF!</v>
      </c>
      <c r="E669" s="10">
        <f>8.9957/6</f>
        <v>1.4992833333333333</v>
      </c>
      <c r="F669" s="10"/>
      <c r="G669" s="10"/>
      <c r="H669" s="10"/>
      <c r="I669" s="11" t="e">
        <f>+VLOOKUP(B669,#REF!,7,FALSE)</f>
        <v>#REF!</v>
      </c>
      <c r="J669" s="12" t="str">
        <f t="shared" si="30"/>
        <v/>
      </c>
      <c r="K669" s="12" t="str">
        <f t="shared" si="31"/>
        <v/>
      </c>
      <c r="L669" s="12" t="e">
        <f t="shared" si="32"/>
        <v>#VALUE!</v>
      </c>
    </row>
    <row r="670" spans="1:12" ht="24" customHeight="1" x14ac:dyDescent="0.25">
      <c r="A670" s="9">
        <v>43242</v>
      </c>
      <c r="B670" s="10" t="s">
        <v>442</v>
      </c>
      <c r="C670" s="17">
        <v>5802</v>
      </c>
      <c r="D670" s="11" t="e">
        <f>VLOOKUP(B670,#REF!,7,FALSE)</f>
        <v>#REF!</v>
      </c>
      <c r="E670" s="10">
        <v>0.68</v>
      </c>
      <c r="F670" s="10"/>
      <c r="G670" s="10"/>
      <c r="H670" s="10"/>
      <c r="I670" s="11" t="e">
        <f>+VLOOKUP(B670,#REF!,7,FALSE)</f>
        <v>#REF!</v>
      </c>
      <c r="J670" s="12" t="str">
        <f t="shared" si="30"/>
        <v/>
      </c>
      <c r="K670" s="12" t="str">
        <f t="shared" si="31"/>
        <v/>
      </c>
      <c r="L670" s="12" t="e">
        <f t="shared" si="32"/>
        <v>#VALUE!</v>
      </c>
    </row>
    <row r="671" spans="1:12" ht="24" customHeight="1" x14ac:dyDescent="0.25">
      <c r="A671" s="9">
        <v>43242</v>
      </c>
      <c r="B671" s="10" t="s">
        <v>430</v>
      </c>
      <c r="C671" s="17">
        <v>2520</v>
      </c>
      <c r="D671" s="11" t="e">
        <f>VLOOKUP(B671,#REF!,7,FALSE)</f>
        <v>#REF!</v>
      </c>
      <c r="E671" s="10">
        <v>3.3239999999999998</v>
      </c>
      <c r="F671" s="10"/>
      <c r="G671" s="10"/>
      <c r="H671" s="10"/>
      <c r="I671" s="11" t="e">
        <f>+VLOOKUP(B671,#REF!,7,FALSE)</f>
        <v>#REF!</v>
      </c>
      <c r="J671" s="12" t="str">
        <f t="shared" si="30"/>
        <v/>
      </c>
      <c r="K671" s="12" t="str">
        <f t="shared" si="31"/>
        <v/>
      </c>
      <c r="L671" s="12" t="e">
        <f t="shared" si="32"/>
        <v>#VALUE!</v>
      </c>
    </row>
    <row r="672" spans="1:12" ht="24" customHeight="1" x14ac:dyDescent="0.25">
      <c r="A672" s="9">
        <v>43242</v>
      </c>
      <c r="B672" s="10" t="s">
        <v>456</v>
      </c>
      <c r="C672" s="17">
        <v>3780</v>
      </c>
      <c r="D672" s="11" t="e">
        <f>VLOOKUP(B672,#REF!,7,FALSE)</f>
        <v>#REF!</v>
      </c>
      <c r="E672" s="10">
        <f>18.4054/6</f>
        <v>3.0675666666666666</v>
      </c>
      <c r="F672" s="10"/>
      <c r="G672" s="10"/>
      <c r="H672" s="10"/>
      <c r="I672" s="11" t="e">
        <f>+VLOOKUP(B672,#REF!,7,FALSE)</f>
        <v>#REF!</v>
      </c>
      <c r="J672" s="12" t="str">
        <f t="shared" si="30"/>
        <v/>
      </c>
      <c r="K672" s="12" t="str">
        <f t="shared" si="31"/>
        <v/>
      </c>
      <c r="L672" s="12" t="e">
        <f t="shared" si="32"/>
        <v>#VALUE!</v>
      </c>
    </row>
    <row r="673" spans="1:12" ht="24" customHeight="1" x14ac:dyDescent="0.25">
      <c r="A673" s="9">
        <v>43242</v>
      </c>
      <c r="B673" s="10" t="s">
        <v>483</v>
      </c>
      <c r="C673" s="17">
        <v>8652</v>
      </c>
      <c r="D673" s="11" t="e">
        <f>VLOOKUP(B673,#REF!,7,FALSE)/12</f>
        <v>#REF!</v>
      </c>
      <c r="E673" s="10">
        <f>8.6304/12</f>
        <v>0.71919999999999995</v>
      </c>
      <c r="F673" s="10"/>
      <c r="G673" s="10"/>
      <c r="H673" s="10"/>
      <c r="I673" s="11" t="e">
        <f>+VLOOKUP(B673,#REF!,7,FALSE)</f>
        <v>#REF!</v>
      </c>
      <c r="J673" s="12" t="str">
        <f t="shared" si="30"/>
        <v/>
      </c>
      <c r="K673" s="12" t="str">
        <f t="shared" si="31"/>
        <v/>
      </c>
      <c r="L673" s="12" t="e">
        <f t="shared" si="32"/>
        <v>#VALUE!</v>
      </c>
    </row>
    <row r="674" spans="1:12" ht="24" customHeight="1" x14ac:dyDescent="0.25">
      <c r="A674" s="9">
        <v>43243</v>
      </c>
      <c r="B674" s="10" t="s">
        <v>128</v>
      </c>
      <c r="C674" s="17">
        <f>72*228</f>
        <v>16416</v>
      </c>
      <c r="D674" s="11" t="e">
        <f>VLOOKUP(B674,#REF!,7,FALSE)</f>
        <v>#REF!</v>
      </c>
      <c r="E674" s="10">
        <f>19.0784/72</f>
        <v>0.26497777777777776</v>
      </c>
      <c r="F674" s="10"/>
      <c r="G674" s="10"/>
      <c r="H674" s="10"/>
      <c r="I674" s="11" t="e">
        <f>+VLOOKUP(B674,#REF!,7,FALSE)</f>
        <v>#REF!</v>
      </c>
      <c r="J674" s="12" t="str">
        <f t="shared" si="30"/>
        <v/>
      </c>
      <c r="K674" s="12" t="str">
        <f t="shared" si="31"/>
        <v/>
      </c>
      <c r="L674" s="12" t="e">
        <f t="shared" si="32"/>
        <v>#VALUE!</v>
      </c>
    </row>
    <row r="675" spans="1:12" ht="24" customHeight="1" x14ac:dyDescent="0.25">
      <c r="A675" s="9">
        <v>43243</v>
      </c>
      <c r="B675" s="10" t="s">
        <v>207</v>
      </c>
      <c r="C675" s="17">
        <v>7608</v>
      </c>
      <c r="D675" s="11" t="e">
        <f>VLOOKUP(B675,#REF!,7,FALSE)</f>
        <v>#REF!</v>
      </c>
      <c r="E675" s="10">
        <f>7.2818/8</f>
        <v>0.91022499999999995</v>
      </c>
      <c r="F675" s="10"/>
      <c r="G675" s="10"/>
      <c r="H675" s="10"/>
      <c r="I675" s="11" t="e">
        <f>+VLOOKUP(B675,#REF!,7,FALSE)</f>
        <v>#REF!</v>
      </c>
      <c r="J675" s="12" t="str">
        <f t="shared" si="30"/>
        <v/>
      </c>
      <c r="K675" s="12" t="str">
        <f t="shared" si="31"/>
        <v/>
      </c>
      <c r="L675" s="12" t="e">
        <f t="shared" si="32"/>
        <v>#VALUE!</v>
      </c>
    </row>
    <row r="676" spans="1:12" ht="24" customHeight="1" x14ac:dyDescent="0.25">
      <c r="A676" s="9">
        <v>43243</v>
      </c>
      <c r="B676" s="10" t="s">
        <v>212</v>
      </c>
      <c r="C676" s="17">
        <v>16140</v>
      </c>
      <c r="D676" s="11" t="e">
        <f>VLOOKUP(B676,#REF!,7,FALSE)</f>
        <v>#REF!</v>
      </c>
      <c r="E676" s="10">
        <f>8.613/6</f>
        <v>1.4355</v>
      </c>
      <c r="F676" s="10"/>
      <c r="G676" s="10"/>
      <c r="H676" s="10"/>
      <c r="I676" s="11" t="e">
        <f>+VLOOKUP(B676,#REF!,7,FALSE)</f>
        <v>#REF!</v>
      </c>
      <c r="J676" s="12" t="str">
        <f t="shared" si="30"/>
        <v/>
      </c>
      <c r="K676" s="12" t="str">
        <f t="shared" si="31"/>
        <v/>
      </c>
      <c r="L676" s="12" t="e">
        <f t="shared" si="32"/>
        <v>#VALUE!</v>
      </c>
    </row>
    <row r="677" spans="1:12" ht="24" customHeight="1" x14ac:dyDescent="0.25">
      <c r="A677" s="9">
        <v>43243</v>
      </c>
      <c r="B677" s="10" t="s">
        <v>456</v>
      </c>
      <c r="C677" s="17">
        <v>3618</v>
      </c>
      <c r="D677" s="11" t="e">
        <f>VLOOKUP(B677,#REF!,7,FALSE)</f>
        <v>#REF!</v>
      </c>
      <c r="E677" s="10">
        <f>19.3703/6</f>
        <v>3.2283833333333334</v>
      </c>
      <c r="F677" s="10"/>
      <c r="G677" s="10"/>
      <c r="H677" s="10"/>
      <c r="I677" s="11" t="e">
        <f>+VLOOKUP(B677,#REF!,7,FALSE)</f>
        <v>#REF!</v>
      </c>
      <c r="J677" s="12" t="str">
        <f t="shared" si="30"/>
        <v/>
      </c>
      <c r="K677" s="12" t="str">
        <f t="shared" si="31"/>
        <v/>
      </c>
      <c r="L677" s="12" t="e">
        <f t="shared" si="32"/>
        <v>#VALUE!</v>
      </c>
    </row>
    <row r="678" spans="1:12" ht="24" customHeight="1" x14ac:dyDescent="0.25">
      <c r="A678" s="9">
        <v>43243</v>
      </c>
      <c r="B678" s="10" t="s">
        <v>484</v>
      </c>
      <c r="C678" s="17">
        <v>882</v>
      </c>
      <c r="D678" s="11" t="e">
        <f>VLOOKUP(B678,#REF!,7,FALSE)</f>
        <v>#REF!</v>
      </c>
      <c r="E678" s="10">
        <v>2.9809000000000001</v>
      </c>
      <c r="F678" s="10"/>
      <c r="G678" s="10"/>
      <c r="H678" s="10"/>
      <c r="I678" s="11" t="e">
        <f>+VLOOKUP(B678,#REF!,7,FALSE)</f>
        <v>#REF!</v>
      </c>
      <c r="J678" s="12" t="str">
        <f t="shared" si="30"/>
        <v/>
      </c>
      <c r="K678" s="12" t="str">
        <f t="shared" si="31"/>
        <v/>
      </c>
      <c r="L678" s="12" t="e">
        <f t="shared" si="32"/>
        <v>#VALUE!</v>
      </c>
    </row>
    <row r="679" spans="1:12" ht="24" customHeight="1" x14ac:dyDescent="0.25">
      <c r="A679" s="9">
        <v>43243</v>
      </c>
      <c r="B679" s="10" t="s">
        <v>483</v>
      </c>
      <c r="C679" s="17">
        <v>10620</v>
      </c>
      <c r="D679" s="11" t="e">
        <f>VLOOKUP(B679,#REF!,7,FALSE)/12</f>
        <v>#REF!</v>
      </c>
      <c r="E679" s="10">
        <f>9.2508/12</f>
        <v>0.77090000000000003</v>
      </c>
      <c r="F679" s="10"/>
      <c r="G679" s="10"/>
      <c r="H679" s="10"/>
      <c r="I679" s="11" t="e">
        <f>+VLOOKUP(B679,#REF!,7,FALSE)</f>
        <v>#REF!</v>
      </c>
      <c r="J679" s="12" t="str">
        <f t="shared" si="30"/>
        <v/>
      </c>
      <c r="K679" s="12" t="str">
        <f t="shared" si="31"/>
        <v/>
      </c>
      <c r="L679" s="12" t="e">
        <f t="shared" si="32"/>
        <v>#VALUE!</v>
      </c>
    </row>
    <row r="680" spans="1:12" ht="24" customHeight="1" x14ac:dyDescent="0.25">
      <c r="A680" s="9">
        <v>43244</v>
      </c>
      <c r="B680" s="10" t="s">
        <v>128</v>
      </c>
      <c r="C680" s="17">
        <v>57168</v>
      </c>
      <c r="D680" s="11" t="e">
        <f>VLOOKUP(B680,#REF!,7,FALSE)</f>
        <v>#REF!</v>
      </c>
      <c r="E680" s="10">
        <f>18.4686/72</f>
        <v>0.25650833333333334</v>
      </c>
      <c r="F680" s="10"/>
      <c r="G680" s="10"/>
      <c r="H680" s="10"/>
      <c r="I680" s="11" t="e">
        <f>+VLOOKUP(B680,#REF!,7,FALSE)</f>
        <v>#REF!</v>
      </c>
      <c r="J680" s="12" t="str">
        <f t="shared" si="30"/>
        <v/>
      </c>
      <c r="K680" s="12" t="str">
        <f t="shared" si="31"/>
        <v/>
      </c>
      <c r="L680" s="12" t="e">
        <f t="shared" si="32"/>
        <v>#VALUE!</v>
      </c>
    </row>
    <row r="681" spans="1:12" ht="24" customHeight="1" x14ac:dyDescent="0.25">
      <c r="A681" s="9">
        <v>43244</v>
      </c>
      <c r="B681" s="10" t="s">
        <v>212</v>
      </c>
      <c r="C681" s="17">
        <v>17214</v>
      </c>
      <c r="D681" s="11" t="e">
        <f>VLOOKUP(B681,#REF!,7,FALSE)</f>
        <v>#REF!</v>
      </c>
      <c r="E681" s="10">
        <f>8.3517/6</f>
        <v>1.3919499999999998</v>
      </c>
      <c r="F681" s="10"/>
      <c r="G681" s="10"/>
      <c r="H681" s="10"/>
      <c r="I681" s="11" t="e">
        <f>+VLOOKUP(B681,#REF!,7,FALSE)</f>
        <v>#REF!</v>
      </c>
      <c r="J681" s="12" t="str">
        <f t="shared" si="30"/>
        <v/>
      </c>
      <c r="K681" s="12" t="str">
        <f t="shared" si="31"/>
        <v/>
      </c>
      <c r="L681" s="12" t="e">
        <f t="shared" si="32"/>
        <v>#VALUE!</v>
      </c>
    </row>
    <row r="682" spans="1:12" ht="24" customHeight="1" x14ac:dyDescent="0.25">
      <c r="A682" s="9">
        <v>43244</v>
      </c>
      <c r="B682" s="10" t="s">
        <v>214</v>
      </c>
      <c r="C682" s="17">
        <v>9480</v>
      </c>
      <c r="D682" s="11" t="e">
        <f>VLOOKUP(B682,#REF!,7,FALSE)</f>
        <v>#REF!</v>
      </c>
      <c r="E682" s="10">
        <f>8.3531/12</f>
        <v>0.69609166666666666</v>
      </c>
      <c r="F682" s="10"/>
      <c r="G682" s="10"/>
      <c r="H682" s="10"/>
      <c r="I682" s="11" t="e">
        <f>+VLOOKUP(B682,#REF!,7,FALSE)</f>
        <v>#REF!</v>
      </c>
      <c r="J682" s="12" t="str">
        <f t="shared" si="30"/>
        <v/>
      </c>
      <c r="K682" s="12" t="str">
        <f t="shared" si="31"/>
        <v/>
      </c>
      <c r="L682" s="12" t="e">
        <f t="shared" si="32"/>
        <v>#VALUE!</v>
      </c>
    </row>
    <row r="683" spans="1:12" ht="24" customHeight="1" x14ac:dyDescent="0.25">
      <c r="A683" s="9">
        <v>43244</v>
      </c>
      <c r="B683" s="10" t="s">
        <v>440</v>
      </c>
      <c r="C683" s="17">
        <v>2050</v>
      </c>
      <c r="D683" s="11" t="e">
        <f>VLOOKUP(B683,#REF!,7,FALSE)</f>
        <v>#REF!</v>
      </c>
      <c r="E683" s="10">
        <f>0.6803</f>
        <v>0.68030000000000002</v>
      </c>
      <c r="F683" s="10"/>
      <c r="G683" s="10"/>
      <c r="H683" s="10"/>
      <c r="I683" s="11" t="e">
        <f>+VLOOKUP(B683,#REF!,7,FALSE)</f>
        <v>#REF!</v>
      </c>
      <c r="J683" s="12" t="str">
        <f t="shared" si="30"/>
        <v/>
      </c>
      <c r="K683" s="12" t="str">
        <f t="shared" si="31"/>
        <v/>
      </c>
      <c r="L683" s="12" t="e">
        <f t="shared" si="32"/>
        <v>#VALUE!</v>
      </c>
    </row>
    <row r="684" spans="1:12" ht="24" customHeight="1" x14ac:dyDescent="0.25">
      <c r="A684" s="9">
        <v>43244</v>
      </c>
      <c r="B684" s="10" t="s">
        <v>441</v>
      </c>
      <c r="C684" s="17">
        <v>13218</v>
      </c>
      <c r="D684" s="11" t="e">
        <f>VLOOKUP(B684,#REF!,7,FALSE)</f>
        <v>#REF!</v>
      </c>
      <c r="E684" s="10">
        <v>0.4919</v>
      </c>
      <c r="F684" s="10"/>
      <c r="G684" s="10"/>
      <c r="H684" s="10"/>
      <c r="I684" s="11" t="e">
        <f>+VLOOKUP(B684,#REF!,7,FALSE)</f>
        <v>#REF!</v>
      </c>
      <c r="J684" s="12" t="str">
        <f t="shared" si="30"/>
        <v/>
      </c>
      <c r="K684" s="12" t="str">
        <f t="shared" si="31"/>
        <v/>
      </c>
      <c r="L684" s="12" t="e">
        <f t="shared" si="32"/>
        <v>#VALUE!</v>
      </c>
    </row>
    <row r="685" spans="1:12" ht="24" customHeight="1" x14ac:dyDescent="0.25">
      <c r="A685" s="9">
        <v>43244</v>
      </c>
      <c r="B685" s="10" t="s">
        <v>483</v>
      </c>
      <c r="C685" s="17">
        <v>984</v>
      </c>
      <c r="D685" s="11" t="e">
        <f>VLOOKUP(B685,#REF!,7,FALSE)/12</f>
        <v>#REF!</v>
      </c>
      <c r="E685" s="10">
        <v>0.70799999999999996</v>
      </c>
      <c r="F685" s="10"/>
      <c r="G685" s="10"/>
      <c r="H685" s="10"/>
      <c r="I685" s="11" t="e">
        <f>+VLOOKUP(B685,#REF!,7,FALSE)</f>
        <v>#REF!</v>
      </c>
      <c r="J685" s="12" t="str">
        <f t="shared" si="30"/>
        <v/>
      </c>
      <c r="K685" s="12" t="str">
        <f t="shared" si="31"/>
        <v/>
      </c>
      <c r="L685" s="12" t="e">
        <f t="shared" si="32"/>
        <v>#VALUE!</v>
      </c>
    </row>
    <row r="686" spans="1:12" ht="24" customHeight="1" x14ac:dyDescent="0.25">
      <c r="A686" s="9">
        <v>43245</v>
      </c>
      <c r="B686" s="10" t="s">
        <v>128</v>
      </c>
      <c r="C686" s="17">
        <v>38664</v>
      </c>
      <c r="D686" s="11" t="e">
        <f>VLOOKUP(B686,#REF!,7,FALSE)</f>
        <v>#REF!</v>
      </c>
      <c r="E686" s="10">
        <f>20.5359/72</f>
        <v>0.28522083333333337</v>
      </c>
      <c r="F686" s="10"/>
      <c r="G686" s="10"/>
      <c r="H686" s="10"/>
      <c r="I686" s="11" t="e">
        <f>+VLOOKUP(B686,#REF!,7,FALSE)</f>
        <v>#REF!</v>
      </c>
      <c r="J686" s="12" t="str">
        <f t="shared" si="30"/>
        <v/>
      </c>
      <c r="K686" s="12" t="str">
        <f t="shared" si="31"/>
        <v/>
      </c>
      <c r="L686" s="12" t="e">
        <f t="shared" si="32"/>
        <v>#VALUE!</v>
      </c>
    </row>
    <row r="687" spans="1:12" ht="24" customHeight="1" x14ac:dyDescent="0.25">
      <c r="A687" s="9">
        <v>43245</v>
      </c>
      <c r="B687" s="10" t="s">
        <v>212</v>
      </c>
      <c r="C687" s="17">
        <v>17520</v>
      </c>
      <c r="D687" s="11" t="e">
        <f>VLOOKUP(B687,#REF!,7,FALSE)</f>
        <v>#REF!</v>
      </c>
      <c r="E687" s="10">
        <f>8.8055/6</f>
        <v>1.4675833333333335</v>
      </c>
      <c r="F687" s="10"/>
      <c r="G687" s="10"/>
      <c r="H687" s="10"/>
      <c r="I687" s="11" t="e">
        <f>+VLOOKUP(B687,#REF!,7,FALSE)</f>
        <v>#REF!</v>
      </c>
      <c r="J687" s="12" t="str">
        <f t="shared" si="30"/>
        <v/>
      </c>
      <c r="K687" s="12" t="str">
        <f t="shared" si="31"/>
        <v/>
      </c>
      <c r="L687" s="12" t="e">
        <f t="shared" si="32"/>
        <v>#VALUE!</v>
      </c>
    </row>
    <row r="688" spans="1:12" ht="24" customHeight="1" x14ac:dyDescent="0.25">
      <c r="A688" s="9">
        <v>43245</v>
      </c>
      <c r="B688" s="10" t="s">
        <v>214</v>
      </c>
      <c r="C688" s="17">
        <v>6792</v>
      </c>
      <c r="D688" s="11" t="e">
        <f>VLOOKUP(B688,#REF!,7,FALSE)</f>
        <v>#REF!</v>
      </c>
      <c r="E688" s="10">
        <f>8.8965/12</f>
        <v>0.74137500000000001</v>
      </c>
      <c r="F688" s="10"/>
      <c r="G688" s="10"/>
      <c r="H688" s="10"/>
      <c r="I688" s="11" t="e">
        <f>+VLOOKUP(B688,#REF!,7,FALSE)</f>
        <v>#REF!</v>
      </c>
      <c r="J688" s="12" t="str">
        <f t="shared" si="30"/>
        <v/>
      </c>
      <c r="K688" s="12" t="str">
        <f t="shared" si="31"/>
        <v/>
      </c>
      <c r="L688" s="12" t="e">
        <f t="shared" si="32"/>
        <v>#VALUE!</v>
      </c>
    </row>
    <row r="689" spans="1:12" ht="24" customHeight="1" x14ac:dyDescent="0.25">
      <c r="A689" s="9">
        <v>43245</v>
      </c>
      <c r="B689" s="10" t="s">
        <v>440</v>
      </c>
      <c r="C689" s="17">
        <v>12720</v>
      </c>
      <c r="D689" s="11" t="e">
        <f>VLOOKUP(B689,#REF!,7,FALSE)</f>
        <v>#REF!</v>
      </c>
      <c r="E689" s="10">
        <v>0.5907</v>
      </c>
      <c r="F689" s="10"/>
      <c r="G689" s="10"/>
      <c r="H689" s="10"/>
      <c r="I689" s="11" t="e">
        <f>+VLOOKUP(B689,#REF!,7,FALSE)</f>
        <v>#REF!</v>
      </c>
      <c r="J689" s="12" t="str">
        <f t="shared" si="30"/>
        <v/>
      </c>
      <c r="K689" s="12" t="str">
        <f t="shared" si="31"/>
        <v/>
      </c>
      <c r="L689" s="12" t="e">
        <f t="shared" si="32"/>
        <v>#VALUE!</v>
      </c>
    </row>
    <row r="690" spans="1:12" ht="24" customHeight="1" x14ac:dyDescent="0.25">
      <c r="A690" s="9">
        <v>43245</v>
      </c>
      <c r="B690" s="10" t="s">
        <v>441</v>
      </c>
      <c r="C690" s="17">
        <v>1686</v>
      </c>
      <c r="D690" s="11" t="e">
        <f>VLOOKUP(B690,#REF!,7,FALSE)</f>
        <v>#REF!</v>
      </c>
      <c r="E690" s="10">
        <v>0.51180000000000003</v>
      </c>
      <c r="F690" s="10"/>
      <c r="G690" s="10"/>
      <c r="H690" s="10"/>
      <c r="I690" s="11" t="e">
        <f>+VLOOKUP(B690,#REF!,7,FALSE)</f>
        <v>#REF!</v>
      </c>
      <c r="J690" s="12" t="str">
        <f t="shared" si="30"/>
        <v/>
      </c>
      <c r="K690" s="12" t="str">
        <f t="shared" si="31"/>
        <v/>
      </c>
      <c r="L690" s="12" t="e">
        <f t="shared" si="32"/>
        <v>#VALUE!</v>
      </c>
    </row>
    <row r="691" spans="1:12" ht="24" customHeight="1" x14ac:dyDescent="0.25">
      <c r="A691" s="9">
        <v>43245</v>
      </c>
      <c r="B691" s="10" t="s">
        <v>483</v>
      </c>
      <c r="C691" s="17">
        <v>684</v>
      </c>
      <c r="D691" s="11" t="e">
        <f>VLOOKUP(B691,#REF!,7,FALSE)/12</f>
        <v>#REF!</v>
      </c>
      <c r="E691" s="10">
        <f>8.4868/12</f>
        <v>0.70723333333333338</v>
      </c>
      <c r="F691" s="10"/>
      <c r="G691" s="10"/>
      <c r="H691" s="10"/>
      <c r="I691" s="11" t="e">
        <f>+VLOOKUP(B691,#REF!,7,FALSE)</f>
        <v>#REF!</v>
      </c>
      <c r="J691" s="12" t="str">
        <f t="shared" si="30"/>
        <v/>
      </c>
      <c r="K691" s="12" t="str">
        <f t="shared" si="31"/>
        <v/>
      </c>
      <c r="L691" s="12" t="e">
        <f t="shared" si="32"/>
        <v>#VALUE!</v>
      </c>
    </row>
    <row r="692" spans="1:12" ht="24" customHeight="1" x14ac:dyDescent="0.25">
      <c r="A692" s="9">
        <v>43248</v>
      </c>
      <c r="B692" s="10" t="s">
        <v>101</v>
      </c>
      <c r="C692" s="17">
        <v>40176</v>
      </c>
      <c r="D692" s="11" t="e">
        <f>VLOOKUP(B692,#REF!,7,FALSE)</f>
        <v>#REF!</v>
      </c>
      <c r="E692" s="10">
        <v>0.72319999999999995</v>
      </c>
      <c r="F692" s="10"/>
      <c r="G692" s="10"/>
      <c r="H692" s="10"/>
      <c r="I692" s="11" t="e">
        <f>+VLOOKUP(B692,#REF!,7,FALSE)</f>
        <v>#REF!</v>
      </c>
      <c r="J692" s="12" t="str">
        <f t="shared" si="30"/>
        <v/>
      </c>
      <c r="K692" s="12" t="str">
        <f t="shared" si="31"/>
        <v/>
      </c>
      <c r="L692" s="12" t="e">
        <f t="shared" si="32"/>
        <v>#VALUE!</v>
      </c>
    </row>
    <row r="693" spans="1:12" ht="24" customHeight="1" x14ac:dyDescent="0.25">
      <c r="A693" s="9">
        <v>43248</v>
      </c>
      <c r="B693" s="10" t="s">
        <v>173</v>
      </c>
      <c r="C693" s="17">
        <v>439</v>
      </c>
      <c r="D693" s="11" t="e">
        <f>VLOOKUP(B693,#REF!,7,FALSE)</f>
        <v>#REF!</v>
      </c>
      <c r="E693" s="10">
        <v>6.3067000000000002</v>
      </c>
      <c r="F693" s="10"/>
      <c r="G693" s="10"/>
      <c r="H693" s="10"/>
      <c r="I693" s="11" t="e">
        <f>+VLOOKUP(B693,#REF!,7,FALSE)</f>
        <v>#REF!</v>
      </c>
      <c r="J693" s="12" t="str">
        <f t="shared" si="30"/>
        <v/>
      </c>
      <c r="K693" s="12" t="str">
        <f t="shared" si="31"/>
        <v/>
      </c>
      <c r="L693" s="12" t="e">
        <f t="shared" si="32"/>
        <v>#VALUE!</v>
      </c>
    </row>
    <row r="694" spans="1:12" ht="24" customHeight="1" x14ac:dyDescent="0.25">
      <c r="A694" s="9">
        <v>43248</v>
      </c>
      <c r="B694" s="10" t="s">
        <v>180</v>
      </c>
      <c r="C694" s="17">
        <v>7616</v>
      </c>
      <c r="D694" s="11" t="e">
        <f>VLOOKUP(B694,#REF!,7,FALSE)</f>
        <v>#REF!</v>
      </c>
      <c r="E694" s="10">
        <f>8.5713/8</f>
        <v>1.0714125000000001</v>
      </c>
      <c r="F694" s="10"/>
      <c r="G694" s="10"/>
      <c r="H694" s="10"/>
      <c r="I694" s="11" t="e">
        <f>+VLOOKUP(B694,#REF!,7,FALSE)</f>
        <v>#REF!</v>
      </c>
      <c r="J694" s="12" t="str">
        <f t="shared" si="30"/>
        <v/>
      </c>
      <c r="K694" s="12" t="str">
        <f t="shared" si="31"/>
        <v/>
      </c>
      <c r="L694" s="12" t="e">
        <f t="shared" si="32"/>
        <v>#VALUE!</v>
      </c>
    </row>
    <row r="695" spans="1:12" ht="24" customHeight="1" x14ac:dyDescent="0.25">
      <c r="A695" s="9">
        <v>43248</v>
      </c>
      <c r="B695" s="10" t="s">
        <v>214</v>
      </c>
      <c r="C695" s="17">
        <v>9192</v>
      </c>
      <c r="D695" s="11" t="e">
        <f>VLOOKUP(B695,#REF!,7,FALSE)</f>
        <v>#REF!</v>
      </c>
      <c r="E695" s="10">
        <f>8.8074/12</f>
        <v>0.73394999999999999</v>
      </c>
      <c r="F695" s="10"/>
      <c r="G695" s="10"/>
      <c r="H695" s="10"/>
      <c r="I695" s="11" t="e">
        <f>+VLOOKUP(B695,#REF!,7,FALSE)</f>
        <v>#REF!</v>
      </c>
      <c r="J695" s="12" t="str">
        <f t="shared" si="30"/>
        <v/>
      </c>
      <c r="K695" s="12" t="str">
        <f t="shared" si="31"/>
        <v/>
      </c>
      <c r="L695" s="12" t="e">
        <f t="shared" si="32"/>
        <v>#VALUE!</v>
      </c>
    </row>
    <row r="696" spans="1:12" ht="24" customHeight="1" x14ac:dyDescent="0.25">
      <c r="A696" s="9">
        <v>43248</v>
      </c>
      <c r="B696" s="10" t="s">
        <v>440</v>
      </c>
      <c r="C696" s="17">
        <v>14810</v>
      </c>
      <c r="D696" s="11" t="e">
        <f>VLOOKUP(B696,#REF!,7,FALSE)</f>
        <v>#REF!</v>
      </c>
      <c r="E696" s="10">
        <v>0.58879999999999999</v>
      </c>
      <c r="F696" s="10"/>
      <c r="G696" s="10"/>
      <c r="H696" s="10"/>
      <c r="I696" s="11" t="e">
        <f>+VLOOKUP(B696,#REF!,7,FALSE)</f>
        <v>#REF!</v>
      </c>
      <c r="J696" s="12" t="str">
        <f t="shared" si="30"/>
        <v/>
      </c>
      <c r="K696" s="12" t="str">
        <f t="shared" si="31"/>
        <v/>
      </c>
      <c r="L696" s="12" t="e">
        <f t="shared" si="32"/>
        <v>#VALUE!</v>
      </c>
    </row>
    <row r="697" spans="1:12" ht="24" customHeight="1" x14ac:dyDescent="0.25">
      <c r="A697" s="9">
        <v>43249</v>
      </c>
      <c r="B697" s="10" t="s">
        <v>101</v>
      </c>
      <c r="C697" s="17">
        <v>40044</v>
      </c>
      <c r="D697" s="11" t="e">
        <f>VLOOKUP(B697,#REF!,7,FALSE)</f>
        <v>#REF!</v>
      </c>
      <c r="E697" s="10">
        <v>0.71409999999999996</v>
      </c>
      <c r="F697" s="10"/>
      <c r="G697" s="10"/>
      <c r="H697" s="10"/>
      <c r="I697" s="11" t="e">
        <f>+VLOOKUP(B697,#REF!,7,FALSE)</f>
        <v>#REF!</v>
      </c>
      <c r="J697" s="12" t="str">
        <f t="shared" si="30"/>
        <v/>
      </c>
      <c r="K697" s="12" t="str">
        <f t="shared" si="31"/>
        <v/>
      </c>
      <c r="L697" s="12" t="e">
        <f t="shared" si="32"/>
        <v>#VALUE!</v>
      </c>
    </row>
    <row r="698" spans="1:12" ht="24" customHeight="1" x14ac:dyDescent="0.25">
      <c r="A698" s="9">
        <v>43249</v>
      </c>
      <c r="B698" s="10" t="s">
        <v>111</v>
      </c>
      <c r="C698" s="17">
        <v>6680</v>
      </c>
      <c r="D698" s="11" t="e">
        <f>VLOOKUP(B698,#REF!,7,FALSE)</f>
        <v>#REF!</v>
      </c>
      <c r="E698" s="10">
        <f>13.2363/10</f>
        <v>1.3236300000000001</v>
      </c>
      <c r="F698" s="10"/>
      <c r="G698" s="10"/>
      <c r="H698" s="10"/>
      <c r="I698" s="11" t="e">
        <f>+VLOOKUP(B698,#REF!,7,FALSE)</f>
        <v>#REF!</v>
      </c>
      <c r="J698" s="12" t="str">
        <f t="shared" si="30"/>
        <v/>
      </c>
      <c r="K698" s="12" t="str">
        <f t="shared" si="31"/>
        <v/>
      </c>
      <c r="L698" s="12" t="e">
        <f t="shared" si="32"/>
        <v>#VALUE!</v>
      </c>
    </row>
    <row r="699" spans="1:12" ht="24" customHeight="1" x14ac:dyDescent="0.25">
      <c r="A699" s="9">
        <v>43249</v>
      </c>
      <c r="B699" s="10" t="s">
        <v>173</v>
      </c>
      <c r="C699" s="28">
        <f>1152+98</f>
        <v>1250</v>
      </c>
      <c r="D699" s="11" t="e">
        <f>VLOOKUP(B699,#REF!,7,FALSE)</f>
        <v>#REF!</v>
      </c>
      <c r="E699" s="10">
        <f>7.2173</f>
        <v>7.2172999999999998</v>
      </c>
      <c r="F699" s="10"/>
      <c r="G699" s="10"/>
      <c r="H699" s="10"/>
      <c r="I699" s="11" t="e">
        <f>+VLOOKUP(B699,#REF!,7,FALSE)</f>
        <v>#REF!</v>
      </c>
      <c r="J699" s="12" t="str">
        <f t="shared" si="30"/>
        <v/>
      </c>
      <c r="K699" s="12" t="str">
        <f t="shared" si="31"/>
        <v/>
      </c>
      <c r="L699" s="12" t="e">
        <f t="shared" si="32"/>
        <v>#VALUE!</v>
      </c>
    </row>
    <row r="700" spans="1:12" ht="24" customHeight="1" x14ac:dyDescent="0.25">
      <c r="A700" s="9">
        <v>43249</v>
      </c>
      <c r="B700" s="10" t="s">
        <v>214</v>
      </c>
      <c r="C700" s="17">
        <f>2592+9888</f>
        <v>12480</v>
      </c>
      <c r="D700" s="11" t="e">
        <f>VLOOKUP(B700,#REF!,7,FALSE)</f>
        <v>#REF!</v>
      </c>
      <c r="E700" s="10">
        <f>8.77/12</f>
        <v>0.73083333333333333</v>
      </c>
      <c r="F700" s="10"/>
      <c r="G700" s="10"/>
      <c r="H700" s="10"/>
      <c r="I700" s="11" t="e">
        <f>+VLOOKUP(B700,#REF!,7,FALSE)</f>
        <v>#REF!</v>
      </c>
      <c r="J700" s="12" t="str">
        <f t="shared" si="30"/>
        <v/>
      </c>
      <c r="K700" s="12" t="str">
        <f t="shared" si="31"/>
        <v/>
      </c>
      <c r="L700" s="12" t="e">
        <f t="shared" si="32"/>
        <v>#VALUE!</v>
      </c>
    </row>
    <row r="701" spans="1:12" ht="24" customHeight="1" x14ac:dyDescent="0.25">
      <c r="A701" s="9">
        <v>43249</v>
      </c>
      <c r="B701" s="10" t="s">
        <v>440</v>
      </c>
      <c r="C701" s="17">
        <v>830</v>
      </c>
      <c r="D701" s="11" t="e">
        <f>VLOOKUP(B701,#REF!,7,FALSE)</f>
        <v>#REF!</v>
      </c>
      <c r="E701" s="10">
        <v>0.59599999999999997</v>
      </c>
      <c r="F701" s="10"/>
      <c r="G701" s="10"/>
      <c r="H701" s="10"/>
      <c r="I701" s="11" t="e">
        <f>+VLOOKUP(B701,#REF!,7,FALSE)</f>
        <v>#REF!</v>
      </c>
      <c r="J701" s="12" t="str">
        <f t="shared" si="30"/>
        <v/>
      </c>
      <c r="K701" s="12" t="str">
        <f t="shared" si="31"/>
        <v/>
      </c>
      <c r="L701" s="12" t="e">
        <f t="shared" si="32"/>
        <v>#VALUE!</v>
      </c>
    </row>
    <row r="702" spans="1:12" ht="24" customHeight="1" x14ac:dyDescent="0.25">
      <c r="A702" s="9">
        <v>43250</v>
      </c>
      <c r="B702" s="10" t="s">
        <v>99</v>
      </c>
      <c r="C702" s="17">
        <v>7176</v>
      </c>
      <c r="D702" s="11" t="e">
        <f>VLOOKUP(B702,#REF!,7,FALSE)</f>
        <v>#REF!</v>
      </c>
      <c r="E702" s="10">
        <v>2.5518000000000001</v>
      </c>
      <c r="F702" s="10"/>
      <c r="G702" s="10"/>
      <c r="H702" s="10"/>
      <c r="I702" s="11" t="e">
        <f>+VLOOKUP(B702,#REF!,7,FALSE)</f>
        <v>#REF!</v>
      </c>
      <c r="J702" s="12" t="str">
        <f t="shared" si="30"/>
        <v/>
      </c>
      <c r="K702" s="12" t="str">
        <f t="shared" si="31"/>
        <v/>
      </c>
      <c r="L702" s="12" t="e">
        <f t="shared" si="32"/>
        <v>#VALUE!</v>
      </c>
    </row>
    <row r="703" spans="1:12" ht="24" customHeight="1" x14ac:dyDescent="0.25">
      <c r="A703" s="9">
        <v>43250</v>
      </c>
      <c r="B703" s="10" t="s">
        <v>101</v>
      </c>
      <c r="C703" s="17">
        <v>20844</v>
      </c>
      <c r="D703" s="11" t="e">
        <f>VLOOKUP(B703,#REF!,7,FALSE)</f>
        <v>#REF!</v>
      </c>
      <c r="E703" s="10">
        <v>0.71650000000000003</v>
      </c>
      <c r="F703" s="10"/>
      <c r="G703" s="10"/>
      <c r="H703" s="10"/>
      <c r="I703" s="11" t="e">
        <f>+VLOOKUP(B703,#REF!,7,FALSE)</f>
        <v>#REF!</v>
      </c>
      <c r="J703" s="12" t="str">
        <f t="shared" si="30"/>
        <v/>
      </c>
      <c r="K703" s="12" t="str">
        <f t="shared" si="31"/>
        <v/>
      </c>
      <c r="L703" s="12" t="e">
        <f t="shared" si="32"/>
        <v>#VALUE!</v>
      </c>
    </row>
    <row r="704" spans="1:12" ht="24" customHeight="1" x14ac:dyDescent="0.25">
      <c r="A704" s="9">
        <v>43250</v>
      </c>
      <c r="B704" s="10" t="s">
        <v>127</v>
      </c>
      <c r="C704" s="17">
        <v>2808</v>
      </c>
      <c r="D704" s="11" t="e">
        <f>VLOOKUP(B704,#REF!,7,FALSE)</f>
        <v>#REF!</v>
      </c>
      <c r="E704" s="10">
        <f>10.5243/12</f>
        <v>0.87702500000000005</v>
      </c>
      <c r="F704" s="10"/>
      <c r="G704" s="10"/>
      <c r="H704" s="10"/>
      <c r="I704" s="11" t="e">
        <f>+VLOOKUP(B704,#REF!,7,FALSE)</f>
        <v>#REF!</v>
      </c>
      <c r="J704" s="12" t="str">
        <f t="shared" si="30"/>
        <v/>
      </c>
      <c r="K704" s="12" t="str">
        <f t="shared" si="31"/>
        <v/>
      </c>
      <c r="L704" s="12" t="e">
        <f t="shared" si="32"/>
        <v>#VALUE!</v>
      </c>
    </row>
    <row r="705" spans="1:12" ht="24" customHeight="1" x14ac:dyDescent="0.25">
      <c r="A705" s="9">
        <v>43250</v>
      </c>
      <c r="B705" s="10" t="s">
        <v>139</v>
      </c>
      <c r="C705" s="17">
        <v>7412</v>
      </c>
      <c r="D705" s="11" t="e">
        <f>VLOOKUP(B705,#REF!,7,FALSE)</f>
        <v>#REF!</v>
      </c>
      <c r="E705" s="10">
        <f>15.7734/4</f>
        <v>3.9433500000000001</v>
      </c>
      <c r="F705" s="10"/>
      <c r="G705" s="10"/>
      <c r="H705" s="10"/>
      <c r="I705" s="11" t="e">
        <f>+VLOOKUP(B705,#REF!,7,FALSE)</f>
        <v>#REF!</v>
      </c>
      <c r="J705" s="12" t="str">
        <f t="shared" si="30"/>
        <v/>
      </c>
      <c r="K705" s="12" t="str">
        <f t="shared" si="31"/>
        <v/>
      </c>
      <c r="L705" s="12" t="e">
        <f t="shared" si="32"/>
        <v>#VALUE!</v>
      </c>
    </row>
    <row r="706" spans="1:12" ht="24" customHeight="1" x14ac:dyDescent="0.25">
      <c r="A706" s="9">
        <v>43250</v>
      </c>
      <c r="B706" s="10" t="s">
        <v>214</v>
      </c>
      <c r="C706" s="17">
        <v>5004</v>
      </c>
      <c r="D706" s="11" t="e">
        <f>VLOOKUP(B706,#REF!,7,FALSE)</f>
        <v>#REF!</v>
      </c>
      <c r="E706" s="10">
        <f>9.3464/12</f>
        <v>0.7788666666666666</v>
      </c>
      <c r="F706" s="10"/>
      <c r="G706" s="10"/>
      <c r="H706" s="10"/>
      <c r="I706" s="11" t="e">
        <f>+VLOOKUP(B706,#REF!,7,FALSE)</f>
        <v>#REF!</v>
      </c>
      <c r="J706" s="12" t="str">
        <f t="shared" si="30"/>
        <v/>
      </c>
      <c r="K706" s="12" t="str">
        <f t="shared" si="31"/>
        <v/>
      </c>
      <c r="L706" s="12" t="e">
        <f t="shared" si="32"/>
        <v>#VALUE!</v>
      </c>
    </row>
    <row r="707" spans="1:12" ht="24" customHeight="1" x14ac:dyDescent="0.25">
      <c r="A707" s="9">
        <v>43250</v>
      </c>
      <c r="B707" s="10" t="s">
        <v>440</v>
      </c>
      <c r="C707" s="17">
        <v>12010</v>
      </c>
      <c r="D707" s="11" t="e">
        <f>VLOOKUP(B707,#REF!,7,FALSE)</f>
        <v>#REF!</v>
      </c>
      <c r="E707" s="10">
        <v>0.68089999999999995</v>
      </c>
      <c r="F707" s="10"/>
      <c r="G707" s="10"/>
      <c r="H707" s="10"/>
      <c r="I707" s="11" t="e">
        <f>+VLOOKUP(B707,#REF!,7,FALSE)</f>
        <v>#REF!</v>
      </c>
      <c r="J707" s="12" t="str">
        <f t="shared" si="30"/>
        <v/>
      </c>
      <c r="K707" s="12" t="str">
        <f t="shared" si="31"/>
        <v/>
      </c>
      <c r="L707" s="12" t="e">
        <f t="shared" si="32"/>
        <v>#VALUE!</v>
      </c>
    </row>
    <row r="708" spans="1:12" ht="24" customHeight="1" x14ac:dyDescent="0.25">
      <c r="A708" s="9">
        <v>43251</v>
      </c>
      <c r="B708" s="10" t="s">
        <v>89</v>
      </c>
      <c r="C708" s="17">
        <v>655</v>
      </c>
      <c r="D708" s="11" t="e">
        <f>VLOOKUP(B708,#REF!,7,FALSE)</f>
        <v>#REF!</v>
      </c>
      <c r="E708" s="10">
        <v>4.0606</v>
      </c>
      <c r="F708" s="10"/>
      <c r="G708" s="10"/>
      <c r="H708" s="10"/>
      <c r="I708" s="11" t="e">
        <f>+VLOOKUP(B708,#REF!,7,FALSE)</f>
        <v>#REF!</v>
      </c>
      <c r="J708" s="12" t="str">
        <f t="shared" ref="J708:J771" si="33">IFERROR((I708-(D708+F708))/I708,"")</f>
        <v/>
      </c>
      <c r="K708" s="12" t="str">
        <f t="shared" ref="K708:K771" si="34">IF(E708="","",IFERROR((I708-(E708+G708+H708))/I708,""))</f>
        <v/>
      </c>
      <c r="L708" s="12" t="e">
        <f t="shared" ref="L708:L771" si="35">J708-K708</f>
        <v>#VALUE!</v>
      </c>
    </row>
    <row r="709" spans="1:12" ht="24" customHeight="1" x14ac:dyDescent="0.25">
      <c r="A709" s="9">
        <v>43251</v>
      </c>
      <c r="B709" s="10" t="s">
        <v>99</v>
      </c>
      <c r="C709" s="17">
        <v>15018</v>
      </c>
      <c r="D709" s="11" t="e">
        <f>VLOOKUP(B709,#REF!,7,FALSE)</f>
        <v>#REF!</v>
      </c>
      <c r="E709" s="10">
        <f>15.297/6</f>
        <v>2.5495000000000001</v>
      </c>
      <c r="F709" s="10"/>
      <c r="G709" s="10"/>
      <c r="H709" s="10"/>
      <c r="I709" s="11" t="e">
        <f>+VLOOKUP(B709,#REF!,7,FALSE)</f>
        <v>#REF!</v>
      </c>
      <c r="J709" s="12" t="str">
        <f t="shared" si="33"/>
        <v/>
      </c>
      <c r="K709" s="12" t="str">
        <f t="shared" si="34"/>
        <v/>
      </c>
      <c r="L709" s="12" t="e">
        <f t="shared" si="35"/>
        <v>#VALUE!</v>
      </c>
    </row>
    <row r="710" spans="1:12" ht="24" customHeight="1" x14ac:dyDescent="0.25">
      <c r="A710" s="9">
        <v>43251</v>
      </c>
      <c r="B710" s="10" t="s">
        <v>139</v>
      </c>
      <c r="C710" s="17">
        <v>8004</v>
      </c>
      <c r="D710" s="11" t="e">
        <f>VLOOKUP(B710,#REF!,7,FALSE)</f>
        <v>#REF!</v>
      </c>
      <c r="E710" s="10">
        <f>15.297/4</f>
        <v>3.8242500000000001</v>
      </c>
      <c r="F710" s="10"/>
      <c r="G710" s="10"/>
      <c r="H710" s="10"/>
      <c r="I710" s="11" t="e">
        <f>+VLOOKUP(B710,#REF!,7,FALSE)</f>
        <v>#REF!</v>
      </c>
      <c r="J710" s="12" t="str">
        <f t="shared" si="33"/>
        <v/>
      </c>
      <c r="K710" s="12" t="str">
        <f t="shared" si="34"/>
        <v/>
      </c>
      <c r="L710" s="12" t="e">
        <f t="shared" si="35"/>
        <v>#VALUE!</v>
      </c>
    </row>
    <row r="711" spans="1:12" ht="24" customHeight="1" x14ac:dyDescent="0.25">
      <c r="A711" s="9">
        <v>43251</v>
      </c>
      <c r="B711" s="10" t="s">
        <v>214</v>
      </c>
      <c r="C711" s="17">
        <v>11580</v>
      </c>
      <c r="D711" s="11" t="e">
        <f>VLOOKUP(B711,#REF!,7,FALSE)</f>
        <v>#REF!</v>
      </c>
      <c r="E711" s="10">
        <f>9.6845/12</f>
        <v>0.80704166666666666</v>
      </c>
      <c r="F711" s="10"/>
      <c r="G711" s="10"/>
      <c r="H711" s="10"/>
      <c r="I711" s="11" t="e">
        <f>+VLOOKUP(B711,#REF!,7,FALSE)</f>
        <v>#REF!</v>
      </c>
      <c r="J711" s="12" t="str">
        <f t="shared" si="33"/>
        <v/>
      </c>
      <c r="K711" s="12" t="str">
        <f t="shared" si="34"/>
        <v/>
      </c>
      <c r="L711" s="12" t="e">
        <f t="shared" si="35"/>
        <v>#VALUE!</v>
      </c>
    </row>
    <row r="712" spans="1:12" ht="24" customHeight="1" x14ac:dyDescent="0.25">
      <c r="A712" s="9">
        <v>43251</v>
      </c>
      <c r="B712" s="10" t="s">
        <v>440</v>
      </c>
      <c r="C712" s="17">
        <v>5600</v>
      </c>
      <c r="D712" s="11" t="e">
        <f>VLOOKUP(B712,#REF!,7,FALSE)</f>
        <v>#REF!</v>
      </c>
      <c r="E712" s="10">
        <v>0.58260000000000001</v>
      </c>
      <c r="F712" s="10"/>
      <c r="G712" s="10"/>
      <c r="H712" s="10"/>
      <c r="I712" s="11" t="e">
        <f>+VLOOKUP(B712,#REF!,7,FALSE)</f>
        <v>#REF!</v>
      </c>
      <c r="J712" s="12" t="str">
        <f t="shared" si="33"/>
        <v/>
      </c>
      <c r="K712" s="12" t="str">
        <f t="shared" si="34"/>
        <v/>
      </c>
      <c r="L712" s="12" t="e">
        <f t="shared" si="35"/>
        <v>#VALUE!</v>
      </c>
    </row>
    <row r="713" spans="1:12" ht="24" customHeight="1" x14ac:dyDescent="0.25">
      <c r="A713" s="9">
        <v>43251</v>
      </c>
      <c r="B713" s="10" t="s">
        <v>441</v>
      </c>
      <c r="C713" s="17">
        <v>2772</v>
      </c>
      <c r="D713" s="11" t="e">
        <f>VLOOKUP(B713,#REF!,7,FALSE)</f>
        <v>#REF!</v>
      </c>
      <c r="E713" s="10">
        <v>0.55149999999999999</v>
      </c>
      <c r="F713" s="10"/>
      <c r="G713" s="10"/>
      <c r="H713" s="10"/>
      <c r="I713" s="11" t="e">
        <f>+VLOOKUP(B713,#REF!,7,FALSE)</f>
        <v>#REF!</v>
      </c>
      <c r="J713" s="12" t="str">
        <f t="shared" si="33"/>
        <v/>
      </c>
      <c r="K713" s="12" t="str">
        <f t="shared" si="34"/>
        <v/>
      </c>
      <c r="L713" s="12" t="e">
        <f t="shared" si="35"/>
        <v>#VALUE!</v>
      </c>
    </row>
    <row r="714" spans="1:12" ht="24" customHeight="1" x14ac:dyDescent="0.25">
      <c r="A714" s="9">
        <v>43255</v>
      </c>
      <c r="B714" s="10" t="s">
        <v>197</v>
      </c>
      <c r="C714" s="17">
        <v>1002</v>
      </c>
      <c r="D714" s="11" t="e">
        <f>+VLOOKUP(B714,#REF!,6,FALSE)/6</f>
        <v>#REF!</v>
      </c>
      <c r="E714" s="10">
        <v>1.5338000000000001</v>
      </c>
      <c r="F714" s="10"/>
      <c r="G714" s="10"/>
      <c r="H714" s="10"/>
      <c r="I714" s="11" t="e">
        <f>+VLOOKUP(B714,#REF!,7,FALSE)</f>
        <v>#REF!</v>
      </c>
      <c r="J714" s="12" t="str">
        <f t="shared" si="33"/>
        <v/>
      </c>
      <c r="K714" s="12" t="str">
        <f t="shared" si="34"/>
        <v/>
      </c>
      <c r="L714" s="12" t="e">
        <f t="shared" si="35"/>
        <v>#VALUE!</v>
      </c>
    </row>
    <row r="715" spans="1:12" ht="24" customHeight="1" x14ac:dyDescent="0.25">
      <c r="A715" s="9">
        <v>43255</v>
      </c>
      <c r="B715" s="10" t="s">
        <v>206</v>
      </c>
      <c r="C715" s="17">
        <f>1020+6480</f>
        <v>7500</v>
      </c>
      <c r="D715" s="11" t="e">
        <f>+VLOOKUP(B715,#REF!,6,FALSE)/6</f>
        <v>#REF!</v>
      </c>
      <c r="E715" s="10">
        <f>2.8908/6</f>
        <v>0.48180000000000001</v>
      </c>
      <c r="F715" s="10"/>
      <c r="G715" s="10"/>
      <c r="H715" s="10"/>
      <c r="I715" s="11" t="e">
        <f>+VLOOKUP(B715,#REF!,7,FALSE)</f>
        <v>#REF!</v>
      </c>
      <c r="J715" s="12" t="str">
        <f t="shared" si="33"/>
        <v/>
      </c>
      <c r="K715" s="12" t="str">
        <f t="shared" si="34"/>
        <v/>
      </c>
      <c r="L715" s="12" t="e">
        <f t="shared" si="35"/>
        <v>#VALUE!</v>
      </c>
    </row>
    <row r="716" spans="1:12" ht="24" customHeight="1" x14ac:dyDescent="0.25">
      <c r="A716" s="9">
        <v>43255</v>
      </c>
      <c r="B716" s="10" t="s">
        <v>214</v>
      </c>
      <c r="C716" s="17">
        <v>9420</v>
      </c>
      <c r="D716" s="11" t="e">
        <f>+VLOOKUP(B716,#REF!,6,FALSE)/12</f>
        <v>#REF!</v>
      </c>
      <c r="E716" s="10">
        <f>10.3774/12</f>
        <v>0.86478333333333335</v>
      </c>
      <c r="F716" s="10"/>
      <c r="G716" s="10"/>
      <c r="H716" s="10"/>
      <c r="I716" s="11" t="e">
        <f>+VLOOKUP(B716,#REF!,7,FALSE)</f>
        <v>#REF!</v>
      </c>
      <c r="J716" s="12" t="str">
        <f t="shared" si="33"/>
        <v/>
      </c>
      <c r="K716" s="12" t="str">
        <f t="shared" si="34"/>
        <v/>
      </c>
      <c r="L716" s="12" t="e">
        <f t="shared" si="35"/>
        <v>#VALUE!</v>
      </c>
    </row>
    <row r="717" spans="1:12" ht="24" customHeight="1" x14ac:dyDescent="0.25">
      <c r="A717" s="9">
        <v>43255</v>
      </c>
      <c r="B717" s="10" t="s">
        <v>440</v>
      </c>
      <c r="C717" s="17">
        <v>6470</v>
      </c>
      <c r="D717" s="11" t="e">
        <f>+VLOOKUP(B717,#REF!,6,FALSE)</f>
        <v>#REF!</v>
      </c>
      <c r="E717" s="10">
        <v>0.59989999999999999</v>
      </c>
      <c r="F717" s="10"/>
      <c r="G717" s="10"/>
      <c r="H717" s="10"/>
      <c r="I717" s="11" t="e">
        <f>+VLOOKUP(B717,#REF!,7,FALSE)</f>
        <v>#REF!</v>
      </c>
      <c r="J717" s="12" t="str">
        <f t="shared" si="33"/>
        <v/>
      </c>
      <c r="K717" s="12" t="str">
        <f t="shared" si="34"/>
        <v/>
      </c>
      <c r="L717" s="12" t="e">
        <f t="shared" si="35"/>
        <v>#VALUE!</v>
      </c>
    </row>
    <row r="718" spans="1:12" ht="24" customHeight="1" x14ac:dyDescent="0.25">
      <c r="A718" s="9">
        <v>43255</v>
      </c>
      <c r="B718" s="10" t="s">
        <v>442</v>
      </c>
      <c r="C718" s="17">
        <v>20250</v>
      </c>
      <c r="D718" s="11" t="e">
        <f>+VLOOKUP(B718,#REF!,6,FALSE)</f>
        <v>#REF!</v>
      </c>
      <c r="E718" s="10">
        <f>4.2275/6</f>
        <v>0.70458333333333334</v>
      </c>
      <c r="F718" s="10"/>
      <c r="G718" s="10"/>
      <c r="H718" s="10"/>
      <c r="I718" s="11" t="e">
        <f>+VLOOKUP(B718,#REF!,7,FALSE)</f>
        <v>#REF!</v>
      </c>
      <c r="J718" s="12" t="str">
        <f t="shared" si="33"/>
        <v/>
      </c>
      <c r="K718" s="12" t="str">
        <f t="shared" si="34"/>
        <v/>
      </c>
      <c r="L718" s="12" t="e">
        <f t="shared" si="35"/>
        <v>#VALUE!</v>
      </c>
    </row>
    <row r="719" spans="1:12" ht="24" customHeight="1" x14ac:dyDescent="0.25">
      <c r="A719" s="9">
        <v>43256</v>
      </c>
      <c r="B719" s="10" t="s">
        <v>116</v>
      </c>
      <c r="C719" s="17">
        <v>4352</v>
      </c>
      <c r="D719" s="11" t="e">
        <f>+VLOOKUP(B719,#REF!,6,FALSE)</f>
        <v>#REF!</v>
      </c>
      <c r="E719" s="10">
        <v>3.2484999999999999</v>
      </c>
      <c r="F719" s="10"/>
      <c r="G719" s="10"/>
      <c r="H719" s="10"/>
      <c r="I719" s="11" t="e">
        <f>+VLOOKUP(B719,#REF!,7,FALSE)</f>
        <v>#REF!</v>
      </c>
      <c r="J719" s="12" t="str">
        <f t="shared" si="33"/>
        <v/>
      </c>
      <c r="K719" s="12" t="str">
        <f t="shared" si="34"/>
        <v/>
      </c>
      <c r="L719" s="12" t="e">
        <f t="shared" si="35"/>
        <v>#VALUE!</v>
      </c>
    </row>
    <row r="720" spans="1:12" ht="24" customHeight="1" x14ac:dyDescent="0.25">
      <c r="A720" s="9">
        <v>43256</v>
      </c>
      <c r="B720" s="10" t="s">
        <v>188</v>
      </c>
      <c r="C720" s="17">
        <v>1332</v>
      </c>
      <c r="D720" s="11" t="e">
        <f>+VLOOKUP(B720,#REF!,6,FALSE)/6</f>
        <v>#REF!</v>
      </c>
      <c r="E720" s="10">
        <f>11.0868/6</f>
        <v>1.8478000000000001</v>
      </c>
      <c r="F720" s="10"/>
      <c r="G720" s="10"/>
      <c r="H720" s="10"/>
      <c r="I720" s="11" t="e">
        <f>+VLOOKUP(B720,#REF!,7,FALSE)</f>
        <v>#REF!</v>
      </c>
      <c r="J720" s="12" t="str">
        <f t="shared" si="33"/>
        <v/>
      </c>
      <c r="K720" s="12" t="str">
        <f t="shared" si="34"/>
        <v/>
      </c>
      <c r="L720" s="12" t="e">
        <f t="shared" si="35"/>
        <v>#VALUE!</v>
      </c>
    </row>
    <row r="721" spans="1:12" ht="24" customHeight="1" x14ac:dyDescent="0.25">
      <c r="A721" s="9">
        <v>43256</v>
      </c>
      <c r="B721" s="10" t="s">
        <v>214</v>
      </c>
      <c r="C721" s="17">
        <v>8784</v>
      </c>
      <c r="D721" s="11" t="e">
        <f>+VLOOKUP(B721,#REF!,6,FALSE)/12</f>
        <v>#REF!</v>
      </c>
      <c r="E721" s="10">
        <f>9.5565/12</f>
        <v>0.79637499999999994</v>
      </c>
      <c r="F721" s="10"/>
      <c r="G721" s="10"/>
      <c r="H721" s="10"/>
      <c r="I721" s="11" t="e">
        <f>+VLOOKUP(B721,#REF!,7,FALSE)</f>
        <v>#REF!</v>
      </c>
      <c r="J721" s="12" t="str">
        <f t="shared" si="33"/>
        <v/>
      </c>
      <c r="K721" s="12" t="str">
        <f t="shared" si="34"/>
        <v/>
      </c>
      <c r="L721" s="12" t="e">
        <f t="shared" si="35"/>
        <v>#VALUE!</v>
      </c>
    </row>
    <row r="722" spans="1:12" ht="24" customHeight="1" x14ac:dyDescent="0.25">
      <c r="A722" s="9">
        <v>43256</v>
      </c>
      <c r="B722" s="10" t="s">
        <v>442</v>
      </c>
      <c r="C722" s="17">
        <v>25380</v>
      </c>
      <c r="D722" s="11" t="e">
        <f>+VLOOKUP(B722,#REF!,6,FALSE)</f>
        <v>#REF!</v>
      </c>
      <c r="E722" s="10">
        <f>4.5973/6</f>
        <v>0.76621666666666666</v>
      </c>
      <c r="F722" s="10"/>
      <c r="G722" s="10"/>
      <c r="H722" s="10"/>
      <c r="I722" s="11" t="e">
        <f>+VLOOKUP(B722,#REF!,7,FALSE)</f>
        <v>#REF!</v>
      </c>
      <c r="J722" s="12" t="str">
        <f t="shared" si="33"/>
        <v/>
      </c>
      <c r="K722" s="12" t="str">
        <f t="shared" si="34"/>
        <v/>
      </c>
      <c r="L722" s="12" t="e">
        <f t="shared" si="35"/>
        <v>#VALUE!</v>
      </c>
    </row>
    <row r="723" spans="1:12" ht="24" customHeight="1" x14ac:dyDescent="0.25">
      <c r="A723" s="9">
        <v>43256</v>
      </c>
      <c r="B723" s="10" t="s">
        <v>430</v>
      </c>
      <c r="C723" s="17">
        <v>6210</v>
      </c>
      <c r="D723" s="11" t="e">
        <f>+VLOOKUP(B723,#REF!,6,FALSE)</f>
        <v>#REF!</v>
      </c>
      <c r="E723" s="10">
        <f>19.1375/6</f>
        <v>3.1895833333333332</v>
      </c>
      <c r="F723" s="10"/>
      <c r="G723" s="10"/>
      <c r="H723" s="10"/>
      <c r="I723" s="11" t="e">
        <f>+VLOOKUP(B723,#REF!,7,FALSE)</f>
        <v>#REF!</v>
      </c>
      <c r="J723" s="12" t="str">
        <f t="shared" si="33"/>
        <v/>
      </c>
      <c r="K723" s="12" t="str">
        <f t="shared" si="34"/>
        <v/>
      </c>
      <c r="L723" s="12" t="e">
        <f t="shared" si="35"/>
        <v>#VALUE!</v>
      </c>
    </row>
    <row r="724" spans="1:12" ht="24" customHeight="1" x14ac:dyDescent="0.25">
      <c r="A724" s="9">
        <v>43257</v>
      </c>
      <c r="B724" s="10" t="s">
        <v>88</v>
      </c>
      <c r="C724" s="17">
        <v>1330</v>
      </c>
      <c r="D724" s="11" t="e">
        <f>+VLOOKUP(B724,#REF!,6,FALSE)</f>
        <v>#REF!</v>
      </c>
      <c r="E724" s="10">
        <v>3.7309000000000001</v>
      </c>
      <c r="F724" s="10"/>
      <c r="G724" s="10"/>
      <c r="H724" s="10"/>
      <c r="I724" s="11" t="e">
        <f>+VLOOKUP(B724,#REF!,7,FALSE)</f>
        <v>#REF!</v>
      </c>
      <c r="J724" s="12" t="str">
        <f t="shared" si="33"/>
        <v/>
      </c>
      <c r="K724" s="12" t="str">
        <f t="shared" si="34"/>
        <v/>
      </c>
      <c r="L724" s="12" t="e">
        <f t="shared" si="35"/>
        <v>#VALUE!</v>
      </c>
    </row>
    <row r="725" spans="1:12" ht="24" customHeight="1" x14ac:dyDescent="0.25">
      <c r="A725" s="9">
        <v>43257</v>
      </c>
      <c r="B725" s="10" t="s">
        <v>89</v>
      </c>
      <c r="C725" s="17">
        <v>1461</v>
      </c>
      <c r="D725" s="11" t="e">
        <f>+VLOOKUP(B725,#REF!,6,FALSE)</f>
        <v>#REF!</v>
      </c>
      <c r="E725" s="10">
        <v>3.8761000000000001</v>
      </c>
      <c r="F725" s="10"/>
      <c r="G725" s="10"/>
      <c r="H725" s="10"/>
      <c r="I725" s="11" t="e">
        <f>+VLOOKUP(B725,#REF!,7,FALSE)</f>
        <v>#REF!</v>
      </c>
      <c r="J725" s="12" t="str">
        <f t="shared" si="33"/>
        <v/>
      </c>
      <c r="K725" s="12" t="str">
        <f t="shared" si="34"/>
        <v/>
      </c>
      <c r="L725" s="12" t="e">
        <f t="shared" si="35"/>
        <v>#VALUE!</v>
      </c>
    </row>
    <row r="726" spans="1:12" ht="24" customHeight="1" x14ac:dyDescent="0.25">
      <c r="A726" s="9">
        <v>43257</v>
      </c>
      <c r="B726" s="10" t="s">
        <v>116</v>
      </c>
      <c r="C726" s="17">
        <v>3982</v>
      </c>
      <c r="D726" s="11" t="e">
        <f>+VLOOKUP(B726,#REF!,6,FALSE)</f>
        <v>#REF!</v>
      </c>
      <c r="E726" s="10">
        <v>3.1120999999999999</v>
      </c>
      <c r="F726" s="10"/>
      <c r="G726" s="10"/>
      <c r="H726" s="10"/>
      <c r="I726" s="11" t="e">
        <f>+VLOOKUP(B726,#REF!,7,FALSE)</f>
        <v>#REF!</v>
      </c>
      <c r="J726" s="12" t="str">
        <f t="shared" si="33"/>
        <v/>
      </c>
      <c r="K726" s="12" t="str">
        <f t="shared" si="34"/>
        <v/>
      </c>
      <c r="L726" s="12" t="e">
        <f t="shared" si="35"/>
        <v>#VALUE!</v>
      </c>
    </row>
    <row r="727" spans="1:12" ht="24" customHeight="1" x14ac:dyDescent="0.25">
      <c r="A727" s="9">
        <v>43257</v>
      </c>
      <c r="B727" s="10" t="s">
        <v>173</v>
      </c>
      <c r="C727" s="17">
        <v>51</v>
      </c>
      <c r="D727" s="11" t="e">
        <f>+VLOOKUP(B727,#REF!,6,FALSE)</f>
        <v>#REF!</v>
      </c>
      <c r="E727" s="10">
        <v>7.1856</v>
      </c>
      <c r="F727" s="10"/>
      <c r="G727" s="10"/>
      <c r="H727" s="10"/>
      <c r="I727" s="11" t="e">
        <f>+VLOOKUP(B727,#REF!,7,FALSE)</f>
        <v>#REF!</v>
      </c>
      <c r="J727" s="12" t="str">
        <f t="shared" si="33"/>
        <v/>
      </c>
      <c r="K727" s="12" t="str">
        <f t="shared" si="34"/>
        <v/>
      </c>
      <c r="L727" s="12" t="e">
        <f t="shared" si="35"/>
        <v>#VALUE!</v>
      </c>
    </row>
    <row r="728" spans="1:12" ht="24" customHeight="1" x14ac:dyDescent="0.25">
      <c r="A728" s="9">
        <v>43257</v>
      </c>
      <c r="B728" s="10" t="s">
        <v>214</v>
      </c>
      <c r="C728" s="17">
        <f>976*12</f>
        <v>11712</v>
      </c>
      <c r="D728" s="11" t="e">
        <f>+VLOOKUP(B728,#REF!,6,FALSE)/12</f>
        <v>#REF!</v>
      </c>
      <c r="E728" s="10">
        <f>9.2125/12</f>
        <v>0.76770833333333333</v>
      </c>
      <c r="F728" s="10"/>
      <c r="G728" s="10"/>
      <c r="H728" s="10"/>
      <c r="I728" s="11" t="e">
        <f>+VLOOKUP(B728,#REF!,7,FALSE)</f>
        <v>#REF!</v>
      </c>
      <c r="J728" s="12" t="str">
        <f t="shared" si="33"/>
        <v/>
      </c>
      <c r="K728" s="12" t="str">
        <f t="shared" si="34"/>
        <v/>
      </c>
      <c r="L728" s="12" t="e">
        <f t="shared" si="35"/>
        <v>#VALUE!</v>
      </c>
    </row>
    <row r="729" spans="1:12" ht="24" customHeight="1" x14ac:dyDescent="0.25">
      <c r="A729" s="9">
        <v>43257</v>
      </c>
      <c r="B729" s="10" t="s">
        <v>442</v>
      </c>
      <c r="C729" s="17">
        <v>27090</v>
      </c>
      <c r="D729" s="11" t="e">
        <f>+VLOOKUP(B729,#REF!,6,FALSE)</f>
        <v>#REF!</v>
      </c>
      <c r="E729" s="10">
        <f>4.1534/6</f>
        <v>0.69223333333333337</v>
      </c>
      <c r="F729" s="10"/>
      <c r="G729" s="10"/>
      <c r="H729" s="10"/>
      <c r="I729" s="11" t="e">
        <f>+VLOOKUP(B729,#REF!,7,FALSE)</f>
        <v>#REF!</v>
      </c>
      <c r="J729" s="12" t="str">
        <f t="shared" si="33"/>
        <v/>
      </c>
      <c r="K729" s="12" t="str">
        <f t="shared" si="34"/>
        <v/>
      </c>
      <c r="L729" s="12" t="e">
        <f t="shared" si="35"/>
        <v>#VALUE!</v>
      </c>
    </row>
    <row r="730" spans="1:12" ht="24" customHeight="1" x14ac:dyDescent="0.25">
      <c r="A730" s="9">
        <v>43258</v>
      </c>
      <c r="B730" s="10" t="s">
        <v>39</v>
      </c>
      <c r="C730" s="17">
        <v>129</v>
      </c>
      <c r="D730" s="11" t="e">
        <f>VLOOKUP(B730,#REF!,7,FALSE)</f>
        <v>#REF!</v>
      </c>
      <c r="E730" s="10">
        <v>5.6369999999999996</v>
      </c>
      <c r="F730" s="10"/>
      <c r="G730" s="10"/>
      <c r="H730" s="10"/>
      <c r="I730" s="11" t="e">
        <f>+VLOOKUP(B730,#REF!,7,FALSE)</f>
        <v>#REF!</v>
      </c>
      <c r="J730" s="12" t="str">
        <f t="shared" si="33"/>
        <v/>
      </c>
      <c r="K730" s="12" t="str">
        <f t="shared" si="34"/>
        <v/>
      </c>
      <c r="L730" s="12" t="e">
        <f t="shared" si="35"/>
        <v>#VALUE!</v>
      </c>
    </row>
    <row r="731" spans="1:12" ht="24" customHeight="1" x14ac:dyDescent="0.25">
      <c r="A731" s="9">
        <v>43258</v>
      </c>
      <c r="B731" s="10" t="s">
        <v>140</v>
      </c>
      <c r="C731" s="17">
        <v>5588</v>
      </c>
      <c r="D731" s="11" t="e">
        <f>VLOOKUP(B731,#REF!,7,FALSE)</f>
        <v>#REF!</v>
      </c>
      <c r="E731" s="10">
        <f>14.1213/4</f>
        <v>3.5303249999999999</v>
      </c>
      <c r="F731" s="10"/>
      <c r="G731" s="10"/>
      <c r="H731" s="10"/>
      <c r="I731" s="11" t="e">
        <f>+VLOOKUP(B731,#REF!,7,FALSE)</f>
        <v>#REF!</v>
      </c>
      <c r="J731" s="12" t="str">
        <f t="shared" si="33"/>
        <v/>
      </c>
      <c r="K731" s="12" t="str">
        <f t="shared" si="34"/>
        <v/>
      </c>
      <c r="L731" s="12" t="e">
        <f t="shared" si="35"/>
        <v>#VALUE!</v>
      </c>
    </row>
    <row r="732" spans="1:12" ht="24" customHeight="1" x14ac:dyDescent="0.25">
      <c r="A732" s="9">
        <v>43258</v>
      </c>
      <c r="B732" s="10" t="s">
        <v>150</v>
      </c>
      <c r="C732" s="17">
        <v>13770</v>
      </c>
      <c r="D732" s="11" t="e">
        <f>VLOOKUP(B732,#REF!,7,FALSE)</f>
        <v>#REF!</v>
      </c>
      <c r="E732" s="10">
        <f>4.9762/6</f>
        <v>0.8293666666666667</v>
      </c>
      <c r="F732" s="10"/>
      <c r="G732" s="10"/>
      <c r="H732" s="10"/>
      <c r="I732" s="11" t="e">
        <f>+VLOOKUP(B732,#REF!,7,FALSE)</f>
        <v>#REF!</v>
      </c>
      <c r="J732" s="12" t="str">
        <f t="shared" si="33"/>
        <v/>
      </c>
      <c r="K732" s="12" t="str">
        <f t="shared" si="34"/>
        <v/>
      </c>
      <c r="L732" s="12" t="e">
        <f t="shared" si="35"/>
        <v>#VALUE!</v>
      </c>
    </row>
    <row r="733" spans="1:12" ht="24" customHeight="1" x14ac:dyDescent="0.25">
      <c r="A733" s="9">
        <v>43258</v>
      </c>
      <c r="B733" s="10" t="s">
        <v>214</v>
      </c>
      <c r="C733" s="17">
        <v>9588</v>
      </c>
      <c r="D733" s="11" t="e">
        <f>VLOOKUP(B733,#REF!,7,FALSE)</f>
        <v>#REF!</v>
      </c>
      <c r="E733" s="10">
        <f>8.9414/12</f>
        <v>0.74511666666666665</v>
      </c>
      <c r="F733" s="10"/>
      <c r="G733" s="10"/>
      <c r="H733" s="10"/>
      <c r="I733" s="11" t="e">
        <f>+VLOOKUP(B733,#REF!,7,FALSE)</f>
        <v>#REF!</v>
      </c>
      <c r="J733" s="12" t="str">
        <f t="shared" si="33"/>
        <v/>
      </c>
      <c r="K733" s="12" t="str">
        <f t="shared" si="34"/>
        <v/>
      </c>
      <c r="L733" s="12" t="e">
        <f t="shared" si="35"/>
        <v>#VALUE!</v>
      </c>
    </row>
    <row r="734" spans="1:12" ht="24" customHeight="1" x14ac:dyDescent="0.25">
      <c r="A734" s="9">
        <v>43258</v>
      </c>
      <c r="B734" s="10" t="s">
        <v>442</v>
      </c>
      <c r="C734" s="17">
        <v>27414</v>
      </c>
      <c r="D734" s="11" t="e">
        <f>VLOOKUP(B734,#REF!,7,FALSE)</f>
        <v>#REF!</v>
      </c>
      <c r="E734" s="10">
        <f>3.9161/6</f>
        <v>0.65268333333333339</v>
      </c>
      <c r="F734" s="10"/>
      <c r="G734" s="10"/>
      <c r="H734" s="10"/>
      <c r="I734" s="11" t="e">
        <f>+VLOOKUP(B734,#REF!,7,FALSE)</f>
        <v>#REF!</v>
      </c>
      <c r="J734" s="12" t="str">
        <f t="shared" si="33"/>
        <v/>
      </c>
      <c r="K734" s="12" t="str">
        <f t="shared" si="34"/>
        <v/>
      </c>
      <c r="L734" s="12" t="e">
        <f t="shared" si="35"/>
        <v>#VALUE!</v>
      </c>
    </row>
    <row r="735" spans="1:12" ht="24" customHeight="1" x14ac:dyDescent="0.25">
      <c r="A735" s="9">
        <v>43259</v>
      </c>
      <c r="B735" s="10" t="s">
        <v>33</v>
      </c>
      <c r="C735" s="17">
        <v>252</v>
      </c>
      <c r="D735" s="11" t="e">
        <f>VLOOKUP(B735,#REF!,7,FALSE)</f>
        <v>#REF!</v>
      </c>
      <c r="E735" s="10">
        <v>3.9026000000000001</v>
      </c>
      <c r="F735" s="10"/>
      <c r="G735" s="10"/>
      <c r="H735" s="10"/>
      <c r="I735" s="11" t="e">
        <f>+VLOOKUP(B735,#REF!,7,FALSE)</f>
        <v>#REF!</v>
      </c>
      <c r="J735" s="12" t="str">
        <f t="shared" si="33"/>
        <v/>
      </c>
      <c r="K735" s="12" t="str">
        <f t="shared" si="34"/>
        <v/>
      </c>
      <c r="L735" s="12" t="e">
        <f t="shared" si="35"/>
        <v>#VALUE!</v>
      </c>
    </row>
    <row r="736" spans="1:12" ht="24" customHeight="1" x14ac:dyDescent="0.25">
      <c r="A736" s="9">
        <v>43259</v>
      </c>
      <c r="B736" s="10" t="s">
        <v>88</v>
      </c>
      <c r="C736" s="17">
        <v>474</v>
      </c>
      <c r="D736" s="11" t="e">
        <f>VLOOKUP(B736,#REF!,7,FALSE)</f>
        <v>#REF!</v>
      </c>
      <c r="E736" s="10">
        <v>3.8649</v>
      </c>
      <c r="F736" s="10"/>
      <c r="G736" s="10"/>
      <c r="H736" s="10"/>
      <c r="I736" s="11" t="e">
        <f>+VLOOKUP(B736,#REF!,7,FALSE)</f>
        <v>#REF!</v>
      </c>
      <c r="J736" s="12" t="str">
        <f t="shared" si="33"/>
        <v/>
      </c>
      <c r="K736" s="12" t="str">
        <f t="shared" si="34"/>
        <v/>
      </c>
      <c r="L736" s="12" t="e">
        <f t="shared" si="35"/>
        <v>#VALUE!</v>
      </c>
    </row>
    <row r="737" spans="1:12" ht="24" customHeight="1" x14ac:dyDescent="0.25">
      <c r="A737" s="9">
        <v>43259</v>
      </c>
      <c r="B737" s="10" t="s">
        <v>123</v>
      </c>
      <c r="C737" s="17">
        <v>968</v>
      </c>
      <c r="D737" s="11" t="e">
        <f>VLOOKUP(B737,#REF!,7,FALSE)</f>
        <v>#REF!</v>
      </c>
      <c r="E737" s="10">
        <v>3.4512999999999998</v>
      </c>
      <c r="F737" s="10"/>
      <c r="G737" s="10"/>
      <c r="H737" s="10"/>
      <c r="I737" s="11" t="e">
        <f>+VLOOKUP(B737,#REF!,7,FALSE)</f>
        <v>#REF!</v>
      </c>
      <c r="J737" s="12" t="str">
        <f t="shared" si="33"/>
        <v/>
      </c>
      <c r="K737" s="12" t="str">
        <f t="shared" si="34"/>
        <v/>
      </c>
      <c r="L737" s="12" t="e">
        <f t="shared" si="35"/>
        <v>#VALUE!</v>
      </c>
    </row>
    <row r="738" spans="1:12" ht="24" customHeight="1" x14ac:dyDescent="0.25">
      <c r="A738" s="9">
        <v>43259</v>
      </c>
      <c r="B738" s="10" t="s">
        <v>150</v>
      </c>
      <c r="C738" s="17">
        <v>8916</v>
      </c>
      <c r="D738" s="11" t="e">
        <f>VLOOKUP(B738,#REF!,7,FALSE)</f>
        <v>#REF!</v>
      </c>
      <c r="E738" s="10">
        <f>5.1442/6</f>
        <v>0.85736666666666661</v>
      </c>
      <c r="F738" s="10"/>
      <c r="G738" s="10"/>
      <c r="H738" s="10"/>
      <c r="I738" s="11" t="e">
        <f>+VLOOKUP(B738,#REF!,7,FALSE)</f>
        <v>#REF!</v>
      </c>
      <c r="J738" s="12" t="str">
        <f t="shared" si="33"/>
        <v/>
      </c>
      <c r="K738" s="12" t="str">
        <f t="shared" si="34"/>
        <v/>
      </c>
      <c r="L738" s="12" t="e">
        <f t="shared" si="35"/>
        <v>#VALUE!</v>
      </c>
    </row>
    <row r="739" spans="1:12" ht="24" customHeight="1" x14ac:dyDescent="0.25">
      <c r="A739" s="9">
        <v>43259</v>
      </c>
      <c r="B739" s="10" t="s">
        <v>214</v>
      </c>
      <c r="C739" s="17">
        <v>9852</v>
      </c>
      <c r="D739" s="11" t="e">
        <f>VLOOKUP(B739,#REF!,7,FALSE)</f>
        <v>#REF!</v>
      </c>
      <c r="E739" s="10">
        <f>9.9798/12</f>
        <v>0.83164999999999989</v>
      </c>
      <c r="F739" s="10"/>
      <c r="G739" s="10"/>
      <c r="H739" s="10"/>
      <c r="I739" s="11" t="e">
        <f>+VLOOKUP(B739,#REF!,7,FALSE)</f>
        <v>#REF!</v>
      </c>
      <c r="J739" s="12" t="str">
        <f t="shared" si="33"/>
        <v/>
      </c>
      <c r="K739" s="12" t="str">
        <f t="shared" si="34"/>
        <v/>
      </c>
      <c r="L739" s="12" t="e">
        <f t="shared" si="35"/>
        <v>#VALUE!</v>
      </c>
    </row>
    <row r="740" spans="1:12" ht="24" customHeight="1" x14ac:dyDescent="0.25">
      <c r="A740" s="9">
        <v>43259</v>
      </c>
      <c r="B740" s="10" t="s">
        <v>442</v>
      </c>
      <c r="C740" s="17">
        <v>27660</v>
      </c>
      <c r="D740" s="11" t="e">
        <f>VLOOKUP(B740,#REF!,7,FALSE)</f>
        <v>#REF!</v>
      </c>
      <c r="E740" s="10">
        <f>4.0032/6</f>
        <v>0.6671999999999999</v>
      </c>
      <c r="F740" s="10"/>
      <c r="G740" s="10"/>
      <c r="H740" s="10"/>
      <c r="I740" s="11" t="e">
        <f>+VLOOKUP(B740,#REF!,7,FALSE)</f>
        <v>#REF!</v>
      </c>
      <c r="J740" s="12" t="str">
        <f t="shared" si="33"/>
        <v/>
      </c>
      <c r="K740" s="12" t="str">
        <f t="shared" si="34"/>
        <v/>
      </c>
      <c r="L740" s="12" t="e">
        <f t="shared" si="35"/>
        <v>#VALUE!</v>
      </c>
    </row>
    <row r="741" spans="1:12" ht="24" customHeight="1" x14ac:dyDescent="0.25">
      <c r="A741" s="9">
        <v>43262</v>
      </c>
      <c r="B741" s="10" t="s">
        <v>88</v>
      </c>
      <c r="C741" s="17">
        <v>2194</v>
      </c>
      <c r="D741" s="11" t="e">
        <f>VLOOKUP(B741,#REF!,7,FALSE)</f>
        <v>#REF!</v>
      </c>
      <c r="E741" s="10">
        <v>3.8311000000000002</v>
      </c>
      <c r="F741" s="10"/>
      <c r="G741" s="10"/>
      <c r="H741" s="10"/>
      <c r="I741" s="11" t="e">
        <f>+VLOOKUP(B741,#REF!,7,FALSE)</f>
        <v>#REF!</v>
      </c>
      <c r="J741" s="12" t="str">
        <f t="shared" si="33"/>
        <v/>
      </c>
      <c r="K741" s="12" t="str">
        <f t="shared" si="34"/>
        <v/>
      </c>
      <c r="L741" s="12" t="e">
        <f t="shared" si="35"/>
        <v>#VALUE!</v>
      </c>
    </row>
    <row r="742" spans="1:12" ht="24" customHeight="1" x14ac:dyDescent="0.25">
      <c r="A742" s="9">
        <v>43262</v>
      </c>
      <c r="B742" s="10" t="s">
        <v>99</v>
      </c>
      <c r="C742" s="17">
        <v>14862</v>
      </c>
      <c r="D742" s="11" t="e">
        <f>VLOOKUP(B742,#REF!,7,FALSE)</f>
        <v>#REF!</v>
      </c>
      <c r="E742" s="10">
        <v>2.6949999999999998</v>
      </c>
      <c r="F742" s="10"/>
      <c r="G742" s="10"/>
      <c r="H742" s="10"/>
      <c r="I742" s="11" t="e">
        <f>+VLOOKUP(B742,#REF!,7,FALSE)</f>
        <v>#REF!</v>
      </c>
      <c r="J742" s="12" t="str">
        <f t="shared" si="33"/>
        <v/>
      </c>
      <c r="K742" s="12" t="str">
        <f t="shared" si="34"/>
        <v/>
      </c>
      <c r="L742" s="12" t="e">
        <f t="shared" si="35"/>
        <v>#VALUE!</v>
      </c>
    </row>
    <row r="743" spans="1:12" ht="24" customHeight="1" x14ac:dyDescent="0.25">
      <c r="A743" s="9">
        <v>43262</v>
      </c>
      <c r="B743" s="10" t="s">
        <v>150</v>
      </c>
      <c r="C743" s="17">
        <v>13410</v>
      </c>
      <c r="D743" s="11" t="e">
        <f>VLOOKUP(B743,#REF!,7,FALSE)</f>
        <v>#REF!</v>
      </c>
      <c r="E743" s="10">
        <f>5.2141/6</f>
        <v>0.86901666666666666</v>
      </c>
      <c r="F743" s="10"/>
      <c r="G743" s="10"/>
      <c r="H743" s="10"/>
      <c r="I743" s="11" t="e">
        <f>+VLOOKUP(B743,#REF!,7,FALSE)</f>
        <v>#REF!</v>
      </c>
      <c r="J743" s="12" t="str">
        <f t="shared" si="33"/>
        <v/>
      </c>
      <c r="K743" s="12" t="str">
        <f t="shared" si="34"/>
        <v/>
      </c>
      <c r="L743" s="12" t="e">
        <f t="shared" si="35"/>
        <v>#VALUE!</v>
      </c>
    </row>
    <row r="744" spans="1:12" ht="24" customHeight="1" x14ac:dyDescent="0.25">
      <c r="A744" s="9">
        <v>43262</v>
      </c>
      <c r="B744" s="10" t="s">
        <v>440</v>
      </c>
      <c r="C744" s="17">
        <v>17460</v>
      </c>
      <c r="D744" s="11" t="e">
        <f>VLOOKUP(B744,#REF!,7,FALSE)</f>
        <v>#REF!</v>
      </c>
      <c r="E744" s="10">
        <v>0.61890000000000001</v>
      </c>
      <c r="F744" s="10"/>
      <c r="G744" s="10"/>
      <c r="H744" s="10"/>
      <c r="I744" s="11" t="e">
        <f>+VLOOKUP(B744,#REF!,7,FALSE)</f>
        <v>#REF!</v>
      </c>
      <c r="J744" s="12" t="str">
        <f t="shared" si="33"/>
        <v/>
      </c>
      <c r="K744" s="12" t="str">
        <f t="shared" si="34"/>
        <v/>
      </c>
      <c r="L744" s="12" t="e">
        <f t="shared" si="35"/>
        <v>#VALUE!</v>
      </c>
    </row>
    <row r="745" spans="1:12" ht="24" customHeight="1" x14ac:dyDescent="0.25">
      <c r="A745" s="9">
        <v>43263</v>
      </c>
      <c r="B745" s="10" t="s">
        <v>90</v>
      </c>
      <c r="C745" s="17">
        <v>13644</v>
      </c>
      <c r="D745" s="11" t="e">
        <f>VLOOKUP(B745,#REF!,7,FALSE)</f>
        <v>#REF!</v>
      </c>
      <c r="E745" s="10">
        <f>8.4781/12</f>
        <v>0.70650833333333329</v>
      </c>
      <c r="F745" s="10"/>
      <c r="G745" s="10"/>
      <c r="H745" s="10"/>
      <c r="I745" s="11" t="e">
        <f>+VLOOKUP(B745,#REF!,7,FALSE)</f>
        <v>#REF!</v>
      </c>
      <c r="J745" s="12" t="str">
        <f t="shared" si="33"/>
        <v/>
      </c>
      <c r="K745" s="12" t="str">
        <f t="shared" si="34"/>
        <v/>
      </c>
      <c r="L745" s="12" t="e">
        <f t="shared" si="35"/>
        <v>#VALUE!</v>
      </c>
    </row>
    <row r="746" spans="1:12" ht="24" customHeight="1" x14ac:dyDescent="0.25">
      <c r="A746" s="9">
        <v>43263</v>
      </c>
      <c r="B746" s="10" t="s">
        <v>101</v>
      </c>
      <c r="C746" s="17">
        <v>39936</v>
      </c>
      <c r="D746" s="11" t="e">
        <f>VLOOKUP(B746,#REF!,7,FALSE)</f>
        <v>#REF!</v>
      </c>
      <c r="E746" s="10">
        <f>0.7044</f>
        <v>0.70440000000000003</v>
      </c>
      <c r="F746" s="10"/>
      <c r="G746" s="10"/>
      <c r="H746" s="10"/>
      <c r="I746" s="11" t="e">
        <f>+VLOOKUP(B746,#REF!,7,FALSE)</f>
        <v>#REF!</v>
      </c>
      <c r="J746" s="12" t="str">
        <f t="shared" si="33"/>
        <v/>
      </c>
      <c r="K746" s="12" t="str">
        <f t="shared" si="34"/>
        <v/>
      </c>
      <c r="L746" s="12" t="e">
        <f t="shared" si="35"/>
        <v>#VALUE!</v>
      </c>
    </row>
    <row r="747" spans="1:12" ht="24" customHeight="1" x14ac:dyDescent="0.25">
      <c r="A747" s="9">
        <v>43263</v>
      </c>
      <c r="B747" s="10" t="s">
        <v>177</v>
      </c>
      <c r="C747" s="17">
        <v>9900</v>
      </c>
      <c r="D747" s="11" t="e">
        <f>VLOOKUP(B747,#REF!,7,FALSE)</f>
        <v>#REF!</v>
      </c>
      <c r="E747" s="10">
        <f>6.2825/6</f>
        <v>1.0470833333333334</v>
      </c>
      <c r="F747" s="10"/>
      <c r="G747" s="10"/>
      <c r="H747" s="10"/>
      <c r="I747" s="11" t="e">
        <f>+VLOOKUP(B747,#REF!,7,FALSE)</f>
        <v>#REF!</v>
      </c>
      <c r="J747" s="12" t="str">
        <f t="shared" si="33"/>
        <v/>
      </c>
      <c r="K747" s="12" t="str">
        <f t="shared" si="34"/>
        <v/>
      </c>
      <c r="L747" s="12" t="e">
        <f t="shared" si="35"/>
        <v>#VALUE!</v>
      </c>
    </row>
    <row r="748" spans="1:12" ht="24" customHeight="1" x14ac:dyDescent="0.25">
      <c r="A748" s="9">
        <v>43263</v>
      </c>
      <c r="B748" s="10" t="s">
        <v>214</v>
      </c>
      <c r="C748" s="17">
        <v>9204</v>
      </c>
      <c r="D748" s="11" t="e">
        <f>VLOOKUP(B748,#REF!,7,FALSE)</f>
        <v>#REF!</v>
      </c>
      <c r="E748" s="10">
        <f>8.3975/12</f>
        <v>0.6997916666666667</v>
      </c>
      <c r="F748" s="10"/>
      <c r="G748" s="10"/>
      <c r="H748" s="10"/>
      <c r="I748" s="11" t="e">
        <f>+VLOOKUP(B748,#REF!,7,FALSE)</f>
        <v>#REF!</v>
      </c>
      <c r="J748" s="12" t="str">
        <f t="shared" si="33"/>
        <v/>
      </c>
      <c r="K748" s="12" t="str">
        <f t="shared" si="34"/>
        <v/>
      </c>
      <c r="L748" s="12" t="e">
        <f t="shared" si="35"/>
        <v>#VALUE!</v>
      </c>
    </row>
    <row r="749" spans="1:12" ht="24" customHeight="1" x14ac:dyDescent="0.25">
      <c r="A749" s="9">
        <v>43264</v>
      </c>
      <c r="B749" s="10" t="s">
        <v>443</v>
      </c>
      <c r="C749" s="17">
        <v>122</v>
      </c>
      <c r="D749" s="11" t="e">
        <f>VLOOKUP(B749,#REF!,7,FALSE)</f>
        <v>#REF!</v>
      </c>
      <c r="E749" s="10">
        <v>10.0974</v>
      </c>
      <c r="F749" s="10"/>
      <c r="G749" s="10"/>
      <c r="H749" s="10"/>
      <c r="I749" s="11" t="e">
        <f>+VLOOKUP(B749,#REF!,7,FALSE)</f>
        <v>#REF!</v>
      </c>
      <c r="J749" s="12" t="str">
        <f t="shared" si="33"/>
        <v/>
      </c>
      <c r="K749" s="12" t="str">
        <f t="shared" si="34"/>
        <v/>
      </c>
      <c r="L749" s="12" t="e">
        <f t="shared" si="35"/>
        <v>#VALUE!</v>
      </c>
    </row>
    <row r="750" spans="1:12" ht="24" customHeight="1" x14ac:dyDescent="0.25">
      <c r="A750" s="9">
        <v>43264</v>
      </c>
      <c r="B750" s="10" t="s">
        <v>104</v>
      </c>
      <c r="C750" s="17">
        <v>1402</v>
      </c>
      <c r="D750" s="11" t="e">
        <f>VLOOKUP(B750,#REF!,7,FALSE)</f>
        <v>#REF!</v>
      </c>
      <c r="E750" s="10">
        <v>8.6130999999999993</v>
      </c>
      <c r="F750" s="10"/>
      <c r="G750" s="10"/>
      <c r="H750" s="10"/>
      <c r="I750" s="11" t="e">
        <f>+VLOOKUP(B750,#REF!,7,FALSE)</f>
        <v>#REF!</v>
      </c>
      <c r="J750" s="12" t="str">
        <f t="shared" si="33"/>
        <v/>
      </c>
      <c r="K750" s="12" t="str">
        <f t="shared" si="34"/>
        <v/>
      </c>
      <c r="L750" s="12" t="e">
        <f t="shared" si="35"/>
        <v>#VALUE!</v>
      </c>
    </row>
    <row r="751" spans="1:12" ht="24" customHeight="1" x14ac:dyDescent="0.25">
      <c r="A751" s="9">
        <v>43264</v>
      </c>
      <c r="B751" s="10" t="s">
        <v>162</v>
      </c>
      <c r="C751" s="17">
        <v>12840</v>
      </c>
      <c r="D751" s="11" t="e">
        <f>VLOOKUP(B751,#REF!,7,FALSE)</f>
        <v>#REF!</v>
      </c>
      <c r="E751" s="10">
        <f>9.7574/12</f>
        <v>0.81311666666666671</v>
      </c>
      <c r="F751" s="10"/>
      <c r="G751" s="10"/>
      <c r="H751" s="10"/>
      <c r="I751" s="11" t="e">
        <f>+VLOOKUP(B751,#REF!,7,FALSE)</f>
        <v>#REF!</v>
      </c>
      <c r="J751" s="12" t="str">
        <f t="shared" si="33"/>
        <v/>
      </c>
      <c r="K751" s="12" t="str">
        <f t="shared" si="34"/>
        <v/>
      </c>
      <c r="L751" s="12" t="e">
        <f t="shared" si="35"/>
        <v>#VALUE!</v>
      </c>
    </row>
    <row r="752" spans="1:12" ht="24" customHeight="1" x14ac:dyDescent="0.25">
      <c r="A752" s="9">
        <v>43264</v>
      </c>
      <c r="B752" s="10" t="s">
        <v>192</v>
      </c>
      <c r="C752" s="17">
        <v>8192</v>
      </c>
      <c r="D752" s="11" t="e">
        <f>VLOOKUP(B752,#REF!,7,FALSE)</f>
        <v>#REF!</v>
      </c>
      <c r="E752" s="10">
        <f>7.7269/8</f>
        <v>0.96586249999999996</v>
      </c>
      <c r="F752" s="10"/>
      <c r="G752" s="10"/>
      <c r="H752" s="10"/>
      <c r="I752" s="11" t="e">
        <f>+VLOOKUP(B752,#REF!,7,FALSE)</f>
        <v>#REF!</v>
      </c>
      <c r="J752" s="12" t="str">
        <f t="shared" si="33"/>
        <v/>
      </c>
      <c r="K752" s="12" t="str">
        <f t="shared" si="34"/>
        <v/>
      </c>
      <c r="L752" s="12" t="e">
        <f t="shared" si="35"/>
        <v>#VALUE!</v>
      </c>
    </row>
    <row r="753" spans="1:12" ht="24" customHeight="1" x14ac:dyDescent="0.25">
      <c r="A753" s="9">
        <v>43264</v>
      </c>
      <c r="B753" s="10" t="s">
        <v>193</v>
      </c>
      <c r="C753" s="17">
        <v>440</v>
      </c>
      <c r="D753" s="11" t="e">
        <f>VLOOKUP(B753,#REF!,7,FALSE)</f>
        <v>#REF!</v>
      </c>
      <c r="E753" s="10">
        <v>5.3040000000000003</v>
      </c>
      <c r="F753" s="10"/>
      <c r="G753" s="10"/>
      <c r="H753" s="10"/>
      <c r="I753" s="11" t="e">
        <f>+VLOOKUP(B753,#REF!,7,FALSE)</f>
        <v>#REF!</v>
      </c>
      <c r="J753" s="12" t="str">
        <f t="shared" si="33"/>
        <v/>
      </c>
      <c r="K753" s="12" t="str">
        <f t="shared" si="34"/>
        <v/>
      </c>
      <c r="L753" s="12" t="e">
        <f t="shared" si="35"/>
        <v>#VALUE!</v>
      </c>
    </row>
    <row r="754" spans="1:12" ht="24" customHeight="1" x14ac:dyDescent="0.25">
      <c r="A754" s="9">
        <v>43264</v>
      </c>
      <c r="B754" s="10" t="s">
        <v>214</v>
      </c>
      <c r="C754" s="17">
        <v>9564</v>
      </c>
      <c r="D754" s="11" t="e">
        <f>VLOOKUP(B754,#REF!,7,FALSE)</f>
        <v>#REF!</v>
      </c>
      <c r="E754" s="10">
        <f>9.5588/12</f>
        <v>0.79656666666666665</v>
      </c>
      <c r="F754" s="10"/>
      <c r="G754" s="10"/>
      <c r="H754" s="10"/>
      <c r="I754" s="11" t="e">
        <f>+VLOOKUP(B754,#REF!,7,FALSE)</f>
        <v>#REF!</v>
      </c>
      <c r="J754" s="12" t="str">
        <f t="shared" si="33"/>
        <v/>
      </c>
      <c r="K754" s="12" t="str">
        <f t="shared" si="34"/>
        <v/>
      </c>
      <c r="L754" s="12" t="e">
        <f t="shared" si="35"/>
        <v>#VALUE!</v>
      </c>
    </row>
    <row r="755" spans="1:12" ht="24" customHeight="1" x14ac:dyDescent="0.25">
      <c r="A755" s="9">
        <v>43264</v>
      </c>
      <c r="B755" s="10" t="s">
        <v>224</v>
      </c>
      <c r="C755" s="17">
        <v>556</v>
      </c>
      <c r="D755" s="11" t="e">
        <f>VLOOKUP(B755,#REF!,7,FALSE)</f>
        <v>#REF!</v>
      </c>
      <c r="E755" s="10">
        <v>6.2077</v>
      </c>
      <c r="F755" s="10"/>
      <c r="G755" s="10"/>
      <c r="H755" s="10"/>
      <c r="I755" s="11">
        <v>18.707000000000001</v>
      </c>
      <c r="J755" s="12" t="str">
        <f t="shared" si="33"/>
        <v/>
      </c>
      <c r="K755" s="12">
        <f t="shared" si="34"/>
        <v>0.66816165071898226</v>
      </c>
      <c r="L755" s="12" t="e">
        <f t="shared" si="35"/>
        <v>#VALUE!</v>
      </c>
    </row>
    <row r="756" spans="1:12" ht="24" customHeight="1" x14ac:dyDescent="0.25">
      <c r="A756" s="9">
        <v>43265</v>
      </c>
      <c r="B756" s="10" t="s">
        <v>172</v>
      </c>
      <c r="C756" s="17">
        <v>2048</v>
      </c>
      <c r="D756" s="11" t="e">
        <f>VLOOKUP(B756,#REF!,7,FALSE)</f>
        <v>#REF!</v>
      </c>
      <c r="E756" s="10">
        <f>10.908/4</f>
        <v>2.7269999999999999</v>
      </c>
      <c r="F756" s="10"/>
      <c r="G756" s="10"/>
      <c r="H756" s="10"/>
      <c r="I756" s="11" t="e">
        <f>+VLOOKUP(B756,#REF!,7,FALSE)/4</f>
        <v>#REF!</v>
      </c>
      <c r="J756" s="12" t="str">
        <f t="shared" si="33"/>
        <v/>
      </c>
      <c r="K756" s="12" t="str">
        <f t="shared" si="34"/>
        <v/>
      </c>
      <c r="L756" s="12" t="e">
        <f t="shared" si="35"/>
        <v>#VALUE!</v>
      </c>
    </row>
    <row r="757" spans="1:12" ht="24" customHeight="1" x14ac:dyDescent="0.25">
      <c r="A757" s="9">
        <v>43265</v>
      </c>
      <c r="B757" s="10" t="s">
        <v>181</v>
      </c>
      <c r="C757" s="17">
        <v>4592</v>
      </c>
      <c r="D757" s="11" t="e">
        <f>VLOOKUP(B757,#REF!,7,FALSE)</f>
        <v>#REF!</v>
      </c>
      <c r="E757" s="10">
        <f>21.4904/8</f>
        <v>2.6863000000000001</v>
      </c>
      <c r="F757" s="10"/>
      <c r="G757" s="10"/>
      <c r="H757" s="10"/>
      <c r="I757" s="11" t="e">
        <f>+VLOOKUP(B757,#REF!,7,FALSE)</f>
        <v>#REF!</v>
      </c>
      <c r="J757" s="12" t="str">
        <f t="shared" si="33"/>
        <v/>
      </c>
      <c r="K757" s="12" t="str">
        <f t="shared" si="34"/>
        <v/>
      </c>
      <c r="L757" s="12" t="e">
        <f t="shared" si="35"/>
        <v>#VALUE!</v>
      </c>
    </row>
    <row r="758" spans="1:12" ht="24" customHeight="1" x14ac:dyDescent="0.25">
      <c r="A758" s="9">
        <v>43265</v>
      </c>
      <c r="B758" s="10" t="s">
        <v>230</v>
      </c>
      <c r="C758" s="17">
        <v>35328</v>
      </c>
      <c r="D758" s="11" t="e">
        <f>VLOOKUP(B758,#REF!,7,FALSE)</f>
        <v>#REF!</v>
      </c>
      <c r="E758" s="10">
        <f>3.2937/6</f>
        <v>0.54894999999999994</v>
      </c>
      <c r="F758" s="10"/>
      <c r="G758" s="10"/>
      <c r="H758" s="10"/>
      <c r="I758" s="11" t="e">
        <f>+VLOOKUP(B758,#REF!,7,FALSE)</f>
        <v>#REF!</v>
      </c>
      <c r="J758" s="12" t="str">
        <f t="shared" si="33"/>
        <v/>
      </c>
      <c r="K758" s="12" t="str">
        <f t="shared" si="34"/>
        <v/>
      </c>
      <c r="L758" s="12" t="e">
        <f t="shared" si="35"/>
        <v>#VALUE!</v>
      </c>
    </row>
    <row r="759" spans="1:12" ht="24" customHeight="1" x14ac:dyDescent="0.25">
      <c r="A759" s="9">
        <v>43265</v>
      </c>
      <c r="B759" s="10" t="s">
        <v>211</v>
      </c>
      <c r="C759" s="17">
        <v>16188</v>
      </c>
      <c r="D759" s="11" t="e">
        <f>VLOOKUP(B759,#REF!,7,FALSE)</f>
        <v>#REF!</v>
      </c>
      <c r="E759" s="10">
        <f>8.8476/6</f>
        <v>1.4745999999999999</v>
      </c>
      <c r="F759" s="10"/>
      <c r="G759" s="10"/>
      <c r="H759" s="10"/>
      <c r="I759" s="11" t="e">
        <f>+VLOOKUP(B759,#REF!,7,FALSE)</f>
        <v>#REF!</v>
      </c>
      <c r="J759" s="12" t="str">
        <f t="shared" si="33"/>
        <v/>
      </c>
      <c r="K759" s="12" t="str">
        <f t="shared" si="34"/>
        <v/>
      </c>
      <c r="L759" s="12" t="e">
        <f t="shared" si="35"/>
        <v>#VALUE!</v>
      </c>
    </row>
    <row r="760" spans="1:12" ht="24" customHeight="1" x14ac:dyDescent="0.25">
      <c r="A760" s="9">
        <v>43265</v>
      </c>
      <c r="B760" s="10" t="s">
        <v>214</v>
      </c>
      <c r="C760" s="17">
        <v>9948</v>
      </c>
      <c r="D760" s="11" t="e">
        <f>VLOOKUP(B760,#REF!,7,FALSE)</f>
        <v>#REF!</v>
      </c>
      <c r="E760" s="10">
        <f>8.9345/12</f>
        <v>0.74454166666666666</v>
      </c>
      <c r="F760" s="10"/>
      <c r="G760" s="10"/>
      <c r="H760" s="10"/>
      <c r="I760" s="11" t="e">
        <f>+VLOOKUP(B760,#REF!,7,FALSE)</f>
        <v>#REF!</v>
      </c>
      <c r="J760" s="12" t="str">
        <f t="shared" si="33"/>
        <v/>
      </c>
      <c r="K760" s="12" t="str">
        <f t="shared" si="34"/>
        <v/>
      </c>
      <c r="L760" s="12" t="e">
        <f t="shared" si="35"/>
        <v>#VALUE!</v>
      </c>
    </row>
    <row r="761" spans="1:12" ht="24" customHeight="1" x14ac:dyDescent="0.25">
      <c r="A761" s="9">
        <v>43266</v>
      </c>
      <c r="B761" s="10" t="s">
        <v>97</v>
      </c>
      <c r="C761" s="17">
        <v>510</v>
      </c>
      <c r="D761" s="11" t="e">
        <f>VLOOKUP(B761,#REF!,7,FALSE)</f>
        <v>#REF!</v>
      </c>
      <c r="E761" s="10">
        <f>36.413/6</f>
        <v>6.0688333333333331</v>
      </c>
      <c r="F761" s="10"/>
      <c r="G761" s="10"/>
      <c r="H761" s="10"/>
      <c r="I761" s="11" t="e">
        <f>+VLOOKUP(B761,#REF!,7,FALSE)</f>
        <v>#REF!</v>
      </c>
      <c r="J761" s="12" t="str">
        <f t="shared" si="33"/>
        <v/>
      </c>
      <c r="K761" s="12" t="str">
        <f t="shared" si="34"/>
        <v/>
      </c>
      <c r="L761" s="12" t="e">
        <f t="shared" si="35"/>
        <v>#VALUE!</v>
      </c>
    </row>
    <row r="762" spans="1:12" ht="24" customHeight="1" x14ac:dyDescent="0.25">
      <c r="A762" s="9">
        <v>43266</v>
      </c>
      <c r="B762" s="10" t="s">
        <v>128</v>
      </c>
      <c r="C762" s="17">
        <v>19440</v>
      </c>
      <c r="D762" s="11" t="e">
        <f>VLOOKUP(B762,#REF!,7,FALSE)</f>
        <v>#REF!</v>
      </c>
      <c r="E762" s="10">
        <f>15.7651/72</f>
        <v>0.21895972222222224</v>
      </c>
      <c r="F762" s="10"/>
      <c r="G762" s="10"/>
      <c r="H762" s="10"/>
      <c r="I762" s="11" t="e">
        <f>+VLOOKUP(B762,#REF!,7,FALSE)</f>
        <v>#REF!</v>
      </c>
      <c r="J762" s="12" t="str">
        <f t="shared" si="33"/>
        <v/>
      </c>
      <c r="K762" s="12" t="str">
        <f t="shared" si="34"/>
        <v/>
      </c>
      <c r="L762" s="12" t="e">
        <f t="shared" si="35"/>
        <v>#VALUE!</v>
      </c>
    </row>
    <row r="763" spans="1:12" ht="24" customHeight="1" x14ac:dyDescent="0.25">
      <c r="A763" s="9">
        <v>43266</v>
      </c>
      <c r="B763" s="10" t="s">
        <v>139</v>
      </c>
      <c r="C763" s="17">
        <v>5100</v>
      </c>
      <c r="D763" s="11" t="e">
        <f>VLOOKUP(B763,#REF!,7,FALSE)</f>
        <v>#REF!</v>
      </c>
      <c r="E763" s="10">
        <f>16.1307/4</f>
        <v>4.0326750000000002</v>
      </c>
      <c r="F763" s="10"/>
      <c r="G763" s="10"/>
      <c r="H763" s="10"/>
      <c r="I763" s="11" t="e">
        <f>+VLOOKUP(B763,#REF!,7,FALSE)</f>
        <v>#REF!</v>
      </c>
      <c r="J763" s="12" t="str">
        <f t="shared" si="33"/>
        <v/>
      </c>
      <c r="K763" s="12" t="str">
        <f t="shared" si="34"/>
        <v/>
      </c>
      <c r="L763" s="12" t="e">
        <f t="shared" si="35"/>
        <v>#VALUE!</v>
      </c>
    </row>
    <row r="764" spans="1:12" ht="24" customHeight="1" x14ac:dyDescent="0.25">
      <c r="A764" s="9">
        <v>43266</v>
      </c>
      <c r="B764" s="10" t="s">
        <v>207</v>
      </c>
      <c r="C764" s="17">
        <v>6640</v>
      </c>
      <c r="D764" s="11" t="e">
        <f>VLOOKUP(B764,#REF!,7,FALSE)</f>
        <v>#REF!</v>
      </c>
      <c r="E764" s="10">
        <f>6.8163/8</f>
        <v>0.8520375</v>
      </c>
      <c r="F764" s="10"/>
      <c r="G764" s="10"/>
      <c r="H764" s="10"/>
      <c r="I764" s="11" t="e">
        <f>+VLOOKUP(B764,#REF!,7,FALSE)</f>
        <v>#REF!</v>
      </c>
      <c r="J764" s="12" t="str">
        <f t="shared" si="33"/>
        <v/>
      </c>
      <c r="K764" s="12" t="str">
        <f t="shared" si="34"/>
        <v/>
      </c>
      <c r="L764" s="12" t="e">
        <f t="shared" si="35"/>
        <v>#VALUE!</v>
      </c>
    </row>
    <row r="765" spans="1:12" ht="24" customHeight="1" x14ac:dyDescent="0.25">
      <c r="A765" s="9">
        <v>43266</v>
      </c>
      <c r="B765" s="10" t="s">
        <v>211</v>
      </c>
      <c r="C765" s="17">
        <v>15732</v>
      </c>
      <c r="D765" s="11" t="e">
        <f>VLOOKUP(B765,#REF!,7,FALSE)</f>
        <v>#REF!</v>
      </c>
      <c r="E765" s="10">
        <f>8.6923/6</f>
        <v>1.4487166666666667</v>
      </c>
      <c r="F765" s="10"/>
      <c r="G765" s="10"/>
      <c r="H765" s="10"/>
      <c r="I765" s="11" t="e">
        <f>+VLOOKUP(B765,#REF!,7,FALSE)</f>
        <v>#REF!</v>
      </c>
      <c r="J765" s="12" t="str">
        <f t="shared" si="33"/>
        <v/>
      </c>
      <c r="K765" s="12" t="str">
        <f t="shared" si="34"/>
        <v/>
      </c>
      <c r="L765" s="12" t="e">
        <f t="shared" si="35"/>
        <v>#VALUE!</v>
      </c>
    </row>
    <row r="766" spans="1:12" ht="24" customHeight="1" x14ac:dyDescent="0.25">
      <c r="A766" s="9">
        <v>43266</v>
      </c>
      <c r="B766" s="10" t="s">
        <v>214</v>
      </c>
      <c r="C766" s="17">
        <v>10500</v>
      </c>
      <c r="D766" s="11" t="e">
        <f>VLOOKUP(B766,#REF!,7,FALSE)</f>
        <v>#REF!</v>
      </c>
      <c r="E766" s="10">
        <f>9.2716/12</f>
        <v>0.77263333333333328</v>
      </c>
      <c r="F766" s="10"/>
      <c r="G766" s="10"/>
      <c r="H766" s="10"/>
      <c r="I766" s="11" t="e">
        <f>+VLOOKUP(B766,#REF!,7,FALSE)</f>
        <v>#REF!</v>
      </c>
      <c r="J766" s="12" t="str">
        <f t="shared" si="33"/>
        <v/>
      </c>
      <c r="K766" s="12" t="str">
        <f t="shared" si="34"/>
        <v/>
      </c>
      <c r="L766" s="12" t="e">
        <f t="shared" si="35"/>
        <v>#VALUE!</v>
      </c>
    </row>
    <row r="767" spans="1:12" ht="24" customHeight="1" x14ac:dyDescent="0.25">
      <c r="A767" s="9">
        <v>43266</v>
      </c>
      <c r="B767" s="10" t="s">
        <v>222</v>
      </c>
      <c r="C767" s="17">
        <v>1160</v>
      </c>
      <c r="D767" s="11" t="e">
        <f>VLOOKUP(B767,#REF!,7,FALSE)/8</f>
        <v>#REF!</v>
      </c>
      <c r="E767" s="10">
        <f>22.2167/8</f>
        <v>2.7770874999999999</v>
      </c>
      <c r="F767" s="10"/>
      <c r="G767" s="10"/>
      <c r="H767" s="10"/>
      <c r="I767" s="11" t="e">
        <f>+VLOOKUP(B767,#REF!,7,FALSE)</f>
        <v>#REF!</v>
      </c>
      <c r="J767" s="12" t="str">
        <f t="shared" si="33"/>
        <v/>
      </c>
      <c r="K767" s="12" t="str">
        <f t="shared" si="34"/>
        <v/>
      </c>
      <c r="L767" s="12" t="e">
        <f t="shared" si="35"/>
        <v>#VALUE!</v>
      </c>
    </row>
    <row r="768" spans="1:12" ht="24" customHeight="1" x14ac:dyDescent="0.25">
      <c r="A768" s="9">
        <v>43269</v>
      </c>
      <c r="B768" s="10" t="s">
        <v>15</v>
      </c>
      <c r="C768" s="17">
        <v>978</v>
      </c>
      <c r="D768" s="11" t="e">
        <f>VLOOKUP(B768,#REF!,7,FALSE)</f>
        <v>#REF!</v>
      </c>
      <c r="E768" s="10">
        <v>3.407</v>
      </c>
      <c r="F768" s="10"/>
      <c r="G768" s="10"/>
      <c r="H768" s="10"/>
      <c r="I768" s="11" t="e">
        <f>+VLOOKUP(B768,#REF!,7,FALSE)</f>
        <v>#REF!</v>
      </c>
      <c r="J768" s="12" t="str">
        <f t="shared" si="33"/>
        <v/>
      </c>
      <c r="K768" s="12" t="str">
        <f t="shared" si="34"/>
        <v/>
      </c>
      <c r="L768" s="12" t="e">
        <f t="shared" si="35"/>
        <v>#VALUE!</v>
      </c>
    </row>
    <row r="769" spans="1:12" ht="24" customHeight="1" x14ac:dyDescent="0.25">
      <c r="A769" s="9">
        <v>43269</v>
      </c>
      <c r="B769" s="10" t="s">
        <v>36</v>
      </c>
      <c r="C769" s="17">
        <v>58</v>
      </c>
      <c r="D769" s="11" t="e">
        <f>VLOOKUP(B769,#REF!,7,FALSE)</f>
        <v>#REF!</v>
      </c>
      <c r="E769" s="10">
        <v>7.3133999999999997</v>
      </c>
      <c r="F769" s="10"/>
      <c r="G769" s="10"/>
      <c r="H769" s="10"/>
      <c r="I769" s="11" t="e">
        <f>+VLOOKUP(B769,#REF!,7,FALSE)</f>
        <v>#REF!</v>
      </c>
      <c r="J769" s="12" t="str">
        <f t="shared" si="33"/>
        <v/>
      </c>
      <c r="K769" s="12" t="str">
        <f t="shared" si="34"/>
        <v/>
      </c>
      <c r="L769" s="12" t="e">
        <f t="shared" si="35"/>
        <v>#VALUE!</v>
      </c>
    </row>
    <row r="770" spans="1:12" ht="24" customHeight="1" x14ac:dyDescent="0.25">
      <c r="A770" s="9">
        <v>43269</v>
      </c>
      <c r="B770" s="10" t="s">
        <v>117</v>
      </c>
      <c r="C770" s="17">
        <v>18228</v>
      </c>
      <c r="D770" s="11" t="e">
        <f>VLOOKUP(B770,#REF!,7,FALSE)</f>
        <v>#REF!</v>
      </c>
      <c r="E770" s="10">
        <v>3.2570999999999999</v>
      </c>
      <c r="F770" s="10"/>
      <c r="G770" s="10"/>
      <c r="H770" s="10"/>
      <c r="I770" s="11" t="e">
        <f>+VLOOKUP(B770,#REF!,7,FALSE)</f>
        <v>#REF!</v>
      </c>
      <c r="J770" s="12" t="str">
        <f t="shared" si="33"/>
        <v/>
      </c>
      <c r="K770" s="12" t="str">
        <f t="shared" si="34"/>
        <v/>
      </c>
      <c r="L770" s="12" t="e">
        <f t="shared" si="35"/>
        <v>#VALUE!</v>
      </c>
    </row>
    <row r="771" spans="1:12" ht="24" customHeight="1" x14ac:dyDescent="0.25">
      <c r="A771" s="9">
        <v>43269</v>
      </c>
      <c r="B771" s="10" t="s">
        <v>132</v>
      </c>
      <c r="C771" s="17">
        <v>218</v>
      </c>
      <c r="D771" s="11" t="e">
        <f>VLOOKUP(B771,#REF!,7,FALSE)</f>
        <v>#REF!</v>
      </c>
      <c r="E771" s="10">
        <v>17.256799999999998</v>
      </c>
      <c r="F771" s="10"/>
      <c r="G771" s="10"/>
      <c r="H771" s="10"/>
      <c r="I771" s="11" t="e">
        <f>+VLOOKUP(B771,#REF!,7,FALSE)</f>
        <v>#REF!</v>
      </c>
      <c r="J771" s="12" t="str">
        <f t="shared" si="33"/>
        <v/>
      </c>
      <c r="K771" s="12" t="str">
        <f t="shared" si="34"/>
        <v/>
      </c>
      <c r="L771" s="12" t="e">
        <f t="shared" si="35"/>
        <v>#VALUE!</v>
      </c>
    </row>
    <row r="772" spans="1:12" ht="24" customHeight="1" x14ac:dyDescent="0.25">
      <c r="A772" s="9">
        <v>43269</v>
      </c>
      <c r="B772" s="10" t="s">
        <v>139</v>
      </c>
      <c r="C772" s="17">
        <v>8080</v>
      </c>
      <c r="D772" s="11" t="e">
        <f>VLOOKUP(B772,#REF!,7,FALSE)</f>
        <v>#REF!</v>
      </c>
      <c r="E772" s="10">
        <f>13.9063/4</f>
        <v>3.476575</v>
      </c>
      <c r="F772" s="10"/>
      <c r="G772" s="10"/>
      <c r="H772" s="10"/>
      <c r="I772" s="11" t="e">
        <f>+VLOOKUP(B772,#REF!,7,FALSE)</f>
        <v>#REF!</v>
      </c>
      <c r="J772" s="12" t="str">
        <f t="shared" ref="J772:J835" si="36">IFERROR((I772-(D772+F772))/I772,"")</f>
        <v/>
      </c>
      <c r="K772" s="12" t="str">
        <f t="shared" ref="K772:K835" si="37">IF(E772="","",IFERROR((I772-(E772+G772+H772))/I772,""))</f>
        <v/>
      </c>
      <c r="L772" s="12" t="e">
        <f t="shared" ref="L772:L806" si="38">J772-K772</f>
        <v>#VALUE!</v>
      </c>
    </row>
    <row r="773" spans="1:12" ht="24" customHeight="1" x14ac:dyDescent="0.25">
      <c r="A773" s="9">
        <v>43269</v>
      </c>
      <c r="B773" s="10" t="s">
        <v>152</v>
      </c>
      <c r="C773" s="17">
        <v>14364</v>
      </c>
      <c r="D773" s="11" t="e">
        <f>VLOOKUP(B773,#REF!,7,FALSE)</f>
        <v>#REF!</v>
      </c>
      <c r="E773" s="10">
        <f>7.0648/12</f>
        <v>0.58873333333333333</v>
      </c>
      <c r="F773" s="10"/>
      <c r="G773" s="10"/>
      <c r="H773" s="10"/>
      <c r="I773" s="11" t="e">
        <f>+VLOOKUP(B773,#REF!,7,FALSE)</f>
        <v>#REF!</v>
      </c>
      <c r="J773" s="12" t="str">
        <f t="shared" si="36"/>
        <v/>
      </c>
      <c r="K773" s="12" t="str">
        <f t="shared" si="37"/>
        <v/>
      </c>
      <c r="L773" s="12" t="e">
        <f t="shared" si="38"/>
        <v>#VALUE!</v>
      </c>
    </row>
    <row r="774" spans="1:12" ht="24" customHeight="1" x14ac:dyDescent="0.25">
      <c r="A774" s="9">
        <v>43269</v>
      </c>
      <c r="B774" s="10" t="s">
        <v>159</v>
      </c>
      <c r="C774" s="17">
        <v>13260</v>
      </c>
      <c r="D774" s="11" t="e">
        <f>VLOOKUP(B774,#REF!,7,FALSE)</f>
        <v>#REF!</v>
      </c>
      <c r="E774" s="10">
        <f>8.7895/12</f>
        <v>0.73245833333333332</v>
      </c>
      <c r="F774" s="10"/>
      <c r="G774" s="10"/>
      <c r="H774" s="10"/>
      <c r="I774" s="11" t="e">
        <f>+VLOOKUP(B774,#REF!,7,FALSE)</f>
        <v>#REF!</v>
      </c>
      <c r="J774" s="12" t="str">
        <f t="shared" si="36"/>
        <v/>
      </c>
      <c r="K774" s="12" t="str">
        <f t="shared" si="37"/>
        <v/>
      </c>
      <c r="L774" s="12" t="e">
        <f t="shared" si="38"/>
        <v>#VALUE!</v>
      </c>
    </row>
    <row r="775" spans="1:12" ht="24" customHeight="1" x14ac:dyDescent="0.25">
      <c r="A775" s="9">
        <v>43269</v>
      </c>
      <c r="B775" s="10" t="s">
        <v>440</v>
      </c>
      <c r="C775" s="17">
        <v>2330</v>
      </c>
      <c r="D775" s="11" t="e">
        <f>VLOOKUP(B775,#REF!,7,FALSE)</f>
        <v>#REF!</v>
      </c>
      <c r="E775" s="10">
        <v>0.61960000000000004</v>
      </c>
      <c r="F775" s="10"/>
      <c r="G775" s="10"/>
      <c r="H775" s="10"/>
      <c r="I775" s="11" t="e">
        <f>+VLOOKUP(B775,#REF!,7,FALSE)</f>
        <v>#REF!</v>
      </c>
      <c r="J775" s="12" t="str">
        <f t="shared" si="36"/>
        <v/>
      </c>
      <c r="K775" s="12" t="str">
        <f t="shared" si="37"/>
        <v/>
      </c>
      <c r="L775" s="12" t="e">
        <f t="shared" si="38"/>
        <v>#VALUE!</v>
      </c>
    </row>
    <row r="776" spans="1:12" ht="24" customHeight="1" x14ac:dyDescent="0.25">
      <c r="A776" s="9">
        <v>43269</v>
      </c>
      <c r="B776" s="10" t="s">
        <v>448</v>
      </c>
      <c r="C776" s="17">
        <v>126</v>
      </c>
      <c r="D776" s="11" t="e">
        <f>VLOOKUP(B776,#REF!,7,FALSE)</f>
        <v>#REF!</v>
      </c>
      <c r="E776" s="10">
        <v>1.2643</v>
      </c>
      <c r="F776" s="10"/>
      <c r="G776" s="10"/>
      <c r="H776" s="10"/>
      <c r="I776" s="11" t="e">
        <f>+VLOOKUP(B776,#REF!,7,FALSE)</f>
        <v>#REF!</v>
      </c>
      <c r="J776" s="12" t="str">
        <f t="shared" si="36"/>
        <v/>
      </c>
      <c r="K776" s="12" t="str">
        <f t="shared" si="37"/>
        <v/>
      </c>
      <c r="L776" s="12" t="e">
        <f t="shared" si="38"/>
        <v>#VALUE!</v>
      </c>
    </row>
    <row r="777" spans="1:12" ht="24" customHeight="1" x14ac:dyDescent="0.25">
      <c r="A777" s="9">
        <v>43270</v>
      </c>
      <c r="B777" s="10" t="s">
        <v>131</v>
      </c>
      <c r="C777" s="17">
        <v>981</v>
      </c>
      <c r="D777" s="11" t="e">
        <f>VLOOKUP(B777,#REF!,7,FALSE)</f>
        <v>#REF!</v>
      </c>
      <c r="E777" s="10">
        <v>15.1623</v>
      </c>
      <c r="F777" s="10"/>
      <c r="G777" s="10"/>
      <c r="H777" s="10"/>
      <c r="I777" s="11" t="e">
        <f>+VLOOKUP(B777,#REF!,7,FALSE)</f>
        <v>#REF!</v>
      </c>
      <c r="J777" s="12" t="str">
        <f t="shared" si="36"/>
        <v/>
      </c>
      <c r="K777" s="12" t="str">
        <f t="shared" si="37"/>
        <v/>
      </c>
      <c r="L777" s="12" t="e">
        <f t="shared" si="38"/>
        <v>#VALUE!</v>
      </c>
    </row>
    <row r="778" spans="1:12" ht="24" customHeight="1" x14ac:dyDescent="0.25">
      <c r="A778" s="9">
        <v>43270</v>
      </c>
      <c r="B778" s="10" t="s">
        <v>139</v>
      </c>
      <c r="C778" s="17">
        <v>7764</v>
      </c>
      <c r="D778" s="11" t="e">
        <f>VLOOKUP(B778,#REF!,7,FALSE)</f>
        <v>#REF!</v>
      </c>
      <c r="E778" s="10">
        <f>14.9087/4</f>
        <v>3.7271749999999999</v>
      </c>
      <c r="F778" s="10"/>
      <c r="G778" s="10"/>
      <c r="H778" s="10"/>
      <c r="I778" s="11" t="e">
        <f>+VLOOKUP(B778,#REF!,7,FALSE)</f>
        <v>#REF!</v>
      </c>
      <c r="J778" s="12" t="str">
        <f t="shared" si="36"/>
        <v/>
      </c>
      <c r="K778" s="12" t="str">
        <f t="shared" si="37"/>
        <v/>
      </c>
      <c r="L778" s="12" t="e">
        <f t="shared" si="38"/>
        <v>#VALUE!</v>
      </c>
    </row>
    <row r="779" spans="1:12" ht="24" customHeight="1" x14ac:dyDescent="0.25">
      <c r="A779" s="9">
        <v>43270</v>
      </c>
      <c r="B779" s="10" t="s">
        <v>152</v>
      </c>
      <c r="C779" s="17">
        <v>13452</v>
      </c>
      <c r="D779" s="11" t="e">
        <f>VLOOKUP(B779,#REF!,7,FALSE)</f>
        <v>#REF!</v>
      </c>
      <c r="E779" s="10">
        <f>5.464/12</f>
        <v>0.45533333333333337</v>
      </c>
      <c r="F779" s="10"/>
      <c r="G779" s="10"/>
      <c r="H779" s="10"/>
      <c r="I779" s="11" t="e">
        <f>+VLOOKUP(B779,#REF!,7,FALSE)</f>
        <v>#REF!</v>
      </c>
      <c r="J779" s="12" t="str">
        <f t="shared" si="36"/>
        <v/>
      </c>
      <c r="K779" s="12" t="str">
        <f t="shared" si="37"/>
        <v/>
      </c>
      <c r="L779" s="12" t="e">
        <f t="shared" si="38"/>
        <v>#VALUE!</v>
      </c>
    </row>
    <row r="780" spans="1:12" ht="24" customHeight="1" x14ac:dyDescent="0.25">
      <c r="A780" s="9">
        <v>43270</v>
      </c>
      <c r="B780" s="10" t="s">
        <v>202</v>
      </c>
      <c r="C780" s="17">
        <v>205</v>
      </c>
      <c r="D780" s="11" t="e">
        <f>VLOOKUP(B780,#REF!,7,FALSE)</f>
        <v>#REF!</v>
      </c>
      <c r="E780" s="10">
        <v>15.378299999999999</v>
      </c>
      <c r="F780" s="10"/>
      <c r="G780" s="10"/>
      <c r="H780" s="10"/>
      <c r="I780" s="11" t="e">
        <f>+VLOOKUP(B780,#REF!,7,FALSE)</f>
        <v>#REF!</v>
      </c>
      <c r="J780" s="12" t="str">
        <f t="shared" si="36"/>
        <v/>
      </c>
      <c r="K780" s="12" t="str">
        <f t="shared" si="37"/>
        <v/>
      </c>
      <c r="L780" s="12" t="e">
        <f t="shared" si="38"/>
        <v>#VALUE!</v>
      </c>
    </row>
    <row r="781" spans="1:12" ht="24" customHeight="1" x14ac:dyDescent="0.25">
      <c r="A781" s="9">
        <v>43270</v>
      </c>
      <c r="B781" s="10" t="s">
        <v>203</v>
      </c>
      <c r="C781" s="17">
        <v>430</v>
      </c>
      <c r="D781" s="11" t="e">
        <f>VLOOKUP(B781,#REF!,7,FALSE)</f>
        <v>#REF!</v>
      </c>
      <c r="E781" s="10">
        <v>15.393800000000001</v>
      </c>
      <c r="F781" s="10"/>
      <c r="G781" s="10"/>
      <c r="H781" s="10"/>
      <c r="I781" s="11" t="e">
        <f>+VLOOKUP(B781,#REF!,7,FALSE)</f>
        <v>#REF!</v>
      </c>
      <c r="J781" s="12" t="str">
        <f t="shared" si="36"/>
        <v/>
      </c>
      <c r="K781" s="12" t="str">
        <f t="shared" si="37"/>
        <v/>
      </c>
      <c r="L781" s="12" t="e">
        <f t="shared" si="38"/>
        <v>#VALUE!</v>
      </c>
    </row>
    <row r="782" spans="1:12" ht="24" customHeight="1" x14ac:dyDescent="0.25">
      <c r="A782" s="9">
        <v>43270</v>
      </c>
      <c r="B782" s="10" t="s">
        <v>230</v>
      </c>
      <c r="C782" s="17">
        <v>17508</v>
      </c>
      <c r="D782" s="11" t="e">
        <f>VLOOKUP(B782,#REF!,7,FALSE)</f>
        <v>#REF!</v>
      </c>
      <c r="E782" s="10">
        <f>2.9569/6</f>
        <v>0.49281666666666668</v>
      </c>
      <c r="F782" s="10"/>
      <c r="G782" s="10"/>
      <c r="H782" s="10"/>
      <c r="I782" s="11" t="e">
        <f>+VLOOKUP(B782,#REF!,7,FALSE)</f>
        <v>#REF!</v>
      </c>
      <c r="J782" s="12" t="str">
        <f t="shared" si="36"/>
        <v/>
      </c>
      <c r="K782" s="12" t="str">
        <f t="shared" si="37"/>
        <v/>
      </c>
      <c r="L782" s="12" t="e">
        <f t="shared" si="38"/>
        <v>#VALUE!</v>
      </c>
    </row>
    <row r="783" spans="1:12" ht="24" customHeight="1" x14ac:dyDescent="0.25">
      <c r="A783" s="9">
        <v>43270</v>
      </c>
      <c r="B783" s="10" t="s">
        <v>441</v>
      </c>
      <c r="C783" s="17">
        <v>2778</v>
      </c>
      <c r="D783" s="11" t="e">
        <f>VLOOKUP(B783,#REF!,7,FALSE)</f>
        <v>#REF!</v>
      </c>
      <c r="E783" s="10">
        <v>0.4995</v>
      </c>
      <c r="F783" s="10"/>
      <c r="G783" s="10"/>
      <c r="H783" s="10"/>
      <c r="I783" s="11" t="e">
        <f>+VLOOKUP(B783,#REF!,7,FALSE)</f>
        <v>#REF!</v>
      </c>
      <c r="J783" s="12" t="str">
        <f t="shared" si="36"/>
        <v/>
      </c>
      <c r="K783" s="12" t="str">
        <f t="shared" si="37"/>
        <v/>
      </c>
      <c r="L783" s="12" t="e">
        <f t="shared" si="38"/>
        <v>#VALUE!</v>
      </c>
    </row>
    <row r="784" spans="1:12" ht="24" customHeight="1" x14ac:dyDescent="0.25">
      <c r="A784" s="9">
        <v>43270</v>
      </c>
      <c r="B784" s="10" t="s">
        <v>231</v>
      </c>
      <c r="C784" s="17">
        <v>60</v>
      </c>
      <c r="D784" s="11" t="e">
        <f>VLOOKUP(B784,#REF!,7,FALSE)</f>
        <v>#REF!</v>
      </c>
      <c r="E784" s="10">
        <v>1.9867999999999999</v>
      </c>
      <c r="F784" s="10"/>
      <c r="G784" s="10"/>
      <c r="H784" s="10"/>
      <c r="I784" s="11" t="e">
        <f>+VLOOKUP(B784,#REF!,7,FALSE)</f>
        <v>#REF!</v>
      </c>
      <c r="J784" s="12" t="str">
        <f t="shared" si="36"/>
        <v/>
      </c>
      <c r="K784" s="12" t="str">
        <f t="shared" si="37"/>
        <v/>
      </c>
      <c r="L784" s="12" t="e">
        <f t="shared" si="38"/>
        <v>#VALUE!</v>
      </c>
    </row>
    <row r="785" spans="1:12" ht="24" customHeight="1" x14ac:dyDescent="0.25">
      <c r="A785" s="9">
        <v>43271</v>
      </c>
      <c r="B785" s="10" t="s">
        <v>86</v>
      </c>
      <c r="C785" s="17">
        <v>384</v>
      </c>
      <c r="D785" s="11" t="e">
        <f>VLOOKUP(B785,#REF!,7,FALSE)</f>
        <v>#REF!</v>
      </c>
      <c r="E785" s="10">
        <v>3.9058999999999999</v>
      </c>
      <c r="F785" s="10"/>
      <c r="G785" s="10"/>
      <c r="H785" s="10"/>
      <c r="I785" s="11" t="e">
        <f>+VLOOKUP(B785,#REF!,7,FALSE)</f>
        <v>#REF!</v>
      </c>
      <c r="J785" s="12" t="str">
        <f t="shared" si="36"/>
        <v/>
      </c>
      <c r="K785" s="12" t="str">
        <f t="shared" si="37"/>
        <v/>
      </c>
      <c r="L785" s="12" t="e">
        <f t="shared" si="38"/>
        <v>#VALUE!</v>
      </c>
    </row>
    <row r="786" spans="1:12" ht="24" customHeight="1" x14ac:dyDescent="0.25">
      <c r="A786" s="9">
        <v>43271</v>
      </c>
      <c r="B786" s="10" t="s">
        <v>102</v>
      </c>
      <c r="C786" s="17">
        <v>3102</v>
      </c>
      <c r="D786" s="11" t="e">
        <f>VLOOKUP(B786,#REF!,7,FALSE)</f>
        <v>#REF!</v>
      </c>
      <c r="E786" s="10">
        <v>2.3767999999999998</v>
      </c>
      <c r="F786" s="10"/>
      <c r="G786" s="10"/>
      <c r="H786" s="10"/>
      <c r="I786" s="11" t="e">
        <f>+VLOOKUP(B786,#REF!,7,FALSE)</f>
        <v>#REF!</v>
      </c>
      <c r="J786" s="12" t="str">
        <f t="shared" si="36"/>
        <v/>
      </c>
      <c r="K786" s="12" t="str">
        <f t="shared" si="37"/>
        <v/>
      </c>
      <c r="L786" s="12" t="e">
        <f t="shared" si="38"/>
        <v>#VALUE!</v>
      </c>
    </row>
    <row r="787" spans="1:12" ht="24" customHeight="1" x14ac:dyDescent="0.25">
      <c r="A787" s="9">
        <v>43271</v>
      </c>
      <c r="B787" s="10" t="s">
        <v>114</v>
      </c>
      <c r="C787" s="17">
        <v>1764</v>
      </c>
      <c r="D787" s="11" t="e">
        <f>VLOOKUP(B787,#REF!,7,FALSE)</f>
        <v>#REF!</v>
      </c>
      <c r="E787" s="10">
        <v>2.5886999999999998</v>
      </c>
      <c r="F787" s="10"/>
      <c r="G787" s="10"/>
      <c r="H787" s="10"/>
      <c r="I787" s="11" t="e">
        <f>+VLOOKUP(B787,#REF!,7,FALSE)</f>
        <v>#REF!</v>
      </c>
      <c r="J787" s="12" t="str">
        <f t="shared" si="36"/>
        <v/>
      </c>
      <c r="K787" s="12" t="str">
        <f t="shared" si="37"/>
        <v/>
      </c>
      <c r="L787" s="12" t="e">
        <f t="shared" si="38"/>
        <v>#VALUE!</v>
      </c>
    </row>
    <row r="788" spans="1:12" ht="24" customHeight="1" x14ac:dyDescent="0.25">
      <c r="A788" s="9">
        <v>43271</v>
      </c>
      <c r="B788" s="10" t="s">
        <v>142</v>
      </c>
      <c r="C788" s="17">
        <v>484</v>
      </c>
      <c r="D788" s="11" t="e">
        <f>VLOOKUP(B788,#REF!,7,FALSE)</f>
        <v>#REF!</v>
      </c>
      <c r="E788" s="10">
        <f>2.5339</f>
        <v>2.5339</v>
      </c>
      <c r="F788" s="10"/>
      <c r="G788" s="10"/>
      <c r="H788" s="10"/>
      <c r="I788" s="11" t="e">
        <f>+VLOOKUP(B788,#REF!,7,FALSE)</f>
        <v>#REF!</v>
      </c>
      <c r="J788" s="12" t="str">
        <f t="shared" si="36"/>
        <v/>
      </c>
      <c r="K788" s="12" t="str">
        <f t="shared" si="37"/>
        <v/>
      </c>
      <c r="L788" s="12" t="e">
        <f t="shared" si="38"/>
        <v>#VALUE!</v>
      </c>
    </row>
    <row r="789" spans="1:12" ht="24" customHeight="1" x14ac:dyDescent="0.25">
      <c r="A789" s="9">
        <v>43271</v>
      </c>
      <c r="B789" s="10" t="s">
        <v>152</v>
      </c>
      <c r="C789" s="17">
        <v>4044</v>
      </c>
      <c r="D789" s="11" t="e">
        <f>VLOOKUP(B789,#REF!,7,FALSE)</f>
        <v>#REF!</v>
      </c>
      <c r="E789" s="10">
        <f>8.3708/12</f>
        <v>0.69756666666666656</v>
      </c>
      <c r="F789" s="10"/>
      <c r="G789" s="10"/>
      <c r="H789" s="10"/>
      <c r="I789" s="11" t="e">
        <f>+VLOOKUP(B789,#REF!,7,FALSE)</f>
        <v>#REF!</v>
      </c>
      <c r="J789" s="12" t="str">
        <f t="shared" si="36"/>
        <v/>
      </c>
      <c r="K789" s="12" t="str">
        <f t="shared" si="37"/>
        <v/>
      </c>
      <c r="L789" s="12" t="e">
        <f t="shared" si="38"/>
        <v>#VALUE!</v>
      </c>
    </row>
    <row r="790" spans="1:12" ht="24" customHeight="1" x14ac:dyDescent="0.25">
      <c r="A790" s="9">
        <v>43271</v>
      </c>
      <c r="B790" s="10" t="s">
        <v>153</v>
      </c>
      <c r="C790" s="17">
        <v>8400</v>
      </c>
      <c r="D790" s="11" t="e">
        <f>VLOOKUP(B790,#REF!,7,FALSE)</f>
        <v>#REF!</v>
      </c>
      <c r="E790" s="10">
        <f>8.0459/12</f>
        <v>0.6704916666666666</v>
      </c>
      <c r="F790" s="10"/>
      <c r="G790" s="10"/>
      <c r="H790" s="10"/>
      <c r="I790" s="11" t="e">
        <f>+VLOOKUP(B790,#REF!,7,FALSE)</f>
        <v>#REF!</v>
      </c>
      <c r="J790" s="12" t="str">
        <f t="shared" si="36"/>
        <v/>
      </c>
      <c r="K790" s="12" t="str">
        <f t="shared" si="37"/>
        <v/>
      </c>
      <c r="L790" s="12" t="e">
        <f t="shared" si="38"/>
        <v>#VALUE!</v>
      </c>
    </row>
    <row r="791" spans="1:12" ht="24" customHeight="1" x14ac:dyDescent="0.25">
      <c r="A791" s="9">
        <v>43271</v>
      </c>
      <c r="B791" s="10" t="s">
        <v>183</v>
      </c>
      <c r="C791" s="17">
        <v>2142</v>
      </c>
      <c r="D791" s="11" t="e">
        <f>VLOOKUP(B791,#REF!,7,FALSE)</f>
        <v>#REF!</v>
      </c>
      <c r="E791" s="10">
        <f>13.8651/6</f>
        <v>2.3108499999999998</v>
      </c>
      <c r="F791" s="10"/>
      <c r="G791" s="10"/>
      <c r="H791" s="10"/>
      <c r="I791" s="11" t="e">
        <f>+VLOOKUP(B791,#REF!,7,FALSE)</f>
        <v>#REF!</v>
      </c>
      <c r="J791" s="12" t="str">
        <f t="shared" si="36"/>
        <v/>
      </c>
      <c r="K791" s="12" t="str">
        <f t="shared" si="37"/>
        <v/>
      </c>
      <c r="L791" s="12" t="e">
        <f t="shared" si="38"/>
        <v>#VALUE!</v>
      </c>
    </row>
    <row r="792" spans="1:12" ht="24" customHeight="1" x14ac:dyDescent="0.25">
      <c r="A792" s="9">
        <v>43271</v>
      </c>
      <c r="B792" s="10" t="s">
        <v>184</v>
      </c>
      <c r="C792" s="17">
        <v>1548</v>
      </c>
      <c r="D792" s="11" t="e">
        <f>VLOOKUP(B792,#REF!,7,FALSE)</f>
        <v>#REF!</v>
      </c>
      <c r="E792" s="10">
        <f>12.0646/6</f>
        <v>2.0107666666666666</v>
      </c>
      <c r="F792" s="10"/>
      <c r="G792" s="10"/>
      <c r="H792" s="10"/>
      <c r="I792" s="11" t="e">
        <f>+VLOOKUP(B792,#REF!,7,FALSE)</f>
        <v>#REF!</v>
      </c>
      <c r="J792" s="12" t="str">
        <f t="shared" si="36"/>
        <v/>
      </c>
      <c r="K792" s="12" t="str">
        <f t="shared" si="37"/>
        <v/>
      </c>
      <c r="L792" s="12" t="e">
        <f t="shared" si="38"/>
        <v>#VALUE!</v>
      </c>
    </row>
    <row r="793" spans="1:12" ht="24" customHeight="1" x14ac:dyDescent="0.25">
      <c r="A793" s="9">
        <v>43271</v>
      </c>
      <c r="B793" s="10" t="s">
        <v>200</v>
      </c>
      <c r="C793" s="17">
        <v>10410</v>
      </c>
      <c r="D793" s="11" t="e">
        <f>VLOOKUP(B793,#REF!,7,FALSE)</f>
        <v>#REF!</v>
      </c>
      <c r="E793" s="10">
        <v>2.7902</v>
      </c>
      <c r="F793" s="10"/>
      <c r="G793" s="10"/>
      <c r="H793" s="10"/>
      <c r="I793" s="11" t="e">
        <f>+VLOOKUP(B793,#REF!,7,FALSE)</f>
        <v>#REF!</v>
      </c>
      <c r="J793" s="12" t="str">
        <f t="shared" si="36"/>
        <v/>
      </c>
      <c r="K793" s="12" t="str">
        <f t="shared" si="37"/>
        <v/>
      </c>
      <c r="L793" s="12" t="e">
        <f t="shared" si="38"/>
        <v>#VALUE!</v>
      </c>
    </row>
    <row r="794" spans="1:12" ht="24" customHeight="1" x14ac:dyDescent="0.25">
      <c r="A794" s="9">
        <v>43271</v>
      </c>
      <c r="B794" s="10" t="s">
        <v>424</v>
      </c>
      <c r="C794" s="17">
        <v>91</v>
      </c>
      <c r="D794" s="11" t="e">
        <f>VLOOKUP(B794,#REF!,7,FALSE)</f>
        <v>#REF!</v>
      </c>
      <c r="E794" s="10">
        <v>2.9327000000000001</v>
      </c>
      <c r="F794" s="10"/>
      <c r="G794" s="10"/>
      <c r="H794" s="10"/>
      <c r="I794" s="11" t="e">
        <f>+VLOOKUP(B794,#REF!,7,FALSE)</f>
        <v>#REF!</v>
      </c>
      <c r="J794" s="12" t="str">
        <f t="shared" si="36"/>
        <v/>
      </c>
      <c r="K794" s="12" t="str">
        <f t="shared" si="37"/>
        <v/>
      </c>
      <c r="L794" s="12" t="e">
        <f t="shared" si="38"/>
        <v>#VALUE!</v>
      </c>
    </row>
    <row r="795" spans="1:12" ht="24" customHeight="1" x14ac:dyDescent="0.25">
      <c r="A795" s="9">
        <v>43272</v>
      </c>
      <c r="B795" s="10" t="s">
        <v>13</v>
      </c>
      <c r="C795" s="17">
        <v>918</v>
      </c>
      <c r="D795" s="11" t="e">
        <f>VLOOKUP(B795,#REF!,7,FALSE)</f>
        <v>#REF!</v>
      </c>
      <c r="E795" s="10">
        <v>2.6993</v>
      </c>
      <c r="F795" s="10"/>
      <c r="G795" s="10"/>
      <c r="H795" s="10"/>
      <c r="I795" s="11" t="e">
        <f>+VLOOKUP(B795,#REF!,7,FALSE)</f>
        <v>#REF!</v>
      </c>
      <c r="J795" s="12" t="str">
        <f t="shared" si="36"/>
        <v/>
      </c>
      <c r="K795" s="12" t="str">
        <f t="shared" si="37"/>
        <v/>
      </c>
      <c r="L795" s="12" t="e">
        <f t="shared" si="38"/>
        <v>#VALUE!</v>
      </c>
    </row>
    <row r="796" spans="1:12" ht="24" customHeight="1" x14ac:dyDescent="0.25">
      <c r="A796" s="9">
        <v>43272</v>
      </c>
      <c r="B796" s="10" t="s">
        <v>86</v>
      </c>
      <c r="C796" s="17">
        <v>1584</v>
      </c>
      <c r="D796" s="11" t="e">
        <f>VLOOKUP(B796,#REF!,7,FALSE)</f>
        <v>#REF!</v>
      </c>
      <c r="E796" s="10">
        <v>3.9649000000000001</v>
      </c>
      <c r="F796" s="10"/>
      <c r="G796" s="10"/>
      <c r="H796" s="10"/>
      <c r="I796" s="11" t="e">
        <f>+VLOOKUP(B796,#REF!,7,FALSE)</f>
        <v>#REF!</v>
      </c>
      <c r="J796" s="12" t="str">
        <f t="shared" si="36"/>
        <v/>
      </c>
      <c r="K796" s="12" t="str">
        <f t="shared" si="37"/>
        <v/>
      </c>
      <c r="L796" s="12" t="e">
        <f t="shared" si="38"/>
        <v>#VALUE!</v>
      </c>
    </row>
    <row r="797" spans="1:12" ht="24" customHeight="1" x14ac:dyDescent="0.25">
      <c r="A797" s="9">
        <v>43272</v>
      </c>
      <c r="B797" s="10" t="s">
        <v>114</v>
      </c>
      <c r="C797" s="17">
        <v>2862</v>
      </c>
      <c r="D797" s="11" t="e">
        <f>VLOOKUP(B797,#REF!,7,FALSE)</f>
        <v>#REF!</v>
      </c>
      <c r="E797" s="10">
        <v>2.1968000000000001</v>
      </c>
      <c r="F797" s="10"/>
      <c r="G797" s="10"/>
      <c r="H797" s="10"/>
      <c r="I797" s="11" t="e">
        <f>+VLOOKUP(B797,#REF!,7,FALSE)</f>
        <v>#REF!</v>
      </c>
      <c r="J797" s="12" t="str">
        <f t="shared" si="36"/>
        <v/>
      </c>
      <c r="K797" s="12" t="str">
        <f t="shared" si="37"/>
        <v/>
      </c>
      <c r="L797" s="12" t="e">
        <f t="shared" si="38"/>
        <v>#VALUE!</v>
      </c>
    </row>
    <row r="798" spans="1:12" ht="24" customHeight="1" x14ac:dyDescent="0.25">
      <c r="A798" s="9">
        <v>43272</v>
      </c>
      <c r="B798" s="10" t="s">
        <v>153</v>
      </c>
      <c r="C798" s="17">
        <v>5724</v>
      </c>
      <c r="D798" s="11" t="e">
        <f>VLOOKUP(B798,#REF!,7,FALSE)</f>
        <v>#REF!</v>
      </c>
      <c r="E798" s="10">
        <f>8.8698/12</f>
        <v>0.73914999999999997</v>
      </c>
      <c r="F798" s="10"/>
      <c r="G798" s="10"/>
      <c r="H798" s="10"/>
      <c r="I798" s="11" t="e">
        <f>+VLOOKUP(B798,#REF!,7,FALSE)</f>
        <v>#REF!</v>
      </c>
      <c r="J798" s="12" t="str">
        <f t="shared" si="36"/>
        <v/>
      </c>
      <c r="K798" s="12" t="str">
        <f t="shared" si="37"/>
        <v/>
      </c>
      <c r="L798" s="12" t="e">
        <f t="shared" si="38"/>
        <v>#VALUE!</v>
      </c>
    </row>
    <row r="799" spans="1:12" ht="24" customHeight="1" x14ac:dyDescent="0.25">
      <c r="A799" s="9">
        <v>43272</v>
      </c>
      <c r="B799" s="10" t="s">
        <v>184</v>
      </c>
      <c r="C799" s="17">
        <v>3210</v>
      </c>
      <c r="D799" s="11" t="e">
        <f>VLOOKUP(B799,#REF!,7,FALSE)</f>
        <v>#REF!</v>
      </c>
      <c r="E799" s="10">
        <f>12.3251/6</f>
        <v>2.0541833333333335</v>
      </c>
      <c r="F799" s="10"/>
      <c r="G799" s="10"/>
      <c r="H799" s="10"/>
      <c r="I799" s="11" t="e">
        <f>+VLOOKUP(B799,#REF!,7,FALSE)</f>
        <v>#REF!</v>
      </c>
      <c r="J799" s="12" t="str">
        <f t="shared" si="36"/>
        <v/>
      </c>
      <c r="K799" s="12" t="str">
        <f t="shared" si="37"/>
        <v/>
      </c>
      <c r="L799" s="12" t="e">
        <f t="shared" si="38"/>
        <v>#VALUE!</v>
      </c>
    </row>
    <row r="800" spans="1:12" ht="24" customHeight="1" x14ac:dyDescent="0.25">
      <c r="A800" s="9">
        <v>43272</v>
      </c>
      <c r="B800" s="10" t="s">
        <v>200</v>
      </c>
      <c r="C800" s="17">
        <v>10158</v>
      </c>
      <c r="D800" s="11" t="e">
        <f>VLOOKUP(B800,#REF!,7,FALSE)</f>
        <v>#REF!</v>
      </c>
      <c r="E800" s="10">
        <v>2.6787999999999998</v>
      </c>
      <c r="F800" s="10"/>
      <c r="G800" s="10"/>
      <c r="H800" s="10"/>
      <c r="I800" s="11" t="e">
        <f>+VLOOKUP(B800,#REF!,7,FALSE)</f>
        <v>#REF!</v>
      </c>
      <c r="J800" s="12" t="str">
        <f t="shared" si="36"/>
        <v/>
      </c>
      <c r="K800" s="12" t="str">
        <f t="shared" si="37"/>
        <v/>
      </c>
      <c r="L800" s="12" t="e">
        <f t="shared" si="38"/>
        <v>#VALUE!</v>
      </c>
    </row>
    <row r="801" spans="1:12" ht="24" customHeight="1" x14ac:dyDescent="0.25">
      <c r="A801" s="9">
        <v>43272</v>
      </c>
      <c r="B801" s="10" t="s">
        <v>230</v>
      </c>
      <c r="C801" s="17">
        <v>15498</v>
      </c>
      <c r="D801" s="11" t="e">
        <f>VLOOKUP(B801,#REF!,7,FALSE)</f>
        <v>#REF!</v>
      </c>
      <c r="E801" s="10">
        <f>3.2372/6</f>
        <v>0.53953333333333331</v>
      </c>
      <c r="F801" s="10"/>
      <c r="G801" s="10"/>
      <c r="H801" s="10"/>
      <c r="I801" s="11" t="e">
        <f>+VLOOKUP(B801,#REF!,7,FALSE)</f>
        <v>#REF!</v>
      </c>
      <c r="J801" s="12" t="str">
        <f t="shared" si="36"/>
        <v/>
      </c>
      <c r="K801" s="12" t="str">
        <f t="shared" si="37"/>
        <v/>
      </c>
      <c r="L801" s="12" t="e">
        <f t="shared" si="38"/>
        <v>#VALUE!</v>
      </c>
    </row>
    <row r="802" spans="1:12" ht="24" customHeight="1" x14ac:dyDescent="0.25">
      <c r="A802" s="9">
        <v>43272</v>
      </c>
      <c r="B802" s="10" t="s">
        <v>209</v>
      </c>
      <c r="C802" s="17">
        <v>300</v>
      </c>
      <c r="D802" s="11" t="e">
        <f>VLOOKUP(B802,#REF!,7,FALSE)</f>
        <v>#REF!</v>
      </c>
      <c r="E802" s="10">
        <v>0.81879999999999997</v>
      </c>
      <c r="F802" s="10"/>
      <c r="G802" s="10"/>
      <c r="H802" s="10"/>
      <c r="I802" s="11" t="e">
        <f>+VLOOKUP(B802,#REF!,7,FALSE)</f>
        <v>#REF!</v>
      </c>
      <c r="J802" s="12" t="str">
        <f t="shared" si="36"/>
        <v/>
      </c>
      <c r="K802" s="12" t="str">
        <f t="shared" si="37"/>
        <v/>
      </c>
      <c r="L802" s="12" t="e">
        <f t="shared" si="38"/>
        <v>#VALUE!</v>
      </c>
    </row>
    <row r="803" spans="1:12" ht="24" customHeight="1" x14ac:dyDescent="0.25">
      <c r="A803" s="9">
        <v>43272</v>
      </c>
      <c r="B803" s="10" t="s">
        <v>450</v>
      </c>
      <c r="C803" s="17">
        <v>95</v>
      </c>
      <c r="D803" s="11" t="e">
        <f>VLOOKUP(B803,#REF!,7,FALSE)/6</f>
        <v>#REF!</v>
      </c>
      <c r="E803" s="10">
        <v>0.96389999999999998</v>
      </c>
      <c r="F803" s="10"/>
      <c r="G803" s="10"/>
      <c r="H803" s="10"/>
      <c r="I803" s="11" t="e">
        <f>+VLOOKUP(B803,#REF!,7,FALSE)</f>
        <v>#REF!</v>
      </c>
      <c r="J803" s="12" t="str">
        <f t="shared" si="36"/>
        <v/>
      </c>
      <c r="K803" s="12" t="str">
        <f t="shared" si="37"/>
        <v/>
      </c>
      <c r="L803" s="12" t="e">
        <f t="shared" si="38"/>
        <v>#VALUE!</v>
      </c>
    </row>
    <row r="804" spans="1:12" ht="24" customHeight="1" x14ac:dyDescent="0.25">
      <c r="A804" s="9">
        <v>43273</v>
      </c>
      <c r="B804" s="10" t="s">
        <v>20</v>
      </c>
      <c r="C804" s="17">
        <v>186</v>
      </c>
      <c r="D804" s="11" t="e">
        <f>VLOOKUP(B804,#REF!,7,FALSE)</f>
        <v>#REF!</v>
      </c>
      <c r="E804" s="10">
        <v>2.4546000000000001</v>
      </c>
      <c r="F804" s="10"/>
      <c r="G804" s="10"/>
      <c r="H804" s="10"/>
      <c r="I804" s="11" t="e">
        <f>+VLOOKUP(B804,#REF!,7,FALSE)</f>
        <v>#REF!</v>
      </c>
      <c r="J804" s="12" t="str">
        <f t="shared" si="36"/>
        <v/>
      </c>
      <c r="K804" s="12" t="str">
        <f t="shared" si="37"/>
        <v/>
      </c>
      <c r="L804" s="12" t="e">
        <f t="shared" si="38"/>
        <v>#VALUE!</v>
      </c>
    </row>
    <row r="805" spans="1:12" ht="24" customHeight="1" x14ac:dyDescent="0.25">
      <c r="A805" s="9">
        <v>43273</v>
      </c>
      <c r="B805" s="10" t="s">
        <v>234</v>
      </c>
      <c r="C805" s="17">
        <v>348</v>
      </c>
      <c r="D805" s="11" t="e">
        <f>VLOOKUP(B805,#REF!,7,FALSE)</f>
        <v>#REF!</v>
      </c>
      <c r="E805" s="10">
        <v>2.6396000000000002</v>
      </c>
      <c r="F805" s="10"/>
      <c r="G805" s="10"/>
      <c r="H805" s="10"/>
      <c r="I805" s="11" t="e">
        <f>+VLOOKUP(B805,#REF!,7,FALSE)</f>
        <v>#REF!</v>
      </c>
      <c r="J805" s="12" t="str">
        <f t="shared" si="36"/>
        <v/>
      </c>
      <c r="K805" s="12" t="str">
        <f t="shared" si="37"/>
        <v/>
      </c>
      <c r="L805" s="12" t="e">
        <f t="shared" si="38"/>
        <v>#VALUE!</v>
      </c>
    </row>
    <row r="806" spans="1:12" ht="24" customHeight="1" x14ac:dyDescent="0.25">
      <c r="A806" s="9">
        <v>43273</v>
      </c>
      <c r="B806" s="10" t="s">
        <v>88</v>
      </c>
      <c r="C806" s="17">
        <v>2103</v>
      </c>
      <c r="D806" s="11" t="e">
        <f>VLOOKUP(B806,#REF!,7,FALSE)</f>
        <v>#REF!</v>
      </c>
      <c r="E806" s="10">
        <v>4.5766</v>
      </c>
      <c r="F806" s="10"/>
      <c r="G806" s="10"/>
      <c r="H806" s="10"/>
      <c r="I806" s="11" t="e">
        <f>+VLOOKUP(B806,#REF!,7,FALSE)</f>
        <v>#REF!</v>
      </c>
      <c r="J806" s="12" t="str">
        <f t="shared" si="36"/>
        <v/>
      </c>
      <c r="K806" s="12" t="str">
        <f t="shared" si="37"/>
        <v/>
      </c>
      <c r="L806" s="12" t="e">
        <f t="shared" si="38"/>
        <v>#VALUE!</v>
      </c>
    </row>
    <row r="807" spans="1:12" ht="24" customHeight="1" x14ac:dyDescent="0.25">
      <c r="A807" s="9">
        <v>43273</v>
      </c>
      <c r="B807" s="10" t="s">
        <v>93</v>
      </c>
      <c r="C807" s="17">
        <v>240</v>
      </c>
      <c r="D807" s="11" t="e">
        <f>VLOOKUP(B807,#REF!,7,FALSE)</f>
        <v>#REF!</v>
      </c>
      <c r="E807" s="10">
        <v>18.506900000000002</v>
      </c>
      <c r="F807" s="10"/>
      <c r="G807" s="10"/>
      <c r="H807" s="10"/>
      <c r="I807" s="11" t="e">
        <f>+VLOOKUP(B807,#REF!,7,FALSE)</f>
        <v>#REF!</v>
      </c>
      <c r="J807" s="12" t="str">
        <f t="shared" si="36"/>
        <v/>
      </c>
      <c r="K807" s="12" t="str">
        <f t="shared" si="37"/>
        <v/>
      </c>
      <c r="L807" s="12"/>
    </row>
    <row r="808" spans="1:12" ht="24" customHeight="1" x14ac:dyDescent="0.25">
      <c r="A808" s="9">
        <v>43273</v>
      </c>
      <c r="B808" s="10" t="s">
        <v>201</v>
      </c>
      <c r="C808" s="17">
        <v>7626</v>
      </c>
      <c r="D808" s="11" t="e">
        <f>VLOOKUP(B808,#REF!,7,FALSE)</f>
        <v>#REF!</v>
      </c>
      <c r="E808" s="10">
        <v>2.5855999999999999</v>
      </c>
      <c r="F808" s="10"/>
      <c r="G808" s="10"/>
      <c r="H808" s="10"/>
      <c r="I808" s="11" t="e">
        <f>+VLOOKUP(B808,#REF!,7,FALSE)</f>
        <v>#REF!</v>
      </c>
      <c r="J808" s="12" t="str">
        <f t="shared" si="36"/>
        <v/>
      </c>
      <c r="K808" s="12" t="str">
        <f t="shared" si="37"/>
        <v/>
      </c>
      <c r="L808" s="12" t="e">
        <f>J808-K808</f>
        <v>#VALUE!</v>
      </c>
    </row>
    <row r="809" spans="1:12" ht="24" customHeight="1" x14ac:dyDescent="0.25">
      <c r="A809" s="9">
        <v>43273</v>
      </c>
      <c r="B809" s="10" t="s">
        <v>440</v>
      </c>
      <c r="C809" s="17">
        <v>16870</v>
      </c>
      <c r="D809" s="11" t="e">
        <f>VLOOKUP(B809,#REF!,7,FALSE)</f>
        <v>#REF!</v>
      </c>
      <c r="E809" s="10">
        <v>0.64849999999999997</v>
      </c>
      <c r="F809" s="10"/>
      <c r="G809" s="10"/>
      <c r="H809" s="10"/>
      <c r="I809" s="11" t="e">
        <f>+VLOOKUP(B809,#REF!,7,FALSE)</f>
        <v>#REF!</v>
      </c>
      <c r="J809" s="12" t="str">
        <f t="shared" si="36"/>
        <v/>
      </c>
      <c r="K809" s="12" t="str">
        <f t="shared" si="37"/>
        <v/>
      </c>
      <c r="L809" s="12" t="e">
        <f>J809-K809</f>
        <v>#VALUE!</v>
      </c>
    </row>
    <row r="810" spans="1:12" ht="24" customHeight="1" x14ac:dyDescent="0.25">
      <c r="A810" s="9">
        <v>43273</v>
      </c>
      <c r="B810" s="10" t="s">
        <v>465</v>
      </c>
      <c r="C810" s="17">
        <v>2040</v>
      </c>
      <c r="D810" s="11" t="e">
        <f>VLOOKUP(B810,#REF!,7,FALSE)</f>
        <v>#REF!</v>
      </c>
      <c r="E810" s="10">
        <v>2.3780000000000001</v>
      </c>
      <c r="F810" s="10"/>
      <c r="G810" s="10"/>
      <c r="H810" s="10"/>
      <c r="I810" s="11" t="e">
        <f>+VLOOKUP(B810,#REF!,7,FALSE)</f>
        <v>#REF!</v>
      </c>
      <c r="J810" s="12" t="str">
        <f t="shared" si="36"/>
        <v/>
      </c>
      <c r="K810" s="12" t="str">
        <f t="shared" si="37"/>
        <v/>
      </c>
      <c r="L810" s="12" t="e">
        <f>J810-K810</f>
        <v>#VALUE!</v>
      </c>
    </row>
    <row r="811" spans="1:12" ht="24" customHeight="1" x14ac:dyDescent="0.25">
      <c r="A811" s="9">
        <v>43273</v>
      </c>
      <c r="B811" s="10" t="s">
        <v>466</v>
      </c>
      <c r="C811" s="17">
        <v>3960</v>
      </c>
      <c r="D811" s="11" t="e">
        <f>VLOOKUP(B811,#REF!,7,FALSE)</f>
        <v>#REF!</v>
      </c>
      <c r="E811" s="10">
        <v>2.2789999999999999</v>
      </c>
      <c r="F811" s="10"/>
      <c r="G811" s="10"/>
      <c r="H811" s="10"/>
      <c r="I811" s="11" t="e">
        <f>+VLOOKUP(B811,#REF!,7,FALSE)</f>
        <v>#REF!</v>
      </c>
      <c r="J811" s="12" t="str">
        <f t="shared" si="36"/>
        <v/>
      </c>
      <c r="K811" s="12" t="str">
        <f t="shared" si="37"/>
        <v/>
      </c>
      <c r="L811" s="12" t="e">
        <f>J811-K811</f>
        <v>#VALUE!</v>
      </c>
    </row>
    <row r="812" spans="1:12" ht="24" customHeight="1" x14ac:dyDescent="0.25">
      <c r="A812" s="9">
        <v>43276</v>
      </c>
      <c r="B812" s="10" t="s">
        <v>90</v>
      </c>
      <c r="C812" s="17">
        <v>11736</v>
      </c>
      <c r="D812" s="11" t="e">
        <f>VLOOKUP(B812,#REF!,7,FALSE)</f>
        <v>#REF!</v>
      </c>
      <c r="E812" s="10">
        <f>8.7767/12</f>
        <v>0.73139166666666666</v>
      </c>
      <c r="F812" s="10"/>
      <c r="G812" s="10"/>
      <c r="H812" s="10"/>
      <c r="I812" s="11" t="e">
        <f>+VLOOKUP(B812,#REF!,7,FALSE)</f>
        <v>#REF!</v>
      </c>
      <c r="J812" s="12" t="str">
        <f t="shared" si="36"/>
        <v/>
      </c>
      <c r="K812" s="12" t="str">
        <f t="shared" si="37"/>
        <v/>
      </c>
      <c r="L812" s="12" t="e">
        <f>J812-K812</f>
        <v>#VALUE!</v>
      </c>
    </row>
    <row r="813" spans="1:12" ht="24" customHeight="1" x14ac:dyDescent="0.25">
      <c r="A813" s="9">
        <v>43276</v>
      </c>
      <c r="B813" s="10" t="s">
        <v>93</v>
      </c>
      <c r="C813" s="17">
        <v>162</v>
      </c>
      <c r="D813" s="11" t="e">
        <f>VLOOKUP(B813,#REF!,7,FALSE)</f>
        <v>#REF!</v>
      </c>
      <c r="E813" s="10">
        <v>18.3965</v>
      </c>
      <c r="F813" s="10"/>
      <c r="G813" s="10"/>
      <c r="H813" s="10"/>
      <c r="I813" s="11" t="e">
        <f>+VLOOKUP(B813,#REF!,7,FALSE)</f>
        <v>#REF!</v>
      </c>
      <c r="J813" s="12" t="str">
        <f t="shared" si="36"/>
        <v/>
      </c>
      <c r="K813" s="12" t="str">
        <f t="shared" si="37"/>
        <v/>
      </c>
      <c r="L813" s="12"/>
    </row>
    <row r="814" spans="1:12" ht="24" customHeight="1" x14ac:dyDescent="0.25">
      <c r="A814" s="9">
        <v>43276</v>
      </c>
      <c r="B814" s="10" t="s">
        <v>440</v>
      </c>
      <c r="C814" s="17">
        <v>20570</v>
      </c>
      <c r="D814" s="11" t="e">
        <f>VLOOKUP(B814,#REF!,7,FALSE)</f>
        <v>#REF!</v>
      </c>
      <c r="E814" s="10">
        <v>0.59079999999999999</v>
      </c>
      <c r="F814" s="10"/>
      <c r="G814" s="10"/>
      <c r="H814" s="10"/>
      <c r="I814" s="11" t="e">
        <f>+VLOOKUP(B814,#REF!,7,FALSE)</f>
        <v>#REF!</v>
      </c>
      <c r="J814" s="12" t="str">
        <f t="shared" si="36"/>
        <v/>
      </c>
      <c r="K814" s="12" t="str">
        <f t="shared" si="37"/>
        <v/>
      </c>
      <c r="L814" s="12" t="e">
        <f t="shared" ref="L814:L877" si="39">J814-K814</f>
        <v>#VALUE!</v>
      </c>
    </row>
    <row r="815" spans="1:12" ht="24" customHeight="1" x14ac:dyDescent="0.25">
      <c r="A815" s="9">
        <v>43276</v>
      </c>
      <c r="B815" s="10" t="s">
        <v>465</v>
      </c>
      <c r="C815" s="17">
        <v>666</v>
      </c>
      <c r="D815" s="11" t="e">
        <f>VLOOKUP(B815,#REF!,7,FALSE)</f>
        <v>#REF!</v>
      </c>
      <c r="E815" s="10">
        <v>2.6608999999999998</v>
      </c>
      <c r="F815" s="10"/>
      <c r="G815" s="10"/>
      <c r="H815" s="10"/>
      <c r="I815" s="11" t="e">
        <f>+VLOOKUP(B815,#REF!,7,FALSE)</f>
        <v>#REF!</v>
      </c>
      <c r="J815" s="12" t="str">
        <f t="shared" si="36"/>
        <v/>
      </c>
      <c r="K815" s="12" t="str">
        <f t="shared" si="37"/>
        <v/>
      </c>
      <c r="L815" s="12" t="e">
        <f t="shared" si="39"/>
        <v>#VALUE!</v>
      </c>
    </row>
    <row r="816" spans="1:12" ht="24" customHeight="1" x14ac:dyDescent="0.25">
      <c r="A816" s="9">
        <v>43276</v>
      </c>
      <c r="B816" s="10" t="s">
        <v>467</v>
      </c>
      <c r="C816" s="17">
        <v>1728</v>
      </c>
      <c r="D816" s="11" t="e">
        <f>VLOOKUP(B816,#REF!,7,FALSE)</f>
        <v>#REF!</v>
      </c>
      <c r="E816" s="10">
        <v>2.1652</v>
      </c>
      <c r="F816" s="10"/>
      <c r="G816" s="10"/>
      <c r="H816" s="10"/>
      <c r="I816" s="11" t="e">
        <f>+VLOOKUP(B816,#REF!,7,FALSE)</f>
        <v>#REF!</v>
      </c>
      <c r="J816" s="12" t="str">
        <f t="shared" si="36"/>
        <v/>
      </c>
      <c r="K816" s="12" t="str">
        <f t="shared" si="37"/>
        <v/>
      </c>
      <c r="L816" s="12" t="e">
        <f t="shared" si="39"/>
        <v>#VALUE!</v>
      </c>
    </row>
    <row r="817" spans="1:12" ht="24" customHeight="1" x14ac:dyDescent="0.25">
      <c r="A817" s="9">
        <v>43276</v>
      </c>
      <c r="B817" s="10" t="s">
        <v>468</v>
      </c>
      <c r="C817" s="17">
        <v>2166</v>
      </c>
      <c r="D817" s="11" t="e">
        <f>VLOOKUP(B817,#REF!,7,FALSE)</f>
        <v>#REF!</v>
      </c>
      <c r="E817" s="10">
        <v>2.1977000000000002</v>
      </c>
      <c r="F817" s="10"/>
      <c r="G817" s="10"/>
      <c r="H817" s="10"/>
      <c r="I817" s="11" t="e">
        <f>+VLOOKUP(B817,#REF!,7,FALSE)</f>
        <v>#REF!</v>
      </c>
      <c r="J817" s="12" t="str">
        <f t="shared" si="36"/>
        <v/>
      </c>
      <c r="K817" s="12" t="str">
        <f t="shared" si="37"/>
        <v/>
      </c>
      <c r="L817" s="12" t="e">
        <f t="shared" si="39"/>
        <v>#VALUE!</v>
      </c>
    </row>
    <row r="818" spans="1:12" ht="24" customHeight="1" x14ac:dyDescent="0.25">
      <c r="A818" s="9">
        <v>43276</v>
      </c>
      <c r="B818" s="10" t="s">
        <v>469</v>
      </c>
      <c r="C818" s="17">
        <v>2160</v>
      </c>
      <c r="D818" s="11" t="e">
        <f>VLOOKUP(B818,#REF!,7,FALSE)</f>
        <v>#REF!</v>
      </c>
      <c r="E818" s="10">
        <v>2.0078</v>
      </c>
      <c r="F818" s="10"/>
      <c r="G818" s="10"/>
      <c r="H818" s="10"/>
      <c r="I818" s="11" t="e">
        <f>+VLOOKUP(B818,#REF!,7,FALSE)</f>
        <v>#REF!</v>
      </c>
      <c r="J818" s="12" t="str">
        <f t="shared" si="36"/>
        <v/>
      </c>
      <c r="K818" s="12" t="str">
        <f t="shared" si="37"/>
        <v/>
      </c>
      <c r="L818" s="12" t="e">
        <f t="shared" si="39"/>
        <v>#VALUE!</v>
      </c>
    </row>
    <row r="819" spans="1:12" ht="24" customHeight="1" x14ac:dyDescent="0.25">
      <c r="A819" s="9">
        <v>43276</v>
      </c>
      <c r="B819" s="10" t="s">
        <v>226</v>
      </c>
      <c r="C819" s="17">
        <f>36960/6</f>
        <v>6160</v>
      </c>
      <c r="D819" s="11" t="e">
        <f>VLOOKUP(B819,#REF!,7,FALSE)</f>
        <v>#REF!</v>
      </c>
      <c r="E819" s="10">
        <v>1.6547000000000001</v>
      </c>
      <c r="F819" s="10"/>
      <c r="G819" s="10"/>
      <c r="H819" s="10"/>
      <c r="I819" s="11" t="e">
        <f>+VLOOKUP(B819,#REF!,7,FALSE)</f>
        <v>#REF!</v>
      </c>
      <c r="J819" s="12" t="str">
        <f t="shared" si="36"/>
        <v/>
      </c>
      <c r="K819" s="12" t="str">
        <f t="shared" si="37"/>
        <v/>
      </c>
      <c r="L819" s="12" t="e">
        <f t="shared" si="39"/>
        <v>#VALUE!</v>
      </c>
    </row>
    <row r="820" spans="1:12" ht="24" customHeight="1" x14ac:dyDescent="0.25">
      <c r="A820" s="9">
        <v>43277</v>
      </c>
      <c r="B820" s="10" t="s">
        <v>16</v>
      </c>
      <c r="C820" s="17">
        <v>846</v>
      </c>
      <c r="D820" s="11" t="e">
        <f>VLOOKUP(B820,#REF!,7,FALSE)</f>
        <v>#REF!</v>
      </c>
      <c r="E820" s="10">
        <v>4.0462999999999996</v>
      </c>
      <c r="F820" s="10"/>
      <c r="G820" s="10"/>
      <c r="H820" s="10"/>
      <c r="I820" s="11" t="e">
        <f>+VLOOKUP(B820,#REF!,7,FALSE)</f>
        <v>#REF!</v>
      </c>
      <c r="J820" s="12" t="str">
        <f t="shared" si="36"/>
        <v/>
      </c>
      <c r="K820" s="12" t="str">
        <f t="shared" si="37"/>
        <v/>
      </c>
      <c r="L820" s="12" t="e">
        <f t="shared" si="39"/>
        <v>#VALUE!</v>
      </c>
    </row>
    <row r="821" spans="1:12" ht="24" customHeight="1" x14ac:dyDescent="0.25">
      <c r="A821" s="9">
        <v>43277</v>
      </c>
      <c r="B821" s="10" t="s">
        <v>130</v>
      </c>
      <c r="C821" s="17">
        <v>181</v>
      </c>
      <c r="D821" s="11" t="e">
        <f>VLOOKUP(B821,#REF!,7,FALSE)</f>
        <v>#REF!</v>
      </c>
      <c r="E821" s="10">
        <v>22.461400000000001</v>
      </c>
      <c r="F821" s="10"/>
      <c r="G821" s="10"/>
      <c r="H821" s="10"/>
      <c r="I821" s="11" t="e">
        <f>+VLOOKUP(B821,#REF!,7,FALSE)</f>
        <v>#REF!</v>
      </c>
      <c r="J821" s="12" t="str">
        <f t="shared" si="36"/>
        <v/>
      </c>
      <c r="K821" s="12" t="str">
        <f t="shared" si="37"/>
        <v/>
      </c>
      <c r="L821" s="12" t="e">
        <f t="shared" si="39"/>
        <v>#VALUE!</v>
      </c>
    </row>
    <row r="822" spans="1:12" ht="24" customHeight="1" x14ac:dyDescent="0.25">
      <c r="A822" s="9">
        <v>43277</v>
      </c>
      <c r="B822" s="10" t="s">
        <v>150</v>
      </c>
      <c r="C822" s="17">
        <v>9966</v>
      </c>
      <c r="D822" s="11" t="e">
        <f>VLOOKUP(B822,#REF!,7,FALSE)</f>
        <v>#REF!</v>
      </c>
      <c r="E822" s="10">
        <f>4.9004/6</f>
        <v>0.81673333333333342</v>
      </c>
      <c r="F822" s="10"/>
      <c r="G822" s="10"/>
      <c r="H822" s="10"/>
      <c r="I822" s="11" t="e">
        <f>+VLOOKUP(B822,#REF!,7,FALSE)</f>
        <v>#REF!</v>
      </c>
      <c r="J822" s="12" t="str">
        <f t="shared" si="36"/>
        <v/>
      </c>
      <c r="K822" s="12" t="str">
        <f t="shared" si="37"/>
        <v/>
      </c>
      <c r="L822" s="12" t="e">
        <f t="shared" si="39"/>
        <v>#VALUE!</v>
      </c>
    </row>
    <row r="823" spans="1:12" ht="24" customHeight="1" x14ac:dyDescent="0.25">
      <c r="A823" s="9">
        <v>43277</v>
      </c>
      <c r="B823" s="10" t="s">
        <v>151</v>
      </c>
      <c r="C823" s="17">
        <v>2034</v>
      </c>
      <c r="D823" s="11" t="e">
        <f>VLOOKUP(B823,#REF!,7,FALSE)</f>
        <v>#REF!</v>
      </c>
      <c r="E823" s="10">
        <v>3.2153999999999998</v>
      </c>
      <c r="F823" s="10"/>
      <c r="G823" s="10"/>
      <c r="H823" s="10"/>
      <c r="I823" s="11" t="e">
        <f>+VLOOKUP(B823,#REF!,7,FALSE)</f>
        <v>#REF!</v>
      </c>
      <c r="J823" s="12" t="str">
        <f t="shared" si="36"/>
        <v/>
      </c>
      <c r="K823" s="12" t="str">
        <f t="shared" si="37"/>
        <v/>
      </c>
      <c r="L823" s="12" t="e">
        <f t="shared" si="39"/>
        <v>#VALUE!</v>
      </c>
    </row>
    <row r="824" spans="1:12" ht="24" customHeight="1" x14ac:dyDescent="0.25">
      <c r="A824" s="9">
        <v>43277</v>
      </c>
      <c r="B824" s="10" t="s">
        <v>158</v>
      </c>
      <c r="C824" s="17">
        <v>2520</v>
      </c>
      <c r="D824" s="11" t="e">
        <f>VLOOKUP(B824,#REF!,7,FALSE)</f>
        <v>#REF!</v>
      </c>
      <c r="E824" s="10">
        <f>11.2863/12</f>
        <v>0.94052500000000006</v>
      </c>
      <c r="F824" s="10"/>
      <c r="G824" s="10"/>
      <c r="H824" s="10"/>
      <c r="I824" s="11" t="e">
        <f>+VLOOKUP(B824,#REF!,7,FALSE)</f>
        <v>#REF!</v>
      </c>
      <c r="J824" s="12" t="str">
        <f t="shared" si="36"/>
        <v/>
      </c>
      <c r="K824" s="12" t="str">
        <f t="shared" si="37"/>
        <v/>
      </c>
      <c r="L824" s="12" t="e">
        <f t="shared" si="39"/>
        <v>#VALUE!</v>
      </c>
    </row>
    <row r="825" spans="1:12" ht="24" customHeight="1" x14ac:dyDescent="0.25">
      <c r="A825" s="9">
        <v>43277</v>
      </c>
      <c r="B825" s="10" t="s">
        <v>440</v>
      </c>
      <c r="C825" s="17">
        <v>20740</v>
      </c>
      <c r="D825" s="11" t="e">
        <f>VLOOKUP(B825,#REF!,7,FALSE)</f>
        <v>#REF!</v>
      </c>
      <c r="E825" s="10">
        <v>0.59589999999999999</v>
      </c>
      <c r="F825" s="10"/>
      <c r="G825" s="10"/>
      <c r="H825" s="10"/>
      <c r="I825" s="11" t="e">
        <f>+VLOOKUP(B825,#REF!,7,FALSE)</f>
        <v>#REF!</v>
      </c>
      <c r="J825" s="12" t="str">
        <f t="shared" si="36"/>
        <v/>
      </c>
      <c r="K825" s="12" t="str">
        <f t="shared" si="37"/>
        <v/>
      </c>
      <c r="L825" s="12" t="e">
        <f t="shared" si="39"/>
        <v>#VALUE!</v>
      </c>
    </row>
    <row r="826" spans="1:12" ht="24" customHeight="1" x14ac:dyDescent="0.25">
      <c r="A826" s="9">
        <v>43277</v>
      </c>
      <c r="B826" s="10" t="s">
        <v>431</v>
      </c>
      <c r="C826" s="17">
        <v>3900</v>
      </c>
      <c r="D826" s="11" t="e">
        <f>VLOOKUP(B826,#REF!,7,FALSE)</f>
        <v>#REF!</v>
      </c>
      <c r="E826" s="10">
        <f>4.2874/4</f>
        <v>1.07185</v>
      </c>
      <c r="F826" s="10"/>
      <c r="G826" s="10"/>
      <c r="H826" s="10"/>
      <c r="I826" s="11" t="e">
        <f>+VLOOKUP(B826,#REF!,7,FALSE)</f>
        <v>#REF!</v>
      </c>
      <c r="J826" s="12" t="str">
        <f t="shared" si="36"/>
        <v/>
      </c>
      <c r="K826" s="12" t="str">
        <f t="shared" si="37"/>
        <v/>
      </c>
      <c r="L826" s="12" t="e">
        <f t="shared" si="39"/>
        <v>#VALUE!</v>
      </c>
    </row>
    <row r="827" spans="1:12" ht="24" customHeight="1" x14ac:dyDescent="0.25">
      <c r="A827" s="9">
        <v>43277</v>
      </c>
      <c r="B827" s="10" t="s">
        <v>457</v>
      </c>
      <c r="C827" s="17">
        <v>4470</v>
      </c>
      <c r="D827" s="11" t="e">
        <f>VLOOKUP(B827,#REF!,7,FALSE)</f>
        <v>#REF!</v>
      </c>
      <c r="E827" s="10">
        <f>19.1698/6</f>
        <v>3.1949666666666663</v>
      </c>
      <c r="F827" s="10"/>
      <c r="G827" s="10"/>
      <c r="H827" s="10"/>
      <c r="I827" s="11" t="e">
        <f>+VLOOKUP(B827,#REF!,7,FALSE)</f>
        <v>#REF!</v>
      </c>
      <c r="J827" s="12" t="str">
        <f t="shared" si="36"/>
        <v/>
      </c>
      <c r="K827" s="12" t="str">
        <f t="shared" si="37"/>
        <v/>
      </c>
      <c r="L827" s="12" t="e">
        <f t="shared" si="39"/>
        <v>#VALUE!</v>
      </c>
    </row>
    <row r="828" spans="1:12" ht="24" customHeight="1" x14ac:dyDescent="0.25">
      <c r="A828" s="9">
        <v>43277</v>
      </c>
      <c r="B828" s="10" t="s">
        <v>221</v>
      </c>
      <c r="C828" s="17">
        <v>1320</v>
      </c>
      <c r="D828" s="11" t="e">
        <f>VLOOKUP(B828,#REF!,7,FALSE)</f>
        <v>#REF!</v>
      </c>
      <c r="E828" s="10">
        <f>22.2307/6</f>
        <v>3.7051166666666666</v>
      </c>
      <c r="F828" s="10"/>
      <c r="G828" s="10"/>
      <c r="H828" s="10"/>
      <c r="I828" s="11" t="e">
        <f>+VLOOKUP(B828,#REF!,7,FALSE)</f>
        <v>#REF!</v>
      </c>
      <c r="J828" s="12" t="str">
        <f t="shared" si="36"/>
        <v/>
      </c>
      <c r="K828" s="12" t="str">
        <f t="shared" si="37"/>
        <v/>
      </c>
      <c r="L828" s="12" t="e">
        <f t="shared" si="39"/>
        <v>#VALUE!</v>
      </c>
    </row>
    <row r="829" spans="1:12" ht="24" customHeight="1" x14ac:dyDescent="0.25">
      <c r="A829" s="9">
        <v>43277</v>
      </c>
      <c r="B829" s="10" t="s">
        <v>452</v>
      </c>
      <c r="C829" s="17">
        <v>48</v>
      </c>
      <c r="D829" s="11" t="e">
        <f>VLOOKUP(B829,#REF!,7,FALSE)</f>
        <v>#REF!</v>
      </c>
      <c r="E829" s="10">
        <v>1.7007000000000001</v>
      </c>
      <c r="F829" s="10"/>
      <c r="G829" s="10"/>
      <c r="H829" s="10"/>
      <c r="I829" s="11" t="e">
        <f>+VLOOKUP(B829,#REF!,7,FALSE)</f>
        <v>#REF!</v>
      </c>
      <c r="J829" s="12" t="str">
        <f t="shared" si="36"/>
        <v/>
      </c>
      <c r="K829" s="12" t="str">
        <f t="shared" si="37"/>
        <v/>
      </c>
      <c r="L829" s="12" t="e">
        <f t="shared" si="39"/>
        <v>#VALUE!</v>
      </c>
    </row>
    <row r="830" spans="1:12" ht="24" customHeight="1" x14ac:dyDescent="0.25">
      <c r="A830" s="9">
        <v>43278</v>
      </c>
      <c r="B830" s="10" t="s">
        <v>81</v>
      </c>
      <c r="C830" s="17">
        <v>888</v>
      </c>
      <c r="D830" s="11" t="e">
        <f>VLOOKUP(B830,#REF!,7,FALSE)</f>
        <v>#REF!</v>
      </c>
      <c r="E830" s="10">
        <f>22.6014/8</f>
        <v>2.8251750000000002</v>
      </c>
      <c r="F830" s="10"/>
      <c r="G830" s="10"/>
      <c r="H830" s="10"/>
      <c r="I830" s="11" t="e">
        <f>+VLOOKUP(B830,#REF!,7,FALSE)</f>
        <v>#REF!</v>
      </c>
      <c r="J830" s="12" t="str">
        <f t="shared" si="36"/>
        <v/>
      </c>
      <c r="K830" s="12" t="str">
        <f t="shared" si="37"/>
        <v/>
      </c>
      <c r="L830" s="12" t="e">
        <f t="shared" si="39"/>
        <v>#VALUE!</v>
      </c>
    </row>
    <row r="831" spans="1:12" ht="24" customHeight="1" x14ac:dyDescent="0.25">
      <c r="A831" s="9">
        <v>43278</v>
      </c>
      <c r="B831" s="10" t="s">
        <v>93</v>
      </c>
      <c r="C831" s="17">
        <v>585</v>
      </c>
      <c r="D831" s="11" t="e">
        <f>VLOOKUP(B831,#REF!,7,FALSE)</f>
        <v>#REF!</v>
      </c>
      <c r="E831" s="10">
        <v>17.577200000000001</v>
      </c>
      <c r="F831" s="10"/>
      <c r="G831" s="10"/>
      <c r="H831" s="10"/>
      <c r="I831" s="11" t="e">
        <f>+VLOOKUP(B831,#REF!,7,FALSE)</f>
        <v>#REF!</v>
      </c>
      <c r="J831" s="12" t="str">
        <f t="shared" si="36"/>
        <v/>
      </c>
      <c r="K831" s="12" t="str">
        <f t="shared" si="37"/>
        <v/>
      </c>
      <c r="L831" s="12" t="e">
        <f t="shared" si="39"/>
        <v>#VALUE!</v>
      </c>
    </row>
    <row r="832" spans="1:12" ht="24" customHeight="1" x14ac:dyDescent="0.25">
      <c r="A832" s="9">
        <v>43278</v>
      </c>
      <c r="B832" s="10" t="s">
        <v>117</v>
      </c>
      <c r="C832" s="17">
        <f>11184/12</f>
        <v>932</v>
      </c>
      <c r="D832" s="11" t="e">
        <f>VLOOKUP(B832,#REF!,7,FALSE)</f>
        <v>#REF!</v>
      </c>
      <c r="E832" s="10">
        <v>3.5217999999999998</v>
      </c>
      <c r="F832" s="10"/>
      <c r="G832" s="10"/>
      <c r="H832" s="10"/>
      <c r="I832" s="11" t="e">
        <f>+VLOOKUP(B832,#REF!,7,FALSE)</f>
        <v>#REF!</v>
      </c>
      <c r="J832" s="12" t="str">
        <f t="shared" si="36"/>
        <v/>
      </c>
      <c r="K832" s="12" t="str">
        <f t="shared" si="37"/>
        <v/>
      </c>
      <c r="L832" s="12" t="e">
        <f t="shared" si="39"/>
        <v>#VALUE!</v>
      </c>
    </row>
    <row r="833" spans="1:12" ht="24" customHeight="1" x14ac:dyDescent="0.25">
      <c r="A833" s="9">
        <v>43278</v>
      </c>
      <c r="B833" s="10" t="s">
        <v>125</v>
      </c>
      <c r="C833" s="17">
        <v>288</v>
      </c>
      <c r="D833" s="11" t="e">
        <f>VLOOKUP(B833,#REF!,7,FALSE)</f>
        <v>#REF!</v>
      </c>
      <c r="E833" s="10">
        <v>1.87</v>
      </c>
      <c r="F833" s="10"/>
      <c r="G833" s="10"/>
      <c r="H833" s="10"/>
      <c r="I833" s="11" t="e">
        <f>+VLOOKUP(B833,#REF!,7,FALSE)</f>
        <v>#REF!</v>
      </c>
      <c r="J833" s="12" t="str">
        <f t="shared" si="36"/>
        <v/>
      </c>
      <c r="K833" s="12" t="str">
        <f t="shared" si="37"/>
        <v/>
      </c>
      <c r="L833" s="12" t="e">
        <f t="shared" si="39"/>
        <v>#VALUE!</v>
      </c>
    </row>
    <row r="834" spans="1:12" ht="24" customHeight="1" x14ac:dyDescent="0.25">
      <c r="A834" s="9">
        <v>43278</v>
      </c>
      <c r="B834" s="10" t="s">
        <v>126</v>
      </c>
      <c r="C834" s="17">
        <v>468</v>
      </c>
      <c r="D834" s="11" t="e">
        <f>VLOOKUP(B834,#REF!,7,FALSE)</f>
        <v>#REF!</v>
      </c>
      <c r="E834" s="10">
        <v>2.6150000000000002</v>
      </c>
      <c r="F834" s="10"/>
      <c r="G834" s="10"/>
      <c r="H834" s="10"/>
      <c r="I834" s="11" t="e">
        <f>+VLOOKUP(B834,#REF!,7,FALSE)</f>
        <v>#REF!</v>
      </c>
      <c r="J834" s="12" t="str">
        <f t="shared" si="36"/>
        <v/>
      </c>
      <c r="K834" s="12" t="str">
        <f t="shared" si="37"/>
        <v/>
      </c>
      <c r="L834" s="12" t="e">
        <f t="shared" si="39"/>
        <v>#VALUE!</v>
      </c>
    </row>
    <row r="835" spans="1:12" ht="24" customHeight="1" x14ac:dyDescent="0.25">
      <c r="A835" s="9">
        <v>43278</v>
      </c>
      <c r="B835" s="10" t="s">
        <v>177</v>
      </c>
      <c r="C835" s="17">
        <v>5328</v>
      </c>
      <c r="D835" s="11" t="e">
        <f>VLOOKUP(B835,#REF!,7,FALSE)</f>
        <v>#REF!</v>
      </c>
      <c r="E835" s="10">
        <f>5.9546/6</f>
        <v>0.99243333333333339</v>
      </c>
      <c r="F835" s="10"/>
      <c r="G835" s="10"/>
      <c r="H835" s="10"/>
      <c r="I835" s="11" t="e">
        <f>+VLOOKUP(B835,#REF!,7,FALSE)</f>
        <v>#REF!</v>
      </c>
      <c r="J835" s="12" t="str">
        <f t="shared" si="36"/>
        <v/>
      </c>
      <c r="K835" s="12" t="str">
        <f t="shared" si="37"/>
        <v/>
      </c>
      <c r="L835" s="12" t="e">
        <f t="shared" si="39"/>
        <v>#VALUE!</v>
      </c>
    </row>
    <row r="836" spans="1:12" ht="24" customHeight="1" x14ac:dyDescent="0.25">
      <c r="A836" s="9">
        <v>43278</v>
      </c>
      <c r="B836" s="10" t="s">
        <v>182</v>
      </c>
      <c r="C836" s="17">
        <v>2766</v>
      </c>
      <c r="D836" s="11" t="e">
        <f>VLOOKUP(B836,#REF!,7,FALSE)/6</f>
        <v>#REF!</v>
      </c>
      <c r="E836" s="10">
        <f>12.6074/6</f>
        <v>2.1012333333333335</v>
      </c>
      <c r="F836" s="10"/>
      <c r="G836" s="10"/>
      <c r="H836" s="10"/>
      <c r="I836" s="11" t="e">
        <f>+VLOOKUP(B836,#REF!,7,FALSE)</f>
        <v>#REF!</v>
      </c>
      <c r="J836" s="12" t="str">
        <f t="shared" ref="J836:J899" si="40">IFERROR((I836-(D836+F836))/I836,"")</f>
        <v/>
      </c>
      <c r="K836" s="12" t="str">
        <f t="shared" ref="K836:K899" si="41">IF(E836="","",IFERROR((I836-(E836+G836+H836))/I836,""))</f>
        <v/>
      </c>
      <c r="L836" s="12" t="e">
        <f t="shared" si="39"/>
        <v>#VALUE!</v>
      </c>
    </row>
    <row r="837" spans="1:12" ht="24" customHeight="1" x14ac:dyDescent="0.25">
      <c r="A837" s="9">
        <v>43278</v>
      </c>
      <c r="B837" s="10" t="s">
        <v>204</v>
      </c>
      <c r="C837" s="17">
        <v>554</v>
      </c>
      <c r="D837" s="11" t="e">
        <f>VLOOKUP(B837,#REF!,7,FALSE)</f>
        <v>#REF!</v>
      </c>
      <c r="E837" s="10">
        <v>16.3523</v>
      </c>
      <c r="F837" s="10"/>
      <c r="G837" s="10"/>
      <c r="H837" s="10"/>
      <c r="I837" s="11" t="e">
        <f>+VLOOKUP(B837,#REF!,7,FALSE)</f>
        <v>#REF!</v>
      </c>
      <c r="J837" s="12" t="str">
        <f t="shared" si="40"/>
        <v/>
      </c>
      <c r="K837" s="12" t="str">
        <f t="shared" si="41"/>
        <v/>
      </c>
      <c r="L837" s="12" t="e">
        <f t="shared" si="39"/>
        <v>#VALUE!</v>
      </c>
    </row>
    <row r="838" spans="1:12" ht="24" customHeight="1" x14ac:dyDescent="0.25">
      <c r="A838" s="9">
        <v>43278</v>
      </c>
      <c r="B838" s="10" t="s">
        <v>205</v>
      </c>
      <c r="C838" s="17">
        <v>3084</v>
      </c>
      <c r="D838" s="11" t="e">
        <f>VLOOKUP(B838,#REF!,7,FALSE)</f>
        <v>#REF!</v>
      </c>
      <c r="E838" s="10">
        <f>16.6388</f>
        <v>16.6388</v>
      </c>
      <c r="F838" s="10"/>
      <c r="G838" s="10"/>
      <c r="H838" s="10"/>
      <c r="I838" s="11" t="e">
        <f>+VLOOKUP(B838,#REF!,7,FALSE)</f>
        <v>#REF!</v>
      </c>
      <c r="J838" s="12" t="str">
        <f t="shared" si="40"/>
        <v/>
      </c>
      <c r="K838" s="12" t="str">
        <f t="shared" si="41"/>
        <v/>
      </c>
      <c r="L838" s="12" t="e">
        <f t="shared" si="39"/>
        <v>#VALUE!</v>
      </c>
    </row>
    <row r="839" spans="1:12" ht="24" customHeight="1" x14ac:dyDescent="0.25">
      <c r="A839" s="9">
        <v>43278</v>
      </c>
      <c r="B839" s="10" t="s">
        <v>440</v>
      </c>
      <c r="C839" s="17">
        <v>10880</v>
      </c>
      <c r="D839" s="11" t="e">
        <f>VLOOKUP(B839,#REF!,7,FALSE)</f>
        <v>#REF!</v>
      </c>
      <c r="E839" s="10">
        <v>0.60119999999999996</v>
      </c>
      <c r="F839" s="10"/>
      <c r="G839" s="10"/>
      <c r="H839" s="10"/>
      <c r="I839" s="11" t="e">
        <f>+VLOOKUP(B839,#REF!,7,FALSE)</f>
        <v>#REF!</v>
      </c>
      <c r="J839" s="12" t="str">
        <f t="shared" si="40"/>
        <v/>
      </c>
      <c r="K839" s="12" t="str">
        <f t="shared" si="41"/>
        <v/>
      </c>
      <c r="L839" s="12" t="e">
        <f t="shared" si="39"/>
        <v>#VALUE!</v>
      </c>
    </row>
    <row r="840" spans="1:12" ht="24" customHeight="1" x14ac:dyDescent="0.25">
      <c r="A840" s="9">
        <v>43278</v>
      </c>
      <c r="B840" s="10" t="s">
        <v>456</v>
      </c>
      <c r="C840" s="17">
        <v>2370</v>
      </c>
      <c r="D840" s="11" t="e">
        <f>VLOOKUP(B840,#REF!,7,FALSE)</f>
        <v>#REF!</v>
      </c>
      <c r="E840" s="10">
        <f>21.0497/6</f>
        <v>3.5082833333333334</v>
      </c>
      <c r="F840" s="10"/>
      <c r="G840" s="10"/>
      <c r="H840" s="10"/>
      <c r="I840" s="11" t="e">
        <f>+VLOOKUP(B840,#REF!,7,FALSE)</f>
        <v>#REF!</v>
      </c>
      <c r="J840" s="12" t="str">
        <f t="shared" si="40"/>
        <v/>
      </c>
      <c r="K840" s="12" t="str">
        <f t="shared" si="41"/>
        <v/>
      </c>
      <c r="L840" s="12" t="e">
        <f t="shared" si="39"/>
        <v>#VALUE!</v>
      </c>
    </row>
    <row r="841" spans="1:12" ht="24" customHeight="1" x14ac:dyDescent="0.25">
      <c r="A841" s="9">
        <v>43278</v>
      </c>
      <c r="B841" s="10" t="s">
        <v>226</v>
      </c>
      <c r="C841" s="17">
        <v>7392</v>
      </c>
      <c r="D841" s="11" t="e">
        <f>VLOOKUP(B841,#REF!,7,FALSE)</f>
        <v>#REF!</v>
      </c>
      <c r="E841" s="10">
        <v>1.8379000000000001</v>
      </c>
      <c r="F841" s="10"/>
      <c r="G841" s="10"/>
      <c r="H841" s="10"/>
      <c r="I841" s="11" t="e">
        <f>+VLOOKUP(B841,#REF!,7,FALSE)</f>
        <v>#REF!</v>
      </c>
      <c r="J841" s="12" t="str">
        <f t="shared" si="40"/>
        <v/>
      </c>
      <c r="K841" s="12" t="str">
        <f t="shared" si="41"/>
        <v/>
      </c>
      <c r="L841" s="12" t="e">
        <f t="shared" si="39"/>
        <v>#VALUE!</v>
      </c>
    </row>
    <row r="842" spans="1:12" ht="24" customHeight="1" x14ac:dyDescent="0.25">
      <c r="A842" s="9">
        <v>43279</v>
      </c>
      <c r="B842" s="10" t="s">
        <v>17</v>
      </c>
      <c r="C842" s="17">
        <v>276</v>
      </c>
      <c r="D842" s="11" t="e">
        <f>VLOOKUP(B842,#REF!,7,FALSE)</f>
        <v>#REF!</v>
      </c>
      <c r="E842" s="10">
        <v>4.1817000000000002</v>
      </c>
      <c r="F842" s="10"/>
      <c r="G842" s="10"/>
      <c r="H842" s="10"/>
      <c r="I842" s="11" t="e">
        <f>+VLOOKUP(B842,#REF!,7,FALSE)</f>
        <v>#REF!</v>
      </c>
      <c r="J842" s="12" t="str">
        <f t="shared" si="40"/>
        <v/>
      </c>
      <c r="K842" s="12" t="str">
        <f t="shared" si="41"/>
        <v/>
      </c>
      <c r="L842" s="12" t="e">
        <f t="shared" si="39"/>
        <v>#VALUE!</v>
      </c>
    </row>
    <row r="843" spans="1:12" ht="24" customHeight="1" x14ac:dyDescent="0.25">
      <c r="A843" s="9">
        <v>43279</v>
      </c>
      <c r="B843" s="10" t="s">
        <v>100</v>
      </c>
      <c r="C843" s="17">
        <v>1572</v>
      </c>
      <c r="D843" s="11" t="e">
        <f>VLOOKUP(B843,#REF!,7,FALSE)</f>
        <v>#REF!</v>
      </c>
      <c r="E843" s="10">
        <v>2.8454999999999999</v>
      </c>
      <c r="F843" s="10"/>
      <c r="G843" s="10"/>
      <c r="H843" s="10"/>
      <c r="I843" s="11" t="e">
        <f>+VLOOKUP(B843,#REF!,7,FALSE)</f>
        <v>#REF!</v>
      </c>
      <c r="J843" s="12" t="str">
        <f t="shared" si="40"/>
        <v/>
      </c>
      <c r="K843" s="12" t="str">
        <f t="shared" si="41"/>
        <v/>
      </c>
      <c r="L843" s="12" t="e">
        <f t="shared" si="39"/>
        <v>#VALUE!</v>
      </c>
    </row>
    <row r="844" spans="1:12" ht="24" customHeight="1" x14ac:dyDescent="0.25">
      <c r="A844" s="9">
        <v>43279</v>
      </c>
      <c r="B844" s="10" t="s">
        <v>103</v>
      </c>
      <c r="C844" s="17">
        <v>6372</v>
      </c>
      <c r="D844" s="11" t="e">
        <f>VLOOKUP(B844,#REF!,7,FALSE)</f>
        <v>#REF!</v>
      </c>
      <c r="E844" s="10">
        <f>10.7495/6</f>
        <v>1.7915833333333333</v>
      </c>
      <c r="F844" s="10"/>
      <c r="G844" s="10"/>
      <c r="H844" s="10"/>
      <c r="I844" s="11" t="e">
        <f>+VLOOKUP(B844,#REF!,7,FALSE)</f>
        <v>#REF!</v>
      </c>
      <c r="J844" s="12" t="str">
        <f t="shared" si="40"/>
        <v/>
      </c>
      <c r="K844" s="12" t="str">
        <f t="shared" si="41"/>
        <v/>
      </c>
      <c r="L844" s="12" t="e">
        <f t="shared" si="39"/>
        <v>#VALUE!</v>
      </c>
    </row>
    <row r="845" spans="1:12" ht="24" customHeight="1" x14ac:dyDescent="0.25">
      <c r="A845" s="9">
        <v>43279</v>
      </c>
      <c r="B845" s="10" t="s">
        <v>105</v>
      </c>
      <c r="C845" s="17">
        <v>1342</v>
      </c>
      <c r="D845" s="11" t="e">
        <f>VLOOKUP(B845,#REF!,7,FALSE)</f>
        <v>#REF!</v>
      </c>
      <c r="E845" s="10">
        <v>7.6128999999999998</v>
      </c>
      <c r="F845" s="10"/>
      <c r="G845" s="10"/>
      <c r="H845" s="10"/>
      <c r="I845" s="11" t="e">
        <f>+VLOOKUP(B845,#REF!,7,FALSE)</f>
        <v>#REF!</v>
      </c>
      <c r="J845" s="12" t="str">
        <f t="shared" si="40"/>
        <v/>
      </c>
      <c r="K845" s="12" t="str">
        <f t="shared" si="41"/>
        <v/>
      </c>
      <c r="L845" s="12" t="e">
        <f t="shared" si="39"/>
        <v>#VALUE!</v>
      </c>
    </row>
    <row r="846" spans="1:12" ht="24" customHeight="1" x14ac:dyDescent="0.25">
      <c r="A846" s="9">
        <v>43279</v>
      </c>
      <c r="B846" s="10" t="s">
        <v>128</v>
      </c>
      <c r="C846" s="17">
        <v>31104</v>
      </c>
      <c r="D846" s="11" t="e">
        <f>VLOOKUP(B846,#REF!,7,FALSE)</f>
        <v>#REF!</v>
      </c>
      <c r="E846" s="10">
        <f>18.2507/72</f>
        <v>0.25348194444444444</v>
      </c>
      <c r="F846" s="10"/>
      <c r="G846" s="10"/>
      <c r="H846" s="10"/>
      <c r="I846" s="11" t="e">
        <f>+VLOOKUP(B846,#REF!,7,FALSE)</f>
        <v>#REF!</v>
      </c>
      <c r="J846" s="12" t="str">
        <f t="shared" si="40"/>
        <v/>
      </c>
      <c r="K846" s="12" t="str">
        <f t="shared" si="41"/>
        <v/>
      </c>
      <c r="L846" s="12" t="e">
        <f t="shared" si="39"/>
        <v>#VALUE!</v>
      </c>
    </row>
    <row r="847" spans="1:12" ht="24" customHeight="1" x14ac:dyDescent="0.25">
      <c r="A847" s="9">
        <v>43279</v>
      </c>
      <c r="B847" s="10" t="s">
        <v>138</v>
      </c>
      <c r="C847" s="17">
        <v>4476</v>
      </c>
      <c r="D847" s="11" t="e">
        <f>VLOOKUP(B847,#REF!,7,FALSE)</f>
        <v>#REF!</v>
      </c>
      <c r="E847" s="10">
        <f>12.9656/12</f>
        <v>1.0804666666666667</v>
      </c>
      <c r="F847" s="10"/>
      <c r="G847" s="10"/>
      <c r="H847" s="10"/>
      <c r="I847" s="11" t="e">
        <f>+VLOOKUP(B847,#REF!,7,FALSE)</f>
        <v>#REF!</v>
      </c>
      <c r="J847" s="12" t="str">
        <f t="shared" si="40"/>
        <v/>
      </c>
      <c r="K847" s="12" t="str">
        <f t="shared" si="41"/>
        <v/>
      </c>
      <c r="L847" s="12" t="e">
        <f t="shared" si="39"/>
        <v>#VALUE!</v>
      </c>
    </row>
    <row r="848" spans="1:12" ht="24" customHeight="1" x14ac:dyDescent="0.25">
      <c r="A848" s="9">
        <v>43279</v>
      </c>
      <c r="B848" s="10" t="s">
        <v>143</v>
      </c>
      <c r="C848" s="17">
        <v>2124</v>
      </c>
      <c r="D848" s="11" t="e">
        <f>VLOOKUP(B848,#REF!,7,FALSE)</f>
        <v>#REF!</v>
      </c>
      <c r="E848" s="10">
        <v>2.0758999999999999</v>
      </c>
      <c r="F848" s="10"/>
      <c r="G848" s="10"/>
      <c r="H848" s="10"/>
      <c r="I848" s="11" t="e">
        <f>+VLOOKUP(B848,#REF!,7,FALSE)</f>
        <v>#REF!</v>
      </c>
      <c r="J848" s="12" t="str">
        <f t="shared" si="40"/>
        <v/>
      </c>
      <c r="K848" s="12" t="str">
        <f t="shared" si="41"/>
        <v/>
      </c>
      <c r="L848" s="12" t="e">
        <f t="shared" si="39"/>
        <v>#VALUE!</v>
      </c>
    </row>
    <row r="849" spans="1:12" ht="24" customHeight="1" x14ac:dyDescent="0.25">
      <c r="A849" s="9">
        <v>43279</v>
      </c>
      <c r="B849" s="10" t="s">
        <v>153</v>
      </c>
      <c r="C849" s="17">
        <v>6408</v>
      </c>
      <c r="D849" s="11" t="e">
        <f>VLOOKUP(B849,#REF!,7,FALSE)</f>
        <v>#REF!</v>
      </c>
      <c r="E849" s="10">
        <f>8.3068/12</f>
        <v>0.69223333333333337</v>
      </c>
      <c r="F849" s="10"/>
      <c r="G849" s="10"/>
      <c r="H849" s="10"/>
      <c r="I849" s="11" t="e">
        <f>+VLOOKUP(B849,#REF!,7,FALSE)</f>
        <v>#REF!</v>
      </c>
      <c r="J849" s="12" t="str">
        <f t="shared" si="40"/>
        <v/>
      </c>
      <c r="K849" s="12" t="str">
        <f t="shared" si="41"/>
        <v/>
      </c>
      <c r="L849" s="12" t="e">
        <f t="shared" si="39"/>
        <v>#VALUE!</v>
      </c>
    </row>
    <row r="850" spans="1:12" ht="24" customHeight="1" x14ac:dyDescent="0.25">
      <c r="A850" s="9">
        <v>43279</v>
      </c>
      <c r="B850" s="10" t="s">
        <v>441</v>
      </c>
      <c r="C850" s="17">
        <v>14076</v>
      </c>
      <c r="D850" s="11" t="e">
        <f>VLOOKUP(B850,#REF!,7,FALSE)</f>
        <v>#REF!</v>
      </c>
      <c r="E850" s="10">
        <v>0.51470000000000005</v>
      </c>
      <c r="F850" s="10"/>
      <c r="G850" s="10"/>
      <c r="H850" s="10"/>
      <c r="I850" s="11" t="e">
        <f>+VLOOKUP(B850,#REF!,7,FALSE)</f>
        <v>#REF!</v>
      </c>
      <c r="J850" s="12" t="str">
        <f t="shared" si="40"/>
        <v/>
      </c>
      <c r="K850" s="12" t="str">
        <f t="shared" si="41"/>
        <v/>
      </c>
      <c r="L850" s="12" t="e">
        <f t="shared" si="39"/>
        <v>#VALUE!</v>
      </c>
    </row>
    <row r="851" spans="1:12" ht="24" customHeight="1" x14ac:dyDescent="0.25">
      <c r="A851" s="9">
        <v>43280</v>
      </c>
      <c r="B851" s="10" t="s">
        <v>98</v>
      </c>
      <c r="C851" s="17">
        <v>29844</v>
      </c>
      <c r="D851" s="11" t="e">
        <f>VLOOKUP(B851,#REF!,7,FALSE)</f>
        <v>#REF!</v>
      </c>
      <c r="E851" s="10">
        <v>0.66790000000000005</v>
      </c>
      <c r="F851" s="10"/>
      <c r="G851" s="10"/>
      <c r="H851" s="10"/>
      <c r="I851" s="11" t="e">
        <f>+VLOOKUP(B851,#REF!,7,FALSE)</f>
        <v>#REF!</v>
      </c>
      <c r="J851" s="12" t="str">
        <f t="shared" si="40"/>
        <v/>
      </c>
      <c r="K851" s="12" t="str">
        <f t="shared" si="41"/>
        <v/>
      </c>
      <c r="L851" s="12" t="e">
        <f t="shared" si="39"/>
        <v>#VALUE!</v>
      </c>
    </row>
    <row r="852" spans="1:12" ht="24" customHeight="1" x14ac:dyDescent="0.25">
      <c r="A852" s="9">
        <v>43280</v>
      </c>
      <c r="B852" s="10" t="s">
        <v>103</v>
      </c>
      <c r="C852" s="17">
        <v>5544</v>
      </c>
      <c r="D852" s="11" t="e">
        <f>VLOOKUP(B852,#REF!,7,FALSE)</f>
        <v>#REF!</v>
      </c>
      <c r="E852" s="10">
        <f>9.775/6</f>
        <v>1.6291666666666667</v>
      </c>
      <c r="F852" s="10"/>
      <c r="G852" s="10"/>
      <c r="H852" s="10"/>
      <c r="I852" s="11" t="e">
        <f>+VLOOKUP(B852,#REF!,7,FALSE)</f>
        <v>#REF!</v>
      </c>
      <c r="J852" s="12" t="str">
        <f t="shared" si="40"/>
        <v/>
      </c>
      <c r="K852" s="12" t="str">
        <f t="shared" si="41"/>
        <v/>
      </c>
      <c r="L852" s="12" t="e">
        <f t="shared" si="39"/>
        <v>#VALUE!</v>
      </c>
    </row>
    <row r="853" spans="1:12" ht="24" customHeight="1" x14ac:dyDescent="0.25">
      <c r="A853" s="9">
        <v>43280</v>
      </c>
      <c r="B853" s="10" t="s">
        <v>114</v>
      </c>
      <c r="C853" s="17">
        <v>726</v>
      </c>
      <c r="D853" s="11" t="e">
        <f>VLOOKUP(B853,#REF!,7,FALSE)</f>
        <v>#REF!</v>
      </c>
      <c r="E853" s="10">
        <v>2.2738999999999998</v>
      </c>
      <c r="F853" s="10"/>
      <c r="G853" s="10"/>
      <c r="H853" s="10"/>
      <c r="I853" s="11" t="e">
        <f>+VLOOKUP(B853,#REF!,7,FALSE)</f>
        <v>#REF!</v>
      </c>
      <c r="J853" s="12" t="str">
        <f t="shared" si="40"/>
        <v/>
      </c>
      <c r="K853" s="12" t="str">
        <f t="shared" si="41"/>
        <v/>
      </c>
      <c r="L853" s="12" t="e">
        <f t="shared" si="39"/>
        <v>#VALUE!</v>
      </c>
    </row>
    <row r="854" spans="1:12" ht="24" customHeight="1" x14ac:dyDescent="0.25">
      <c r="A854" s="9">
        <v>43280</v>
      </c>
      <c r="B854" s="10" t="s">
        <v>150</v>
      </c>
      <c r="C854" s="17">
        <v>2382</v>
      </c>
      <c r="D854" s="11" t="e">
        <f>VLOOKUP(B854,#REF!,7,FALSE)</f>
        <v>#REF!</v>
      </c>
      <c r="E854" s="10">
        <f>4.9299/6</f>
        <v>0.82164999999999999</v>
      </c>
      <c r="F854" s="10"/>
      <c r="G854" s="10"/>
      <c r="H854" s="10"/>
      <c r="I854" s="11" t="e">
        <f>+VLOOKUP(B854,#REF!,7,FALSE)</f>
        <v>#REF!</v>
      </c>
      <c r="J854" s="12" t="str">
        <f t="shared" si="40"/>
        <v/>
      </c>
      <c r="K854" s="12" t="str">
        <f t="shared" si="41"/>
        <v/>
      </c>
      <c r="L854" s="12" t="e">
        <f t="shared" si="39"/>
        <v>#VALUE!</v>
      </c>
    </row>
    <row r="855" spans="1:12" ht="24" customHeight="1" x14ac:dyDescent="0.25">
      <c r="A855" s="9">
        <v>43280</v>
      </c>
      <c r="B855" s="10" t="s">
        <v>389</v>
      </c>
      <c r="C855" s="17">
        <v>7854</v>
      </c>
      <c r="D855" s="11" t="e">
        <f>VLOOKUP(B855,#REF!,7,FALSE)</f>
        <v>#REF!</v>
      </c>
      <c r="E855" s="10">
        <f>5.2887/6</f>
        <v>0.88145000000000007</v>
      </c>
      <c r="F855" s="10"/>
      <c r="G855" s="10"/>
      <c r="H855" s="10"/>
      <c r="I855" s="11" t="e">
        <f>+VLOOKUP(B855,#REF!,7,FALSE)</f>
        <v>#REF!</v>
      </c>
      <c r="J855" s="12" t="str">
        <f t="shared" si="40"/>
        <v/>
      </c>
      <c r="K855" s="12" t="str">
        <f t="shared" si="41"/>
        <v/>
      </c>
      <c r="L855" s="12" t="e">
        <f t="shared" si="39"/>
        <v>#VALUE!</v>
      </c>
    </row>
    <row r="856" spans="1:12" ht="24" customHeight="1" x14ac:dyDescent="0.25">
      <c r="A856" s="9">
        <v>43280</v>
      </c>
      <c r="B856" s="10" t="s">
        <v>430</v>
      </c>
      <c r="C856" s="17">
        <v>5322</v>
      </c>
      <c r="D856" s="11" t="e">
        <f>VLOOKUP(B856,#REF!,7,FALSE)</f>
        <v>#REF!</v>
      </c>
      <c r="E856" s="10">
        <f>20.0249/6</f>
        <v>3.3374833333333331</v>
      </c>
      <c r="F856" s="10"/>
      <c r="G856" s="10"/>
      <c r="H856" s="10"/>
      <c r="I856" s="11" t="e">
        <f>+VLOOKUP(B856,#REF!,7,FALSE)</f>
        <v>#REF!</v>
      </c>
      <c r="J856" s="12" t="str">
        <f t="shared" si="40"/>
        <v/>
      </c>
      <c r="K856" s="12" t="str">
        <f t="shared" si="41"/>
        <v/>
      </c>
      <c r="L856" s="12" t="e">
        <f t="shared" si="39"/>
        <v>#VALUE!</v>
      </c>
    </row>
    <row r="857" spans="1:12" ht="24" customHeight="1" x14ac:dyDescent="0.25">
      <c r="A857" s="9">
        <v>43281</v>
      </c>
      <c r="B857" s="10" t="s">
        <v>93</v>
      </c>
      <c r="C857" s="17">
        <v>340</v>
      </c>
      <c r="D857" s="11" t="e">
        <f>VLOOKUP(B857,#REF!,7,FALSE)</f>
        <v>#REF!</v>
      </c>
      <c r="E857" s="10">
        <v>18.506900000000002</v>
      </c>
      <c r="F857" s="10"/>
      <c r="G857" s="10"/>
      <c r="H857" s="10"/>
      <c r="I857" s="11" t="e">
        <f>+VLOOKUP(B857,#REF!,7,FALSE)</f>
        <v>#REF!</v>
      </c>
      <c r="J857" s="12" t="str">
        <f t="shared" si="40"/>
        <v/>
      </c>
      <c r="K857" s="12" t="str">
        <f t="shared" si="41"/>
        <v/>
      </c>
      <c r="L857" s="12" t="e">
        <f t="shared" si="39"/>
        <v>#VALUE!</v>
      </c>
    </row>
    <row r="858" spans="1:12" ht="24" customHeight="1" x14ac:dyDescent="0.25">
      <c r="A858" s="9">
        <v>43281</v>
      </c>
      <c r="B858" s="10" t="s">
        <v>99</v>
      </c>
      <c r="C858" s="17">
        <v>6204</v>
      </c>
      <c r="D858" s="11" t="e">
        <f>VLOOKUP(B858,#REF!,7,FALSE)</f>
        <v>#REF!</v>
      </c>
      <c r="E858" s="10">
        <v>2.5428999999999999</v>
      </c>
      <c r="F858" s="10"/>
      <c r="G858" s="10"/>
      <c r="H858" s="10"/>
      <c r="I858" s="11" t="e">
        <f>+VLOOKUP(B858,#REF!,7,FALSE)</f>
        <v>#REF!</v>
      </c>
      <c r="J858" s="12" t="str">
        <f t="shared" si="40"/>
        <v/>
      </c>
      <c r="K858" s="12" t="str">
        <f t="shared" si="41"/>
        <v/>
      </c>
      <c r="L858" s="12" t="e">
        <f t="shared" si="39"/>
        <v>#VALUE!</v>
      </c>
    </row>
    <row r="859" spans="1:12" ht="24" customHeight="1" x14ac:dyDescent="0.25">
      <c r="A859" s="9">
        <v>43281</v>
      </c>
      <c r="B859" s="10" t="s">
        <v>100</v>
      </c>
      <c r="C859" s="17">
        <v>510</v>
      </c>
      <c r="D859" s="11" t="e">
        <f>VLOOKUP(B859,#REF!,7,FALSE)</f>
        <v>#REF!</v>
      </c>
      <c r="E859" s="10">
        <v>3.3593999999999999</v>
      </c>
      <c r="F859" s="10"/>
      <c r="G859" s="10"/>
      <c r="H859" s="10"/>
      <c r="I859" s="11" t="e">
        <f>+VLOOKUP(B859,#REF!,7,FALSE)</f>
        <v>#REF!</v>
      </c>
      <c r="J859" s="12" t="str">
        <f t="shared" si="40"/>
        <v/>
      </c>
      <c r="K859" s="12" t="str">
        <f t="shared" si="41"/>
        <v/>
      </c>
      <c r="L859" s="12" t="e">
        <f t="shared" si="39"/>
        <v>#VALUE!</v>
      </c>
    </row>
    <row r="860" spans="1:12" ht="24" customHeight="1" x14ac:dyDescent="0.25">
      <c r="A860" s="9">
        <v>43281</v>
      </c>
      <c r="B860" s="10" t="s">
        <v>103</v>
      </c>
      <c r="C860" s="17">
        <v>1272</v>
      </c>
      <c r="D860" s="11" t="e">
        <f>VLOOKUP(B860,#REF!,7,FALSE)</f>
        <v>#REF!</v>
      </c>
      <c r="E860" s="10">
        <f>10.101/6</f>
        <v>1.6835000000000002</v>
      </c>
      <c r="F860" s="10"/>
      <c r="G860" s="10"/>
      <c r="H860" s="10"/>
      <c r="I860" s="11" t="e">
        <f>+VLOOKUP(B860,#REF!,7,FALSE)</f>
        <v>#REF!</v>
      </c>
      <c r="J860" s="12" t="str">
        <f t="shared" si="40"/>
        <v/>
      </c>
      <c r="K860" s="12" t="str">
        <f t="shared" si="41"/>
        <v/>
      </c>
      <c r="L860" s="12" t="e">
        <f t="shared" si="39"/>
        <v>#VALUE!</v>
      </c>
    </row>
    <row r="861" spans="1:12" ht="24" customHeight="1" x14ac:dyDescent="0.25">
      <c r="A861" s="9">
        <v>43281</v>
      </c>
      <c r="B861" s="10" t="s">
        <v>389</v>
      </c>
      <c r="C861" s="17">
        <v>4506</v>
      </c>
      <c r="D861" s="11" t="e">
        <f>VLOOKUP(B861,#REF!,7,FALSE)</f>
        <v>#REF!</v>
      </c>
      <c r="E861" s="10">
        <f>5.7497/6</f>
        <v>0.95828333333333326</v>
      </c>
      <c r="F861" s="10"/>
      <c r="G861" s="10"/>
      <c r="H861" s="10"/>
      <c r="I861" s="11" t="e">
        <f>+VLOOKUP(B861,#REF!,7,FALSE)</f>
        <v>#REF!</v>
      </c>
      <c r="J861" s="12" t="str">
        <f t="shared" si="40"/>
        <v/>
      </c>
      <c r="K861" s="12" t="str">
        <f t="shared" si="41"/>
        <v/>
      </c>
      <c r="L861" s="12" t="e">
        <f t="shared" si="39"/>
        <v>#VALUE!</v>
      </c>
    </row>
    <row r="862" spans="1:12" ht="24" customHeight="1" x14ac:dyDescent="0.25">
      <c r="A862" s="9">
        <v>43281</v>
      </c>
      <c r="B862" s="10" t="s">
        <v>208</v>
      </c>
      <c r="C862" s="17">
        <v>3972</v>
      </c>
      <c r="D862" s="11" t="e">
        <f>VLOOKUP(B862,#REF!,7,FALSE)</f>
        <v>#REF!</v>
      </c>
      <c r="E862" s="10">
        <f>9.7061/6</f>
        <v>1.6176833333333331</v>
      </c>
      <c r="F862" s="10"/>
      <c r="G862" s="10"/>
      <c r="H862" s="10"/>
      <c r="I862" s="11" t="e">
        <f>+VLOOKUP(B862,#REF!,7,FALSE)</f>
        <v>#REF!</v>
      </c>
      <c r="J862" s="12" t="str">
        <f t="shared" si="40"/>
        <v/>
      </c>
      <c r="K862" s="12" t="str">
        <f t="shared" si="41"/>
        <v/>
      </c>
      <c r="L862" s="12" t="e">
        <f t="shared" si="39"/>
        <v>#VALUE!</v>
      </c>
    </row>
    <row r="863" spans="1:12" ht="24" customHeight="1" x14ac:dyDescent="0.25">
      <c r="A863" s="9">
        <v>43281</v>
      </c>
      <c r="B863" s="10" t="s">
        <v>232</v>
      </c>
      <c r="C863" s="17">
        <v>216</v>
      </c>
      <c r="D863" s="11" t="e">
        <f>VLOOKUP(B863,#REF!,7,FALSE)</f>
        <v>#REF!</v>
      </c>
      <c r="E863" s="10">
        <v>1.847</v>
      </c>
      <c r="F863" s="10"/>
      <c r="G863" s="10"/>
      <c r="H863" s="10"/>
      <c r="I863" s="11" t="e">
        <f>+VLOOKUP(B863,#REF!,7,FALSE)</f>
        <v>#REF!</v>
      </c>
      <c r="J863" s="12" t="str">
        <f t="shared" si="40"/>
        <v/>
      </c>
      <c r="K863" s="12" t="str">
        <f t="shared" si="41"/>
        <v/>
      </c>
      <c r="L863" s="12" t="e">
        <f t="shared" si="39"/>
        <v>#VALUE!</v>
      </c>
    </row>
    <row r="864" spans="1:12" ht="24" customHeight="1" x14ac:dyDescent="0.25">
      <c r="A864" s="9">
        <v>43281</v>
      </c>
      <c r="B864" s="10" t="s">
        <v>229</v>
      </c>
      <c r="C864" s="17">
        <v>95</v>
      </c>
      <c r="D864" s="11" t="e">
        <f>VLOOKUP(B864,#REF!,7,FALSE)</f>
        <v>#REF!</v>
      </c>
      <c r="E864" s="10">
        <v>2.1442999999999999</v>
      </c>
      <c r="F864" s="10"/>
      <c r="G864" s="10"/>
      <c r="H864" s="10"/>
      <c r="I864" s="11" t="e">
        <f>+VLOOKUP(B864,#REF!,7,FALSE)</f>
        <v>#REF!</v>
      </c>
      <c r="J864" s="12" t="str">
        <f t="shared" si="40"/>
        <v/>
      </c>
      <c r="K864" s="12" t="str">
        <f t="shared" si="41"/>
        <v/>
      </c>
      <c r="L864" s="12" t="e">
        <f t="shared" si="39"/>
        <v>#VALUE!</v>
      </c>
    </row>
    <row r="865" spans="1:12" ht="24" customHeight="1" x14ac:dyDescent="0.25">
      <c r="A865" s="9">
        <v>43281</v>
      </c>
      <c r="B865" s="10" t="s">
        <v>425</v>
      </c>
      <c r="C865" s="17">
        <v>27</v>
      </c>
      <c r="D865" s="11" t="e">
        <f>VLOOKUP(B865,#REF!,7,FALSE)</f>
        <v>#REF!</v>
      </c>
      <c r="E865" s="10">
        <v>2.2799999999999998</v>
      </c>
      <c r="F865" s="10"/>
      <c r="G865" s="10"/>
      <c r="H865" s="10"/>
      <c r="I865" s="11" t="e">
        <f>+VLOOKUP(B865,#REF!,7,FALSE)</f>
        <v>#REF!</v>
      </c>
      <c r="J865" s="12" t="str">
        <f t="shared" si="40"/>
        <v/>
      </c>
      <c r="K865" s="12" t="str">
        <f t="shared" si="41"/>
        <v/>
      </c>
      <c r="L865" s="12" t="e">
        <f t="shared" si="39"/>
        <v>#VALUE!</v>
      </c>
    </row>
    <row r="866" spans="1:12" ht="24" customHeight="1" x14ac:dyDescent="0.25">
      <c r="A866" s="9">
        <v>43283</v>
      </c>
      <c r="B866" s="10" t="s">
        <v>103</v>
      </c>
      <c r="C866" s="17">
        <v>5652</v>
      </c>
      <c r="D866" s="11" t="e">
        <f>VLOOKUP(B866,#REF!,7,FALSE)</f>
        <v>#REF!</v>
      </c>
      <c r="E866" s="10">
        <f>9.5518/6</f>
        <v>1.5919666666666668</v>
      </c>
      <c r="F866" s="10"/>
      <c r="G866" s="10"/>
      <c r="H866" s="10"/>
      <c r="I866" s="11" t="e">
        <f>+VLOOKUP(B866,#REF!,7,FALSE)</f>
        <v>#REF!</v>
      </c>
      <c r="J866" s="12" t="str">
        <f t="shared" si="40"/>
        <v/>
      </c>
      <c r="K866" s="12" t="str">
        <f t="shared" si="41"/>
        <v/>
      </c>
      <c r="L866" s="12" t="e">
        <f t="shared" si="39"/>
        <v>#VALUE!</v>
      </c>
    </row>
    <row r="867" spans="1:12" ht="24" customHeight="1" x14ac:dyDescent="0.25">
      <c r="A867" s="9">
        <v>43283</v>
      </c>
      <c r="B867" s="10" t="s">
        <v>315</v>
      </c>
      <c r="C867" s="17">
        <v>31456</v>
      </c>
      <c r="D867" s="11" t="e">
        <f>VLOOKUP(B867,#REF!,7,FALSE)</f>
        <v>#REF!</v>
      </c>
      <c r="E867" s="10">
        <v>0.2215</v>
      </c>
      <c r="F867" s="10"/>
      <c r="G867" s="10"/>
      <c r="H867" s="10"/>
      <c r="I867" s="11" t="e">
        <f>+VLOOKUP(B867,#REF!,7,FALSE)</f>
        <v>#REF!</v>
      </c>
      <c r="J867" s="12" t="str">
        <f t="shared" si="40"/>
        <v/>
      </c>
      <c r="K867" s="12" t="str">
        <f t="shared" si="41"/>
        <v/>
      </c>
      <c r="L867" s="12" t="e">
        <f t="shared" si="39"/>
        <v>#VALUE!</v>
      </c>
    </row>
    <row r="868" spans="1:12" ht="24" customHeight="1" x14ac:dyDescent="0.25">
      <c r="A868" s="9">
        <v>43283</v>
      </c>
      <c r="B868" s="10" t="s">
        <v>317</v>
      </c>
      <c r="C868" s="17">
        <v>23004</v>
      </c>
      <c r="D868" s="11" t="e">
        <f>VLOOKUP(B868,#REF!,7,FALSE)</f>
        <v>#REF!</v>
      </c>
      <c r="E868" s="10">
        <v>0.47349999999999998</v>
      </c>
      <c r="F868" s="10"/>
      <c r="G868" s="10"/>
      <c r="H868" s="10"/>
      <c r="I868" s="11" t="e">
        <f>+VLOOKUP(B868,#REF!,7,FALSE)</f>
        <v>#REF!</v>
      </c>
      <c r="J868" s="12" t="str">
        <f t="shared" si="40"/>
        <v/>
      </c>
      <c r="K868" s="12" t="str">
        <f t="shared" si="41"/>
        <v/>
      </c>
      <c r="L868" s="12" t="e">
        <f t="shared" si="39"/>
        <v>#VALUE!</v>
      </c>
    </row>
    <row r="869" spans="1:12" ht="24" customHeight="1" x14ac:dyDescent="0.25">
      <c r="A869" s="9">
        <v>43283</v>
      </c>
      <c r="B869" s="10" t="s">
        <v>389</v>
      </c>
      <c r="C869" s="17">
        <v>834</v>
      </c>
      <c r="D869" s="11" t="e">
        <f>VLOOKUP(B869,#REF!,7,FALSE)</f>
        <v>#REF!</v>
      </c>
      <c r="E869" s="10">
        <f>5.3696/6</f>
        <v>0.89493333333333336</v>
      </c>
      <c r="F869" s="10"/>
      <c r="G869" s="10"/>
      <c r="H869" s="10"/>
      <c r="I869" s="11" t="e">
        <f>+VLOOKUP(B869,#REF!,7,FALSE)</f>
        <v>#REF!</v>
      </c>
      <c r="J869" s="12" t="str">
        <f t="shared" si="40"/>
        <v/>
      </c>
      <c r="K869" s="12" t="str">
        <f t="shared" si="41"/>
        <v/>
      </c>
      <c r="L869" s="12" t="e">
        <f t="shared" si="39"/>
        <v>#VALUE!</v>
      </c>
    </row>
    <row r="870" spans="1:12" ht="24" customHeight="1" x14ac:dyDescent="0.25">
      <c r="A870" s="9">
        <v>43283</v>
      </c>
      <c r="B870" s="10" t="s">
        <v>208</v>
      </c>
      <c r="C870" s="17">
        <v>1782</v>
      </c>
      <c r="D870" s="11" t="e">
        <f>VLOOKUP(B870,#REF!,7,FALSE)</f>
        <v>#REF!</v>
      </c>
      <c r="E870" s="10">
        <f>9.2561/6</f>
        <v>1.5426833333333334</v>
      </c>
      <c r="F870" s="10"/>
      <c r="G870" s="10"/>
      <c r="H870" s="10"/>
      <c r="I870" s="11" t="e">
        <f>+VLOOKUP(B870,#REF!,7,FALSE)</f>
        <v>#REF!</v>
      </c>
      <c r="J870" s="12" t="str">
        <f t="shared" si="40"/>
        <v/>
      </c>
      <c r="K870" s="12" t="str">
        <f t="shared" si="41"/>
        <v/>
      </c>
      <c r="L870" s="12" t="e">
        <f t="shared" si="39"/>
        <v>#VALUE!</v>
      </c>
    </row>
    <row r="871" spans="1:12" ht="24" customHeight="1" x14ac:dyDescent="0.25">
      <c r="A871" s="9">
        <v>43283</v>
      </c>
      <c r="B871" s="10" t="s">
        <v>230</v>
      </c>
      <c r="C871" s="17">
        <v>17046</v>
      </c>
      <c r="D871" s="11" t="e">
        <f>VLOOKUP(B871,#REF!,7,FALSE)</f>
        <v>#REF!</v>
      </c>
      <c r="E871" s="10">
        <f>3.737/6</f>
        <v>0.62283333333333335</v>
      </c>
      <c r="F871" s="10"/>
      <c r="G871" s="10"/>
      <c r="H871" s="10"/>
      <c r="I871" s="11" t="e">
        <f>+VLOOKUP(B871,#REF!,7,FALSE)</f>
        <v>#REF!</v>
      </c>
      <c r="J871" s="12" t="str">
        <f t="shared" si="40"/>
        <v/>
      </c>
      <c r="K871" s="12" t="str">
        <f t="shared" si="41"/>
        <v/>
      </c>
      <c r="L871" s="12" t="e">
        <f t="shared" si="39"/>
        <v>#VALUE!</v>
      </c>
    </row>
    <row r="872" spans="1:12" ht="24" customHeight="1" x14ac:dyDescent="0.25">
      <c r="A872" s="9">
        <v>43283</v>
      </c>
      <c r="B872" s="10" t="s">
        <v>463</v>
      </c>
      <c r="C872" s="17">
        <v>7914</v>
      </c>
      <c r="D872" s="11" t="e">
        <f>VLOOKUP(B872,#REF!,7,FALSE)</f>
        <v>#REF!</v>
      </c>
      <c r="E872" s="10">
        <f>19.314/6</f>
        <v>3.2189999999999999</v>
      </c>
      <c r="F872" s="10"/>
      <c r="G872" s="10"/>
      <c r="H872" s="10"/>
      <c r="I872" s="11" t="e">
        <f>+VLOOKUP(B872,#REF!,7,FALSE)</f>
        <v>#REF!</v>
      </c>
      <c r="J872" s="12" t="str">
        <f t="shared" si="40"/>
        <v/>
      </c>
      <c r="K872" s="12" t="str">
        <f t="shared" si="41"/>
        <v/>
      </c>
      <c r="L872" s="12" t="e">
        <f t="shared" si="39"/>
        <v>#VALUE!</v>
      </c>
    </row>
    <row r="873" spans="1:12" ht="24" customHeight="1" x14ac:dyDescent="0.25">
      <c r="A873" s="9">
        <v>43284</v>
      </c>
      <c r="B873" s="10" t="s">
        <v>18</v>
      </c>
      <c r="C873" s="17">
        <v>210</v>
      </c>
      <c r="D873" s="11" t="e">
        <f>VLOOKUP(B873,#REF!,7,FALSE)</f>
        <v>#REF!</v>
      </c>
      <c r="E873" s="10">
        <v>2.2033</v>
      </c>
      <c r="F873" s="10"/>
      <c r="G873" s="10"/>
      <c r="H873" s="10"/>
      <c r="I873" s="11" t="e">
        <f>+VLOOKUP(B873,#REF!,7,FALSE)</f>
        <v>#REF!</v>
      </c>
      <c r="J873" s="12" t="str">
        <f t="shared" si="40"/>
        <v/>
      </c>
      <c r="K873" s="12" t="str">
        <f t="shared" si="41"/>
        <v/>
      </c>
      <c r="L873" s="12" t="e">
        <f t="shared" si="39"/>
        <v>#VALUE!</v>
      </c>
    </row>
    <row r="874" spans="1:12" ht="24" customHeight="1" x14ac:dyDescent="0.25">
      <c r="A874" s="9">
        <v>43284</v>
      </c>
      <c r="B874" s="10" t="s">
        <v>21</v>
      </c>
      <c r="C874" s="17">
        <v>624</v>
      </c>
      <c r="D874" s="11" t="e">
        <f>VLOOKUP(B874,#REF!,7,FALSE)</f>
        <v>#REF!</v>
      </c>
      <c r="E874" s="10">
        <v>2.1766999999999999</v>
      </c>
      <c r="F874" s="10"/>
      <c r="G874" s="10"/>
      <c r="H874" s="10"/>
      <c r="I874" s="11" t="e">
        <f>+VLOOKUP(B874,#REF!,7,FALSE)</f>
        <v>#REF!</v>
      </c>
      <c r="J874" s="12" t="str">
        <f t="shared" si="40"/>
        <v/>
      </c>
      <c r="K874" s="12" t="str">
        <f t="shared" si="41"/>
        <v/>
      </c>
      <c r="L874" s="12" t="e">
        <f t="shared" si="39"/>
        <v>#VALUE!</v>
      </c>
    </row>
    <row r="875" spans="1:12" ht="24" customHeight="1" x14ac:dyDescent="0.25">
      <c r="A875" s="9">
        <v>43284</v>
      </c>
      <c r="B875" s="10" t="s">
        <v>25</v>
      </c>
      <c r="C875" s="17">
        <v>76</v>
      </c>
      <c r="D875" s="11" t="e">
        <f>VLOOKUP(B875,#REF!,7,FALSE)</f>
        <v>#REF!</v>
      </c>
      <c r="E875" s="10">
        <v>5.5130999999999997</v>
      </c>
      <c r="F875" s="10"/>
      <c r="G875" s="10"/>
      <c r="H875" s="10"/>
      <c r="I875" s="11" t="e">
        <f>+VLOOKUP(B875,#REF!,7,FALSE)</f>
        <v>#REF!</v>
      </c>
      <c r="J875" s="12" t="str">
        <f t="shared" si="40"/>
        <v/>
      </c>
      <c r="K875" s="12" t="str">
        <f t="shared" si="41"/>
        <v/>
      </c>
      <c r="L875" s="12" t="e">
        <f t="shared" si="39"/>
        <v>#VALUE!</v>
      </c>
    </row>
    <row r="876" spans="1:12" ht="24" customHeight="1" x14ac:dyDescent="0.25">
      <c r="A876" s="9">
        <v>43284</v>
      </c>
      <c r="B876" s="10" t="s">
        <v>160</v>
      </c>
      <c r="C876" s="17">
        <v>5580</v>
      </c>
      <c r="D876" s="11" t="e">
        <f>VLOOKUP(B876,#REF!,7,FALSE)</f>
        <v>#REF!</v>
      </c>
      <c r="E876" s="10">
        <f>13.0559/6</f>
        <v>2.1759833333333334</v>
      </c>
      <c r="F876" s="10"/>
      <c r="G876" s="10"/>
      <c r="H876" s="10"/>
      <c r="I876" s="11" t="e">
        <f>+VLOOKUP(B876,#REF!,7,FALSE)</f>
        <v>#REF!</v>
      </c>
      <c r="J876" s="12" t="str">
        <f t="shared" si="40"/>
        <v/>
      </c>
      <c r="K876" s="12" t="str">
        <f t="shared" si="41"/>
        <v/>
      </c>
      <c r="L876" s="12" t="e">
        <f t="shared" si="39"/>
        <v>#VALUE!</v>
      </c>
    </row>
    <row r="877" spans="1:12" ht="24" customHeight="1" x14ac:dyDescent="0.25">
      <c r="A877" s="9">
        <v>43284</v>
      </c>
      <c r="B877" s="10" t="s">
        <v>161</v>
      </c>
      <c r="C877" s="17">
        <v>1218</v>
      </c>
      <c r="D877" s="11" t="e">
        <f>VLOOKUP(B877,#REF!,7,FALSE)</f>
        <v>#REF!</v>
      </c>
      <c r="E877" s="10">
        <f>18.6258/6</f>
        <v>3.1043000000000003</v>
      </c>
      <c r="F877" s="10"/>
      <c r="G877" s="10"/>
      <c r="H877" s="10"/>
      <c r="I877" s="11" t="e">
        <f>+VLOOKUP(B877,#REF!,7,FALSE)</f>
        <v>#REF!</v>
      </c>
      <c r="J877" s="12" t="str">
        <f t="shared" si="40"/>
        <v/>
      </c>
      <c r="K877" s="12" t="str">
        <f t="shared" si="41"/>
        <v/>
      </c>
      <c r="L877" s="12" t="e">
        <f t="shared" si="39"/>
        <v>#VALUE!</v>
      </c>
    </row>
    <row r="878" spans="1:12" ht="24" customHeight="1" x14ac:dyDescent="0.25">
      <c r="A878" s="9">
        <v>43284</v>
      </c>
      <c r="B878" s="10" t="s">
        <v>162</v>
      </c>
      <c r="C878" s="17">
        <v>1080</v>
      </c>
      <c r="D878" s="11" t="e">
        <f>VLOOKUP(B878,#REF!,7,FALSE)</f>
        <v>#REF!</v>
      </c>
      <c r="E878" s="10">
        <f>7.1181/12</f>
        <v>0.59317500000000001</v>
      </c>
      <c r="F878" s="10"/>
      <c r="G878" s="10"/>
      <c r="H878" s="10"/>
      <c r="I878" s="11" t="e">
        <f>+VLOOKUP(B878,#REF!,7,FALSE)</f>
        <v>#REF!</v>
      </c>
      <c r="J878" s="12" t="str">
        <f t="shared" si="40"/>
        <v/>
      </c>
      <c r="K878" s="12" t="str">
        <f t="shared" si="41"/>
        <v/>
      </c>
      <c r="L878" s="12" t="e">
        <f t="shared" ref="L878:L941" si="42">J878-K878</f>
        <v>#VALUE!</v>
      </c>
    </row>
    <row r="879" spans="1:12" ht="24" customHeight="1" x14ac:dyDescent="0.25">
      <c r="A879" s="9">
        <v>43284</v>
      </c>
      <c r="B879" s="10" t="s">
        <v>380</v>
      </c>
      <c r="C879" s="17">
        <v>366</v>
      </c>
      <c r="D879" s="11" t="e">
        <f>VLOOKUP(B879,#REF!,7,FALSE)</f>
        <v>#REF!</v>
      </c>
      <c r="E879" s="10">
        <f>12.224/6</f>
        <v>2.0373333333333332</v>
      </c>
      <c r="F879" s="10"/>
      <c r="G879" s="10"/>
      <c r="H879" s="10"/>
      <c r="I879" s="11">
        <v>7.0369999999999999</v>
      </c>
      <c r="J879" s="12" t="str">
        <f t="shared" si="40"/>
        <v/>
      </c>
      <c r="K879" s="12">
        <f t="shared" si="41"/>
        <v>0.71048268675098281</v>
      </c>
      <c r="L879" s="12" t="e">
        <f t="shared" si="42"/>
        <v>#VALUE!</v>
      </c>
    </row>
    <row r="880" spans="1:12" ht="24" customHeight="1" x14ac:dyDescent="0.25">
      <c r="A880" s="9">
        <v>43284</v>
      </c>
      <c r="B880" s="10" t="s">
        <v>381</v>
      </c>
      <c r="C880" s="17">
        <v>348</v>
      </c>
      <c r="D880" s="11" t="e">
        <f>VLOOKUP(B880,#REF!,7,FALSE)</f>
        <v>#REF!</v>
      </c>
      <c r="E880" s="10">
        <f>10.6641/12</f>
        <v>0.88867499999999999</v>
      </c>
      <c r="F880" s="10"/>
      <c r="G880" s="10"/>
      <c r="H880" s="10"/>
      <c r="I880" s="11">
        <v>2.5960000000000001</v>
      </c>
      <c r="J880" s="12" t="str">
        <f t="shared" si="40"/>
        <v/>
      </c>
      <c r="K880" s="12">
        <f t="shared" si="41"/>
        <v>0.65767526964560863</v>
      </c>
      <c r="L880" s="12" t="e">
        <f t="shared" si="42"/>
        <v>#VALUE!</v>
      </c>
    </row>
    <row r="881" spans="1:12" ht="24" customHeight="1" x14ac:dyDescent="0.25">
      <c r="A881" s="9">
        <v>43284</v>
      </c>
      <c r="B881" s="10" t="s">
        <v>382</v>
      </c>
      <c r="C881" s="17">
        <v>432</v>
      </c>
      <c r="D881" s="11" t="e">
        <f>VLOOKUP(B881,#REF!,7,FALSE)</f>
        <v>#REF!</v>
      </c>
      <c r="E881" s="10">
        <f>12.0846/6</f>
        <v>2.0141</v>
      </c>
      <c r="F881" s="10"/>
      <c r="G881" s="10"/>
      <c r="H881" s="10"/>
      <c r="I881" s="11">
        <v>7.2839999999999998</v>
      </c>
      <c r="J881" s="12" t="str">
        <f t="shared" si="40"/>
        <v/>
      </c>
      <c r="K881" s="12">
        <f t="shared" si="41"/>
        <v>0.72348984074684242</v>
      </c>
      <c r="L881" s="12" t="e">
        <f t="shared" si="42"/>
        <v>#VALUE!</v>
      </c>
    </row>
    <row r="882" spans="1:12" ht="24" customHeight="1" x14ac:dyDescent="0.25">
      <c r="A882" s="9">
        <v>43284</v>
      </c>
      <c r="B882" s="10" t="s">
        <v>383</v>
      </c>
      <c r="C882" s="17">
        <v>222</v>
      </c>
      <c r="D882" s="11" t="e">
        <f>VLOOKUP(B882,#REF!,7,FALSE)</f>
        <v>#REF!</v>
      </c>
      <c r="E882" s="10">
        <f>18.1098/6</f>
        <v>3.0183</v>
      </c>
      <c r="F882" s="10"/>
      <c r="G882" s="10"/>
      <c r="H882" s="10"/>
      <c r="I882" s="11" t="e">
        <f>+VLOOKUP(B882,#REF!,7,FALSE)</f>
        <v>#REF!</v>
      </c>
      <c r="J882" s="12" t="str">
        <f t="shared" si="40"/>
        <v/>
      </c>
      <c r="K882" s="12" t="str">
        <f t="shared" si="41"/>
        <v/>
      </c>
      <c r="L882" s="12" t="e">
        <f t="shared" si="42"/>
        <v>#VALUE!</v>
      </c>
    </row>
    <row r="883" spans="1:12" ht="24" customHeight="1" x14ac:dyDescent="0.25">
      <c r="A883" s="9">
        <v>43284</v>
      </c>
      <c r="B883" s="10" t="s">
        <v>384</v>
      </c>
      <c r="C883" s="17">
        <v>84</v>
      </c>
      <c r="D883" s="11" t="e">
        <f>VLOOKUP(B883,#REF!,7,FALSE)</f>
        <v>#REF!</v>
      </c>
      <c r="E883" s="10">
        <f>9.9846/12</f>
        <v>0.83205000000000007</v>
      </c>
      <c r="F883" s="10"/>
      <c r="G883" s="10"/>
      <c r="H883" s="10"/>
      <c r="I883" s="11" t="e">
        <f>+VLOOKUP(B883,#REF!,7,FALSE)</f>
        <v>#REF!</v>
      </c>
      <c r="J883" s="12" t="str">
        <f t="shared" si="40"/>
        <v/>
      </c>
      <c r="K883" s="12" t="str">
        <f t="shared" si="41"/>
        <v/>
      </c>
      <c r="L883" s="12" t="e">
        <f t="shared" si="42"/>
        <v>#VALUE!</v>
      </c>
    </row>
    <row r="884" spans="1:12" ht="24" customHeight="1" x14ac:dyDescent="0.25">
      <c r="A884" s="9">
        <v>43284</v>
      </c>
      <c r="B884" s="10" t="s">
        <v>386</v>
      </c>
      <c r="C884" s="17">
        <v>18</v>
      </c>
      <c r="D884" s="11" t="e">
        <f>VLOOKUP(B884,#REF!,7,FALSE)</f>
        <v>#REF!</v>
      </c>
      <c r="E884" s="10">
        <f>14.1468/6</f>
        <v>2.3578000000000001</v>
      </c>
      <c r="F884" s="10"/>
      <c r="G884" s="10"/>
      <c r="H884" s="10"/>
      <c r="I884" s="11">
        <v>7.157</v>
      </c>
      <c r="J884" s="12" t="str">
        <f t="shared" si="40"/>
        <v/>
      </c>
      <c r="K884" s="12">
        <f t="shared" si="41"/>
        <v>0.67056029062456335</v>
      </c>
      <c r="L884" s="12" t="e">
        <f t="shared" si="42"/>
        <v>#VALUE!</v>
      </c>
    </row>
    <row r="885" spans="1:12" ht="24" customHeight="1" x14ac:dyDescent="0.25">
      <c r="A885" s="9">
        <v>43284</v>
      </c>
      <c r="B885" s="10" t="s">
        <v>387</v>
      </c>
      <c r="C885" s="17">
        <v>12</v>
      </c>
      <c r="D885" s="11" t="e">
        <f>VLOOKUP(B885,#REF!,7,FALSE)</f>
        <v>#REF!</v>
      </c>
      <c r="E885" s="10">
        <f>20.1701/6</f>
        <v>3.3616833333333336</v>
      </c>
      <c r="F885" s="10"/>
      <c r="G885" s="10"/>
      <c r="H885" s="10"/>
      <c r="I885" s="11">
        <v>9.8140000000000001</v>
      </c>
      <c r="J885" s="12" t="str">
        <f t="shared" si="40"/>
        <v/>
      </c>
      <c r="K885" s="12">
        <f t="shared" si="41"/>
        <v>0.65746043067726379</v>
      </c>
      <c r="L885" s="12" t="e">
        <f t="shared" si="42"/>
        <v>#VALUE!</v>
      </c>
    </row>
    <row r="886" spans="1:12" ht="24" customHeight="1" x14ac:dyDescent="0.25">
      <c r="A886" s="9">
        <v>43284</v>
      </c>
      <c r="B886" s="10" t="s">
        <v>388</v>
      </c>
      <c r="C886" s="17">
        <v>56</v>
      </c>
      <c r="D886" s="11" t="e">
        <f>VLOOKUP(B886,#REF!,7,FALSE)</f>
        <v>#REF!</v>
      </c>
      <c r="E886" s="10">
        <f>7.0437/8</f>
        <v>0.88046250000000004</v>
      </c>
      <c r="F886" s="10"/>
      <c r="G886" s="10"/>
      <c r="H886" s="10"/>
      <c r="I886" s="11">
        <v>2.9580000000000002</v>
      </c>
      <c r="J886" s="12" t="str">
        <f t="shared" si="40"/>
        <v/>
      </c>
      <c r="K886" s="12">
        <f t="shared" si="41"/>
        <v>0.70234533468559834</v>
      </c>
      <c r="L886" s="12" t="e">
        <f t="shared" si="42"/>
        <v>#VALUE!</v>
      </c>
    </row>
    <row r="887" spans="1:12" ht="24" customHeight="1" x14ac:dyDescent="0.25">
      <c r="A887" s="9">
        <v>43284</v>
      </c>
      <c r="B887" s="10" t="s">
        <v>182</v>
      </c>
      <c r="C887" s="17">
        <v>1296</v>
      </c>
      <c r="D887" s="11" t="e">
        <f>VLOOKUP(B887,#REF!,7,FALSE)/6</f>
        <v>#REF!</v>
      </c>
      <c r="E887" s="10">
        <f>13.6135/6</f>
        <v>2.2689166666666667</v>
      </c>
      <c r="F887" s="10"/>
      <c r="G887" s="10"/>
      <c r="H887" s="10"/>
      <c r="I887" s="11" t="e">
        <f>+VLOOKUP(B887,#REF!,7,FALSE)</f>
        <v>#REF!</v>
      </c>
      <c r="J887" s="12" t="str">
        <f t="shared" si="40"/>
        <v/>
      </c>
      <c r="K887" s="12" t="str">
        <f t="shared" si="41"/>
        <v/>
      </c>
      <c r="L887" s="12" t="e">
        <f t="shared" si="42"/>
        <v>#VALUE!</v>
      </c>
    </row>
    <row r="888" spans="1:12" ht="24" customHeight="1" x14ac:dyDescent="0.25">
      <c r="A888" s="9">
        <v>43284</v>
      </c>
      <c r="B888" s="10" t="s">
        <v>389</v>
      </c>
      <c r="C888" s="17">
        <v>3414</v>
      </c>
      <c r="D888" s="11" t="e">
        <f>VLOOKUP(B888,#REF!,7,FALSE)</f>
        <v>#REF!</v>
      </c>
      <c r="E888" s="10">
        <f>5.1349/6</f>
        <v>0.85581666666666667</v>
      </c>
      <c r="F888" s="10"/>
      <c r="G888" s="10"/>
      <c r="H888" s="10"/>
      <c r="I888" s="11" t="e">
        <f>+VLOOKUP(B888,#REF!,7,FALSE)</f>
        <v>#REF!</v>
      </c>
      <c r="J888" s="12" t="str">
        <f t="shared" si="40"/>
        <v/>
      </c>
      <c r="K888" s="12" t="str">
        <f t="shared" si="41"/>
        <v/>
      </c>
      <c r="L888" s="12" t="e">
        <f t="shared" si="42"/>
        <v>#VALUE!</v>
      </c>
    </row>
    <row r="889" spans="1:12" ht="24" customHeight="1" x14ac:dyDescent="0.25">
      <c r="A889" s="9">
        <v>43284</v>
      </c>
      <c r="B889" s="10" t="s">
        <v>208</v>
      </c>
      <c r="C889" s="17">
        <v>5580</v>
      </c>
      <c r="D889" s="11" t="e">
        <f>VLOOKUP(B889,#REF!,7,FALSE)</f>
        <v>#REF!</v>
      </c>
      <c r="E889" s="10">
        <f>9.7585/6</f>
        <v>1.6264166666666666</v>
      </c>
      <c r="F889" s="10"/>
      <c r="G889" s="10"/>
      <c r="H889" s="10"/>
      <c r="I889" s="11" t="e">
        <f>+VLOOKUP(B889,#REF!,7,FALSE)</f>
        <v>#REF!</v>
      </c>
      <c r="J889" s="12" t="str">
        <f t="shared" si="40"/>
        <v/>
      </c>
      <c r="K889" s="12" t="str">
        <f t="shared" si="41"/>
        <v/>
      </c>
      <c r="L889" s="12" t="e">
        <f t="shared" si="42"/>
        <v>#VALUE!</v>
      </c>
    </row>
    <row r="890" spans="1:12" ht="24" customHeight="1" x14ac:dyDescent="0.25">
      <c r="A890" s="9">
        <v>43284</v>
      </c>
      <c r="B890" s="10" t="s">
        <v>230</v>
      </c>
      <c r="C890" s="17">
        <v>7182</v>
      </c>
      <c r="D890" s="11" t="e">
        <f>VLOOKUP(B890,#REF!,7,FALSE)</f>
        <v>#REF!</v>
      </c>
      <c r="E890" s="10">
        <f>3.8975/6</f>
        <v>0.64958333333333329</v>
      </c>
      <c r="F890" s="10"/>
      <c r="G890" s="10"/>
      <c r="H890" s="10"/>
      <c r="I890" s="11" t="e">
        <f>+VLOOKUP(B890,#REF!,7,FALSE)</f>
        <v>#REF!</v>
      </c>
      <c r="J890" s="12" t="str">
        <f t="shared" si="40"/>
        <v/>
      </c>
      <c r="K890" s="12" t="str">
        <f t="shared" si="41"/>
        <v/>
      </c>
      <c r="L890" s="12" t="e">
        <f t="shared" si="42"/>
        <v>#VALUE!</v>
      </c>
    </row>
    <row r="891" spans="1:12" ht="24" customHeight="1" x14ac:dyDescent="0.25">
      <c r="A891" s="9">
        <v>43284</v>
      </c>
      <c r="B891" s="10" t="s">
        <v>421</v>
      </c>
      <c r="C891" s="17">
        <v>1544</v>
      </c>
      <c r="D891" s="11" t="e">
        <f>VLOOKUP(B891,#REF!,7,FALSE)</f>
        <v>#REF!</v>
      </c>
      <c r="E891" s="10">
        <f>10.0522/8</f>
        <v>1.2565249999999999</v>
      </c>
      <c r="F891" s="10"/>
      <c r="G891" s="10"/>
      <c r="H891" s="10"/>
      <c r="I891" s="11">
        <v>3.6</v>
      </c>
      <c r="J891" s="12" t="str">
        <f t="shared" si="40"/>
        <v/>
      </c>
      <c r="K891" s="12">
        <f t="shared" si="41"/>
        <v>0.6509652777777778</v>
      </c>
      <c r="L891" s="12" t="e">
        <f t="shared" si="42"/>
        <v>#VALUE!</v>
      </c>
    </row>
    <row r="892" spans="1:12" ht="24" customHeight="1" x14ac:dyDescent="0.25">
      <c r="A892" s="9">
        <v>43284</v>
      </c>
      <c r="B892" s="10" t="s">
        <v>441</v>
      </c>
      <c r="C892" s="17">
        <v>1734</v>
      </c>
      <c r="D892" s="11" t="e">
        <f>VLOOKUP(B892,#REF!,7,FALSE)</f>
        <v>#REF!</v>
      </c>
      <c r="E892" s="10">
        <v>0.51539999999999997</v>
      </c>
      <c r="F892" s="10"/>
      <c r="G892" s="10"/>
      <c r="H892" s="10"/>
      <c r="I892" s="11" t="e">
        <f>+VLOOKUP(B892,#REF!,7,FALSE)</f>
        <v>#REF!</v>
      </c>
      <c r="J892" s="12" t="str">
        <f t="shared" si="40"/>
        <v/>
      </c>
      <c r="K892" s="12" t="str">
        <f t="shared" si="41"/>
        <v/>
      </c>
      <c r="L892" s="12" t="e">
        <f t="shared" si="42"/>
        <v>#VALUE!</v>
      </c>
    </row>
    <row r="893" spans="1:12" ht="24" customHeight="1" x14ac:dyDescent="0.25">
      <c r="A893" s="9">
        <v>43285</v>
      </c>
      <c r="B893" s="10" t="s">
        <v>304</v>
      </c>
      <c r="C893" s="17">
        <v>10208</v>
      </c>
      <c r="D893" s="11" t="e">
        <f>VLOOKUP(B893,#REF!,7,FALSE)</f>
        <v>#REF!</v>
      </c>
      <c r="E893" s="10">
        <f>9.0376/32</f>
        <v>0.28242499999999998</v>
      </c>
      <c r="F893" s="10"/>
      <c r="G893" s="10"/>
      <c r="H893" s="10"/>
      <c r="I893" s="11" t="e">
        <f>+VLOOKUP(B893,#REF!,7,FALSE)</f>
        <v>#REF!</v>
      </c>
      <c r="J893" s="12" t="str">
        <f t="shared" si="40"/>
        <v/>
      </c>
      <c r="K893" s="12" t="str">
        <f t="shared" si="41"/>
        <v/>
      </c>
      <c r="L893" s="12" t="e">
        <f t="shared" si="42"/>
        <v>#VALUE!</v>
      </c>
    </row>
    <row r="894" spans="1:12" ht="24" customHeight="1" x14ac:dyDescent="0.25">
      <c r="A894" s="9">
        <v>43285</v>
      </c>
      <c r="B894" s="10" t="s">
        <v>315</v>
      </c>
      <c r="C894" s="17">
        <v>68128</v>
      </c>
      <c r="D894" s="11" t="e">
        <f>VLOOKUP(B894,#REF!,7,FALSE)</f>
        <v>#REF!</v>
      </c>
      <c r="E894" s="10">
        <v>0.23</v>
      </c>
      <c r="F894" s="10"/>
      <c r="G894" s="10"/>
      <c r="H894" s="10"/>
      <c r="I894" s="11" t="e">
        <f>+VLOOKUP(B894,#REF!,7,FALSE)</f>
        <v>#REF!</v>
      </c>
      <c r="J894" s="12" t="str">
        <f t="shared" si="40"/>
        <v/>
      </c>
      <c r="K894" s="12" t="str">
        <f t="shared" si="41"/>
        <v/>
      </c>
      <c r="L894" s="12" t="e">
        <f t="shared" si="42"/>
        <v>#VALUE!</v>
      </c>
    </row>
    <row r="895" spans="1:12" ht="24" customHeight="1" x14ac:dyDescent="0.25">
      <c r="A895" s="9">
        <v>43285</v>
      </c>
      <c r="B895" s="10" t="s">
        <v>318</v>
      </c>
      <c r="C895" s="17">
        <v>5004</v>
      </c>
      <c r="D895" s="11" t="e">
        <f>VLOOKUP(B895,#REF!,7,FALSE)/12</f>
        <v>#REF!</v>
      </c>
      <c r="E895" s="10">
        <f>7.1504/12</f>
        <v>0.59586666666666666</v>
      </c>
      <c r="F895" s="10"/>
      <c r="G895" s="10"/>
      <c r="H895" s="10"/>
      <c r="I895" s="11" t="e">
        <f>+VLOOKUP(B895,#REF!,7,FALSE)</f>
        <v>#REF!</v>
      </c>
      <c r="J895" s="12" t="str">
        <f t="shared" si="40"/>
        <v/>
      </c>
      <c r="K895" s="12" t="str">
        <f t="shared" si="41"/>
        <v/>
      </c>
      <c r="L895" s="12" t="e">
        <f t="shared" si="42"/>
        <v>#VALUE!</v>
      </c>
    </row>
    <row r="896" spans="1:12" ht="24" customHeight="1" x14ac:dyDescent="0.25">
      <c r="A896" s="9">
        <v>43285</v>
      </c>
      <c r="B896" s="10" t="s">
        <v>178</v>
      </c>
      <c r="C896" s="17">
        <v>5238</v>
      </c>
      <c r="D896" s="11" t="e">
        <f>VLOOKUP(B896,#REF!,7,FALSE)/6</f>
        <v>#REF!</v>
      </c>
      <c r="E896" s="21">
        <f>3.0271/6</f>
        <v>0.50451666666666661</v>
      </c>
      <c r="F896" s="10"/>
      <c r="G896" s="10"/>
      <c r="H896" s="10"/>
      <c r="I896" s="11" t="e">
        <f>+VLOOKUP(B896,#REF!,7,FALSE)</f>
        <v>#REF!</v>
      </c>
      <c r="J896" s="12" t="str">
        <f t="shared" si="40"/>
        <v/>
      </c>
      <c r="K896" s="12" t="str">
        <f t="shared" si="41"/>
        <v/>
      </c>
      <c r="L896" s="12" t="e">
        <f t="shared" si="42"/>
        <v>#VALUE!</v>
      </c>
    </row>
    <row r="897" spans="1:12" ht="24" customHeight="1" x14ac:dyDescent="0.25">
      <c r="A897" s="9">
        <v>43285</v>
      </c>
      <c r="B897" s="10" t="s">
        <v>389</v>
      </c>
      <c r="C897" s="17">
        <v>24</v>
      </c>
      <c r="D897" s="11" t="e">
        <f>VLOOKUP(B897,#REF!,7,FALSE)</f>
        <v>#REF!</v>
      </c>
      <c r="E897" s="10">
        <f>5.4741/6</f>
        <v>0.91234999999999999</v>
      </c>
      <c r="F897" s="10"/>
      <c r="G897" s="10"/>
      <c r="H897" s="10"/>
      <c r="I897" s="11" t="e">
        <f>+VLOOKUP(B897,#REF!,7,FALSE)</f>
        <v>#REF!</v>
      </c>
      <c r="J897" s="12" t="str">
        <f t="shared" si="40"/>
        <v/>
      </c>
      <c r="K897" s="12" t="str">
        <f t="shared" si="41"/>
        <v/>
      </c>
      <c r="L897" s="12" t="e">
        <f t="shared" si="42"/>
        <v>#VALUE!</v>
      </c>
    </row>
    <row r="898" spans="1:12" ht="24" customHeight="1" x14ac:dyDescent="0.25">
      <c r="A898" s="9">
        <v>43285</v>
      </c>
      <c r="B898" s="10" t="s">
        <v>416</v>
      </c>
      <c r="C898" s="17">
        <v>344</v>
      </c>
      <c r="D898" s="11" t="e">
        <f>VLOOKUP(B898,#REF!,7,FALSE)</f>
        <v>#REF!</v>
      </c>
      <c r="E898" s="10">
        <f>14.4646/8</f>
        <v>1.8080750000000001</v>
      </c>
      <c r="F898" s="10"/>
      <c r="G898" s="10"/>
      <c r="H898" s="10"/>
      <c r="I898" s="11" t="e">
        <f>+VLOOKUP(B898,#REF!,7,FALSE)</f>
        <v>#REF!</v>
      </c>
      <c r="J898" s="12" t="str">
        <f t="shared" si="40"/>
        <v/>
      </c>
      <c r="K898" s="12" t="str">
        <f t="shared" si="41"/>
        <v/>
      </c>
      <c r="L898" s="12" t="e">
        <f t="shared" si="42"/>
        <v>#VALUE!</v>
      </c>
    </row>
    <row r="899" spans="1:12" ht="24" customHeight="1" x14ac:dyDescent="0.25">
      <c r="A899" s="9">
        <v>43285</v>
      </c>
      <c r="B899" s="10" t="s">
        <v>230</v>
      </c>
      <c r="C899" s="17">
        <v>8874</v>
      </c>
      <c r="D899" s="11" t="e">
        <f>VLOOKUP(B899,#REF!,7,FALSE)</f>
        <v>#REF!</v>
      </c>
      <c r="E899" s="10">
        <f>3.6052/6</f>
        <v>0.60086666666666666</v>
      </c>
      <c r="F899" s="10"/>
      <c r="G899" s="10"/>
      <c r="H899" s="10"/>
      <c r="I899" s="11" t="e">
        <f>+VLOOKUP(B899,#REF!,7,FALSE)</f>
        <v>#REF!</v>
      </c>
      <c r="J899" s="12" t="str">
        <f t="shared" si="40"/>
        <v/>
      </c>
      <c r="K899" s="12" t="str">
        <f t="shared" si="41"/>
        <v/>
      </c>
      <c r="L899" s="12" t="e">
        <f t="shared" si="42"/>
        <v>#VALUE!</v>
      </c>
    </row>
    <row r="900" spans="1:12" ht="24" customHeight="1" x14ac:dyDescent="0.25">
      <c r="A900" s="9">
        <v>43285</v>
      </c>
      <c r="B900" s="10" t="s">
        <v>440</v>
      </c>
      <c r="C900" s="17">
        <v>4960</v>
      </c>
      <c r="D900" s="11" t="e">
        <f>VLOOKUP(B900,#REF!,7,FALSE)</f>
        <v>#REF!</v>
      </c>
      <c r="E900" s="10">
        <v>0.58679999999999999</v>
      </c>
      <c r="F900" s="10"/>
      <c r="G900" s="10"/>
      <c r="H900" s="10"/>
      <c r="I900" s="11" t="e">
        <f>+VLOOKUP(B900,#REF!,7,FALSE)</f>
        <v>#REF!</v>
      </c>
      <c r="J900" s="12" t="str">
        <f t="shared" ref="J900:J963" si="43">IFERROR((I900-(D900+F900))/I900,"")</f>
        <v/>
      </c>
      <c r="K900" s="12" t="str">
        <f t="shared" ref="K900:K963" si="44">IF(E900="","",IFERROR((I900-(E900+G900+H900))/I900,""))</f>
        <v/>
      </c>
      <c r="L900" s="12" t="e">
        <f t="shared" si="42"/>
        <v>#VALUE!</v>
      </c>
    </row>
    <row r="901" spans="1:12" ht="24" customHeight="1" x14ac:dyDescent="0.25">
      <c r="A901" s="9">
        <v>43285</v>
      </c>
      <c r="B901" s="10" t="s">
        <v>441</v>
      </c>
      <c r="C901" s="17">
        <v>5328</v>
      </c>
      <c r="D901" s="11" t="e">
        <f>VLOOKUP(B901,#REF!,7,FALSE)</f>
        <v>#REF!</v>
      </c>
      <c r="E901" s="10">
        <v>0.54579999999999995</v>
      </c>
      <c r="F901" s="10"/>
      <c r="G901" s="10"/>
      <c r="H901" s="10"/>
      <c r="I901" s="11" t="e">
        <f>+VLOOKUP(B901,#REF!,7,FALSE)</f>
        <v>#REF!</v>
      </c>
      <c r="J901" s="12" t="str">
        <f t="shared" si="43"/>
        <v/>
      </c>
      <c r="K901" s="12" t="str">
        <f t="shared" si="44"/>
        <v/>
      </c>
      <c r="L901" s="12" t="e">
        <f t="shared" si="42"/>
        <v>#VALUE!</v>
      </c>
    </row>
    <row r="902" spans="1:12" ht="24" customHeight="1" x14ac:dyDescent="0.25">
      <c r="A902" s="9">
        <v>43285</v>
      </c>
      <c r="B902" s="10" t="s">
        <v>432</v>
      </c>
      <c r="C902" s="17">
        <v>10932</v>
      </c>
      <c r="D902" s="11" t="e">
        <f>VLOOKUP(B902,#REF!,7,FALSE)</f>
        <v>#REF!</v>
      </c>
      <c r="E902" s="10">
        <f>13.7601/6</f>
        <v>2.2933499999999998</v>
      </c>
      <c r="F902" s="10"/>
      <c r="G902" s="10"/>
      <c r="H902" s="10"/>
      <c r="I902" s="11" t="e">
        <f>+VLOOKUP(B902,#REF!,7,FALSE)</f>
        <v>#REF!</v>
      </c>
      <c r="J902" s="12" t="str">
        <f t="shared" si="43"/>
        <v/>
      </c>
      <c r="K902" s="12" t="str">
        <f t="shared" si="44"/>
        <v/>
      </c>
      <c r="L902" s="12" t="e">
        <f t="shared" si="42"/>
        <v>#VALUE!</v>
      </c>
    </row>
    <row r="903" spans="1:12" ht="24" customHeight="1" x14ac:dyDescent="0.25">
      <c r="A903" s="15">
        <v>43286</v>
      </c>
      <c r="B903" s="15" t="s">
        <v>303</v>
      </c>
      <c r="C903" s="27">
        <v>29888</v>
      </c>
      <c r="D903" s="11" t="e">
        <f>VLOOKUP(B903,#REF!,7,FALSE)</f>
        <v>#REF!</v>
      </c>
      <c r="E903" s="31">
        <v>0.38429999999999997</v>
      </c>
      <c r="F903" s="30"/>
      <c r="G903" s="10"/>
      <c r="H903" s="10"/>
      <c r="I903" s="11" t="e">
        <f>+VLOOKUP(B903,#REF!,7,FALSE)</f>
        <v>#REF!</v>
      </c>
      <c r="J903" s="12" t="str">
        <f t="shared" si="43"/>
        <v/>
      </c>
      <c r="K903" s="12" t="str">
        <f t="shared" si="44"/>
        <v/>
      </c>
      <c r="L903" s="12" t="e">
        <f t="shared" si="42"/>
        <v>#VALUE!</v>
      </c>
    </row>
    <row r="904" spans="1:12" ht="24" customHeight="1" x14ac:dyDescent="0.25">
      <c r="A904" s="15">
        <v>43286</v>
      </c>
      <c r="B904" s="15" t="s">
        <v>319</v>
      </c>
      <c r="C904" s="27">
        <v>25116</v>
      </c>
      <c r="D904" s="11" t="e">
        <f>VLOOKUP(B904,#REF!,7,FALSE)</f>
        <v>#REF!</v>
      </c>
      <c r="E904" s="31">
        <v>0.55269999999999997</v>
      </c>
      <c r="F904" s="30"/>
      <c r="G904" s="10"/>
      <c r="H904" s="10"/>
      <c r="I904" s="11" t="e">
        <f>+VLOOKUP(B904,#REF!,7,FALSE)</f>
        <v>#REF!</v>
      </c>
      <c r="J904" s="12" t="str">
        <f t="shared" si="43"/>
        <v/>
      </c>
      <c r="K904" s="12" t="str">
        <f t="shared" si="44"/>
        <v/>
      </c>
      <c r="L904" s="12" t="e">
        <f t="shared" si="42"/>
        <v>#VALUE!</v>
      </c>
    </row>
    <row r="905" spans="1:12" ht="24" customHeight="1" x14ac:dyDescent="0.25">
      <c r="A905" s="15">
        <v>43286</v>
      </c>
      <c r="B905" s="15" t="s">
        <v>138</v>
      </c>
      <c r="C905" s="27">
        <v>3420</v>
      </c>
      <c r="D905" s="11" t="e">
        <f>VLOOKUP(B905,#REF!,7,FALSE)</f>
        <v>#REF!</v>
      </c>
      <c r="E905" s="31">
        <v>1.2769999999999999</v>
      </c>
      <c r="I905" s="11" t="e">
        <f>+VLOOKUP(B905,#REF!,7,FALSE)</f>
        <v>#REF!</v>
      </c>
      <c r="J905" s="12" t="str">
        <f t="shared" si="43"/>
        <v/>
      </c>
      <c r="K905" s="12" t="str">
        <f t="shared" si="44"/>
        <v/>
      </c>
      <c r="L905" s="12" t="e">
        <f t="shared" si="42"/>
        <v>#VALUE!</v>
      </c>
    </row>
    <row r="906" spans="1:12" ht="24" customHeight="1" x14ac:dyDescent="0.25">
      <c r="A906" s="15">
        <v>43286</v>
      </c>
      <c r="B906" s="15" t="s">
        <v>230</v>
      </c>
      <c r="C906" s="27">
        <v>20022</v>
      </c>
      <c r="D906" s="11" t="e">
        <f>VLOOKUP(B906,#REF!,7,FALSE)</f>
        <v>#REF!</v>
      </c>
      <c r="E906" s="31">
        <v>0.57469999999999999</v>
      </c>
      <c r="I906" s="11" t="e">
        <f>+VLOOKUP(B906,#REF!,7,FALSE)</f>
        <v>#REF!</v>
      </c>
      <c r="J906" s="12" t="str">
        <f t="shared" si="43"/>
        <v/>
      </c>
      <c r="K906" s="12" t="str">
        <f t="shared" si="44"/>
        <v/>
      </c>
      <c r="L906" s="12" t="e">
        <f t="shared" si="42"/>
        <v>#VALUE!</v>
      </c>
    </row>
    <row r="907" spans="1:12" ht="24" customHeight="1" x14ac:dyDescent="0.25">
      <c r="A907" s="15">
        <v>43286</v>
      </c>
      <c r="B907" s="15" t="s">
        <v>430</v>
      </c>
      <c r="C907" s="27">
        <v>3234</v>
      </c>
      <c r="D907" s="11" t="e">
        <f>VLOOKUP(B907,#REF!,7,FALSE)</f>
        <v>#REF!</v>
      </c>
      <c r="E907" s="31">
        <v>3.3187000000000002</v>
      </c>
      <c r="I907" s="11" t="e">
        <f>+VLOOKUP(B907,#REF!,7,FALSE)</f>
        <v>#REF!</v>
      </c>
      <c r="J907" s="12" t="str">
        <f t="shared" si="43"/>
        <v/>
      </c>
      <c r="K907" s="12" t="str">
        <f t="shared" si="44"/>
        <v/>
      </c>
      <c r="L907" s="12" t="e">
        <f t="shared" si="42"/>
        <v>#VALUE!</v>
      </c>
    </row>
    <row r="908" spans="1:12" ht="24" customHeight="1" x14ac:dyDescent="0.25">
      <c r="A908" s="15">
        <v>43286</v>
      </c>
      <c r="B908" s="15" t="s">
        <v>432</v>
      </c>
      <c r="C908" s="27">
        <v>8880</v>
      </c>
      <c r="D908" s="11" t="e">
        <f>VLOOKUP(B908,#REF!,7,FALSE)</f>
        <v>#REF!</v>
      </c>
      <c r="E908" s="31">
        <v>2.2160000000000002</v>
      </c>
      <c r="I908" s="11" t="e">
        <f>+VLOOKUP(B908,#REF!,7,FALSE)</f>
        <v>#REF!</v>
      </c>
      <c r="J908" s="12" t="str">
        <f t="shared" si="43"/>
        <v/>
      </c>
      <c r="K908" s="12" t="str">
        <f t="shared" si="44"/>
        <v/>
      </c>
      <c r="L908" s="12" t="e">
        <f t="shared" si="42"/>
        <v>#VALUE!</v>
      </c>
    </row>
    <row r="909" spans="1:12" ht="24" customHeight="1" x14ac:dyDescent="0.25">
      <c r="A909" s="15">
        <v>43286</v>
      </c>
      <c r="B909" s="15" t="s">
        <v>226</v>
      </c>
      <c r="C909" s="27">
        <v>1848</v>
      </c>
      <c r="D909" s="11" t="e">
        <f>VLOOKUP(B909,#REF!,7,FALSE)</f>
        <v>#REF!</v>
      </c>
      <c r="E909" s="31">
        <v>0.30430000000000001</v>
      </c>
      <c r="I909" s="11" t="e">
        <f>+VLOOKUP(B909,#REF!,7,FALSE)</f>
        <v>#REF!</v>
      </c>
      <c r="J909" s="12" t="str">
        <f t="shared" si="43"/>
        <v/>
      </c>
      <c r="K909" s="12" t="str">
        <f t="shared" si="44"/>
        <v/>
      </c>
      <c r="L909" s="12" t="e">
        <f t="shared" si="42"/>
        <v>#VALUE!</v>
      </c>
    </row>
    <row r="910" spans="1:12" ht="24" customHeight="1" x14ac:dyDescent="0.25">
      <c r="A910" s="15">
        <v>43287</v>
      </c>
      <c r="B910" s="15" t="s">
        <v>303</v>
      </c>
      <c r="C910" s="27">
        <v>82432</v>
      </c>
      <c r="D910" s="11" t="e">
        <f>VLOOKUP(B910,#REF!,7,FALSE)</f>
        <v>#REF!</v>
      </c>
      <c r="E910" s="31">
        <v>0.223</v>
      </c>
      <c r="I910" s="11" t="e">
        <f>+VLOOKUP(B910,#REF!,7,FALSE)</f>
        <v>#REF!</v>
      </c>
      <c r="J910" s="12" t="str">
        <f t="shared" si="43"/>
        <v/>
      </c>
      <c r="K910" s="12" t="str">
        <f t="shared" si="44"/>
        <v/>
      </c>
      <c r="L910" s="12" t="e">
        <f t="shared" si="42"/>
        <v>#VALUE!</v>
      </c>
    </row>
    <row r="911" spans="1:12" ht="24" customHeight="1" x14ac:dyDescent="0.25">
      <c r="A911" s="15">
        <v>43287</v>
      </c>
      <c r="B911" s="15" t="s">
        <v>93</v>
      </c>
      <c r="C911" s="27">
        <v>519</v>
      </c>
      <c r="D911" s="11" t="e">
        <f>VLOOKUP(B911,#REF!,7,FALSE)</f>
        <v>#REF!</v>
      </c>
      <c r="E911" s="31">
        <v>17.9238</v>
      </c>
      <c r="I911" s="11" t="e">
        <f>+VLOOKUP(B911,#REF!,7,FALSE)</f>
        <v>#REF!</v>
      </c>
      <c r="J911" s="12" t="str">
        <f t="shared" si="43"/>
        <v/>
      </c>
      <c r="K911" s="12" t="str">
        <f t="shared" si="44"/>
        <v/>
      </c>
      <c r="L911" s="12" t="e">
        <f t="shared" si="42"/>
        <v>#VALUE!</v>
      </c>
    </row>
    <row r="912" spans="1:12" ht="24" customHeight="1" x14ac:dyDescent="0.25">
      <c r="A912" s="15">
        <v>43287</v>
      </c>
      <c r="B912" s="15" t="s">
        <v>99</v>
      </c>
      <c r="C912" s="27">
        <v>6612</v>
      </c>
      <c r="D912" s="11" t="e">
        <f>VLOOKUP(B912,#REF!,7,FALSE)</f>
        <v>#REF!</v>
      </c>
      <c r="E912" s="31">
        <v>2.8651</v>
      </c>
      <c r="I912" s="11" t="e">
        <f>+VLOOKUP(B912,#REF!,7,FALSE)</f>
        <v>#REF!</v>
      </c>
      <c r="J912" s="12" t="str">
        <f t="shared" si="43"/>
        <v/>
      </c>
      <c r="K912" s="12" t="str">
        <f t="shared" si="44"/>
        <v/>
      </c>
      <c r="L912" s="12" t="e">
        <f t="shared" si="42"/>
        <v>#VALUE!</v>
      </c>
    </row>
    <row r="913" spans="1:12" ht="24" customHeight="1" x14ac:dyDescent="0.25">
      <c r="A913" s="15">
        <v>43287</v>
      </c>
      <c r="B913" s="15" t="s">
        <v>128</v>
      </c>
      <c r="C913" s="27">
        <v>43992</v>
      </c>
      <c r="D913" s="11" t="e">
        <f>VLOOKUP(B913,#REF!,7,FALSE)</f>
        <v>#REF!</v>
      </c>
      <c r="E913" s="31">
        <v>0.20660000000000001</v>
      </c>
      <c r="I913" s="11" t="e">
        <f>+VLOOKUP(B913,#REF!,7,FALSE)</f>
        <v>#REF!</v>
      </c>
      <c r="J913" s="12" t="str">
        <f t="shared" si="43"/>
        <v/>
      </c>
      <c r="K913" s="12" t="str">
        <f t="shared" si="44"/>
        <v/>
      </c>
      <c r="L913" s="12" t="e">
        <f t="shared" si="42"/>
        <v>#VALUE!</v>
      </c>
    </row>
    <row r="914" spans="1:12" ht="24" customHeight="1" x14ac:dyDescent="0.25">
      <c r="A914" s="15">
        <v>43287</v>
      </c>
      <c r="B914" s="15" t="s">
        <v>319</v>
      </c>
      <c r="C914" s="27">
        <v>4944</v>
      </c>
      <c r="D914" s="11" t="e">
        <f>VLOOKUP(B914,#REF!,7,FALSE)</f>
        <v>#REF!</v>
      </c>
      <c r="E914" s="31">
        <v>0.67800000000000005</v>
      </c>
      <c r="I914" s="11" t="e">
        <f>+VLOOKUP(B914,#REF!,7,FALSE)</f>
        <v>#REF!</v>
      </c>
      <c r="J914" s="12" t="str">
        <f t="shared" si="43"/>
        <v/>
      </c>
      <c r="K914" s="12" t="str">
        <f t="shared" si="44"/>
        <v/>
      </c>
      <c r="L914" s="12" t="e">
        <f t="shared" si="42"/>
        <v>#VALUE!</v>
      </c>
    </row>
    <row r="915" spans="1:12" ht="24" customHeight="1" x14ac:dyDescent="0.25">
      <c r="A915" s="15">
        <v>43287</v>
      </c>
      <c r="B915" s="15" t="s">
        <v>441</v>
      </c>
      <c r="C915" s="27">
        <v>5934</v>
      </c>
      <c r="D915" s="11" t="e">
        <f>VLOOKUP(B915,#REF!,7,FALSE)</f>
        <v>#REF!</v>
      </c>
      <c r="E915" s="31">
        <v>0.52190000000000003</v>
      </c>
      <c r="I915" s="11" t="e">
        <f>+VLOOKUP(B915,#REF!,7,FALSE)</f>
        <v>#REF!</v>
      </c>
      <c r="J915" s="12" t="str">
        <f t="shared" si="43"/>
        <v/>
      </c>
      <c r="K915" s="12" t="str">
        <f t="shared" si="44"/>
        <v/>
      </c>
      <c r="L915" s="12" t="e">
        <f t="shared" si="42"/>
        <v>#VALUE!</v>
      </c>
    </row>
    <row r="916" spans="1:12" ht="24" customHeight="1" x14ac:dyDescent="0.25">
      <c r="A916" s="15">
        <v>43287</v>
      </c>
      <c r="B916" s="15" t="s">
        <v>430</v>
      </c>
      <c r="C916" s="27">
        <v>5100</v>
      </c>
      <c r="D916" s="11" t="e">
        <f>VLOOKUP(B916,#REF!,7,FALSE)</f>
        <v>#REF!</v>
      </c>
      <c r="E916" s="31">
        <v>3.1978</v>
      </c>
      <c r="I916" s="11" t="e">
        <f>+VLOOKUP(B916,#REF!,7,FALSE)</f>
        <v>#REF!</v>
      </c>
      <c r="J916" s="12" t="str">
        <f t="shared" si="43"/>
        <v/>
      </c>
      <c r="K916" s="12" t="str">
        <f t="shared" si="44"/>
        <v/>
      </c>
      <c r="L916" s="12" t="e">
        <f t="shared" si="42"/>
        <v>#VALUE!</v>
      </c>
    </row>
    <row r="917" spans="1:12" ht="24" customHeight="1" x14ac:dyDescent="0.25">
      <c r="A917" s="15">
        <v>43287</v>
      </c>
      <c r="B917" s="15" t="s">
        <v>220</v>
      </c>
      <c r="C917" s="27">
        <v>846</v>
      </c>
      <c r="D917" s="11" t="e">
        <f>VLOOKUP(B917,#REF!,7,FALSE)</f>
        <v>#REF!</v>
      </c>
      <c r="E917" s="31">
        <v>1.9461999999999999</v>
      </c>
      <c r="I917" s="11" t="e">
        <f>+VLOOKUP(B917,#REF!,7,FALSE)</f>
        <v>#REF!</v>
      </c>
      <c r="J917" s="12" t="str">
        <f t="shared" si="43"/>
        <v/>
      </c>
      <c r="K917" s="12" t="str">
        <f t="shared" si="44"/>
        <v/>
      </c>
      <c r="L917" s="12" t="e">
        <f t="shared" si="42"/>
        <v>#VALUE!</v>
      </c>
    </row>
    <row r="918" spans="1:12" ht="24" customHeight="1" x14ac:dyDescent="0.25">
      <c r="A918" s="15">
        <v>43288</v>
      </c>
      <c r="B918" s="15" t="s">
        <v>264</v>
      </c>
      <c r="C918" s="27">
        <v>6912</v>
      </c>
      <c r="D918" s="11" t="e">
        <f>VLOOKUP(B918,#REF!,7,FALSE)</f>
        <v>#REF!</v>
      </c>
      <c r="E918" s="31">
        <v>0.2344</v>
      </c>
      <c r="I918" s="11" t="e">
        <f>+VLOOKUP(B918,#REF!,7,FALSE)</f>
        <v>#REF!</v>
      </c>
      <c r="J918" s="12" t="str">
        <f t="shared" si="43"/>
        <v/>
      </c>
      <c r="K918" s="12" t="str">
        <f t="shared" si="44"/>
        <v/>
      </c>
      <c r="L918" s="12" t="e">
        <f t="shared" si="42"/>
        <v>#VALUE!</v>
      </c>
    </row>
    <row r="919" spans="1:12" ht="24" customHeight="1" x14ac:dyDescent="0.25">
      <c r="A919" s="15">
        <v>43288</v>
      </c>
      <c r="B919" s="15" t="s">
        <v>99</v>
      </c>
      <c r="C919" s="27">
        <v>6630</v>
      </c>
      <c r="D919" s="11" t="e">
        <f>VLOOKUP(B919,#REF!,7,FALSE)</f>
        <v>#REF!</v>
      </c>
      <c r="E919" s="31">
        <v>2.5996999999999999</v>
      </c>
      <c r="I919" s="11" t="e">
        <f>+VLOOKUP(B919,#REF!,7,FALSE)</f>
        <v>#REF!</v>
      </c>
      <c r="J919" s="12" t="str">
        <f t="shared" si="43"/>
        <v/>
      </c>
      <c r="K919" s="12" t="str">
        <f t="shared" si="44"/>
        <v/>
      </c>
      <c r="L919" s="12" t="e">
        <f t="shared" si="42"/>
        <v>#VALUE!</v>
      </c>
    </row>
    <row r="920" spans="1:12" ht="24" customHeight="1" x14ac:dyDescent="0.25">
      <c r="A920" s="15">
        <v>43288</v>
      </c>
      <c r="B920" s="15" t="s">
        <v>117</v>
      </c>
      <c r="C920" s="27">
        <v>22020</v>
      </c>
      <c r="D920" s="11" t="e">
        <f>VLOOKUP(B920,#REF!,7,FALSE)</f>
        <v>#REF!</v>
      </c>
      <c r="E920" s="31">
        <v>0.23719999999999999</v>
      </c>
      <c r="I920" s="11" t="e">
        <f>+VLOOKUP(B920,#REF!,7,FALSE)</f>
        <v>#REF!</v>
      </c>
      <c r="J920" s="12" t="str">
        <f t="shared" si="43"/>
        <v/>
      </c>
      <c r="K920" s="12" t="str">
        <f t="shared" si="44"/>
        <v/>
      </c>
      <c r="L920" s="12" t="e">
        <f t="shared" si="42"/>
        <v>#VALUE!</v>
      </c>
    </row>
    <row r="921" spans="1:12" ht="24" customHeight="1" x14ac:dyDescent="0.25">
      <c r="A921" s="15">
        <v>43290</v>
      </c>
      <c r="B921" s="15" t="s">
        <v>253</v>
      </c>
      <c r="C921" s="27">
        <v>684</v>
      </c>
      <c r="D921" s="11" t="e">
        <f>VLOOKUP(B921,#REF!,7,FALSE)</f>
        <v>#REF!</v>
      </c>
      <c r="E921" s="31">
        <v>1.7436</v>
      </c>
      <c r="I921" s="11" t="e">
        <f>+VLOOKUP(B921,#REF!,7,FALSE)</f>
        <v>#REF!</v>
      </c>
      <c r="J921" s="12" t="str">
        <f t="shared" si="43"/>
        <v/>
      </c>
      <c r="K921" s="12" t="str">
        <f t="shared" si="44"/>
        <v/>
      </c>
      <c r="L921" s="12" t="e">
        <f t="shared" si="42"/>
        <v>#VALUE!</v>
      </c>
    </row>
    <row r="922" spans="1:12" ht="24" customHeight="1" x14ac:dyDescent="0.25">
      <c r="A922" s="15">
        <v>43290</v>
      </c>
      <c r="B922" s="15" t="s">
        <v>254</v>
      </c>
      <c r="C922" s="27">
        <v>900</v>
      </c>
      <c r="D922" s="11" t="e">
        <f>VLOOKUP(B922,#REF!,7,FALSE)</f>
        <v>#REF!</v>
      </c>
      <c r="E922" s="31">
        <v>1.38E-2</v>
      </c>
      <c r="I922" s="11" t="e">
        <f>+VLOOKUP(B922,#REF!,7,FALSE)</f>
        <v>#REF!</v>
      </c>
      <c r="J922" s="12" t="str">
        <f t="shared" si="43"/>
        <v/>
      </c>
      <c r="K922" s="12" t="str">
        <f t="shared" si="44"/>
        <v/>
      </c>
      <c r="L922" s="12" t="e">
        <f t="shared" si="42"/>
        <v>#VALUE!</v>
      </c>
    </row>
    <row r="923" spans="1:12" ht="24" customHeight="1" x14ac:dyDescent="0.25">
      <c r="A923" s="15">
        <v>43290</v>
      </c>
      <c r="B923" s="15" t="s">
        <v>114</v>
      </c>
      <c r="C923" s="27">
        <v>2724</v>
      </c>
      <c r="D923" s="11" t="e">
        <f>VLOOKUP(B923,#REF!,7,FALSE)</f>
        <v>#REF!</v>
      </c>
      <c r="E923" s="31">
        <v>2.1955</v>
      </c>
      <c r="I923" s="11" t="e">
        <f>+VLOOKUP(B923,#REF!,7,FALSE)</f>
        <v>#REF!</v>
      </c>
      <c r="J923" s="12" t="str">
        <f t="shared" si="43"/>
        <v/>
      </c>
      <c r="K923" s="12" t="str">
        <f t="shared" si="44"/>
        <v/>
      </c>
      <c r="L923" s="12" t="e">
        <f t="shared" si="42"/>
        <v>#VALUE!</v>
      </c>
    </row>
    <row r="924" spans="1:12" ht="24" customHeight="1" x14ac:dyDescent="0.25">
      <c r="A924" s="15">
        <v>43290</v>
      </c>
      <c r="B924" s="15" t="s">
        <v>178</v>
      </c>
      <c r="C924" s="27">
        <v>12504</v>
      </c>
      <c r="D924" s="11" t="e">
        <f>VLOOKUP(B924,#REF!,7,FALSE)</f>
        <v>#REF!</v>
      </c>
      <c r="E924" s="31">
        <v>0.50800000000000001</v>
      </c>
      <c r="I924" s="11" t="e">
        <f>+VLOOKUP(B924,#REF!,7,FALSE)</f>
        <v>#REF!</v>
      </c>
      <c r="J924" s="12" t="str">
        <f t="shared" si="43"/>
        <v/>
      </c>
      <c r="K924" s="12" t="str">
        <f t="shared" si="44"/>
        <v/>
      </c>
      <c r="L924" s="12" t="e">
        <f t="shared" si="42"/>
        <v>#VALUE!</v>
      </c>
    </row>
    <row r="925" spans="1:12" ht="24" customHeight="1" x14ac:dyDescent="0.25">
      <c r="A925" s="15">
        <v>43290</v>
      </c>
      <c r="B925" s="15" t="s">
        <v>432</v>
      </c>
      <c r="C925" s="27">
        <v>11538</v>
      </c>
      <c r="D925" s="11" t="e">
        <f>VLOOKUP(B925,#REF!,7,FALSE)</f>
        <v>#REF!</v>
      </c>
      <c r="E925" s="31">
        <v>2.3649</v>
      </c>
      <c r="I925" s="11" t="e">
        <f>+VLOOKUP(B925,#REF!,7,FALSE)</f>
        <v>#REF!</v>
      </c>
      <c r="J925" s="12" t="str">
        <f t="shared" si="43"/>
        <v/>
      </c>
      <c r="K925" s="12" t="str">
        <f t="shared" si="44"/>
        <v/>
      </c>
      <c r="L925" s="12" t="e">
        <f t="shared" si="42"/>
        <v>#VALUE!</v>
      </c>
    </row>
    <row r="926" spans="1:12" ht="24" customHeight="1" x14ac:dyDescent="0.25">
      <c r="A926" s="15">
        <v>43290</v>
      </c>
      <c r="B926" s="15" t="s">
        <v>483</v>
      </c>
      <c r="C926" s="27">
        <v>9180</v>
      </c>
      <c r="D926" s="11" t="e">
        <f>VLOOKUP(B926,#REF!,7,FALSE)</f>
        <v>#REF!</v>
      </c>
      <c r="E926" s="31">
        <v>0.75790000000000002</v>
      </c>
      <c r="I926" s="11" t="e">
        <f>+VLOOKUP(B926,#REF!,7,FALSE)</f>
        <v>#REF!</v>
      </c>
      <c r="J926" s="12" t="str">
        <f t="shared" si="43"/>
        <v/>
      </c>
      <c r="K926" s="12" t="str">
        <f t="shared" si="44"/>
        <v/>
      </c>
      <c r="L926" s="12" t="e">
        <f t="shared" si="42"/>
        <v>#VALUE!</v>
      </c>
    </row>
    <row r="927" spans="1:12" ht="24" customHeight="1" x14ac:dyDescent="0.25">
      <c r="A927" s="15">
        <v>43291</v>
      </c>
      <c r="B927" s="15" t="s">
        <v>264</v>
      </c>
      <c r="C927" s="27">
        <v>5152</v>
      </c>
      <c r="D927" s="11" t="e">
        <f>VLOOKUP(B927,#REF!,7,FALSE)</f>
        <v>#REF!</v>
      </c>
      <c r="E927" s="31">
        <v>0.2344</v>
      </c>
      <c r="I927" s="11" t="e">
        <f>+VLOOKUP(B927,#REF!,7,FALSE)</f>
        <v>#REF!</v>
      </c>
      <c r="J927" s="12" t="str">
        <f t="shared" si="43"/>
        <v/>
      </c>
      <c r="K927" s="12" t="str">
        <f t="shared" si="44"/>
        <v/>
      </c>
      <c r="L927" s="12" t="e">
        <f t="shared" si="42"/>
        <v>#VALUE!</v>
      </c>
    </row>
    <row r="928" spans="1:12" ht="24" customHeight="1" x14ac:dyDescent="0.25">
      <c r="A928" s="15">
        <v>43291</v>
      </c>
      <c r="B928" s="15" t="s">
        <v>114</v>
      </c>
      <c r="C928" s="27">
        <v>1410</v>
      </c>
      <c r="D928" s="11" t="e">
        <f>VLOOKUP(B928,#REF!,7,FALSE)</f>
        <v>#REF!</v>
      </c>
      <c r="E928" s="31">
        <v>2.0167999999999999</v>
      </c>
      <c r="I928" s="11" t="e">
        <f>+VLOOKUP(B928,#REF!,7,FALSE)</f>
        <v>#REF!</v>
      </c>
      <c r="J928" s="12" t="str">
        <f t="shared" si="43"/>
        <v/>
      </c>
      <c r="K928" s="12" t="str">
        <f t="shared" si="44"/>
        <v/>
      </c>
      <c r="L928" s="12" t="e">
        <f t="shared" si="42"/>
        <v>#VALUE!</v>
      </c>
    </row>
    <row r="929" spans="1:12" ht="24" customHeight="1" x14ac:dyDescent="0.25">
      <c r="A929" s="15">
        <v>43291</v>
      </c>
      <c r="B929" s="15" t="s">
        <v>178</v>
      </c>
      <c r="C929" s="27">
        <v>1455</v>
      </c>
      <c r="D929" s="11" t="e">
        <f>VLOOKUP(B929,#REF!,7,FALSE)</f>
        <v>#REF!</v>
      </c>
      <c r="E929" s="31">
        <v>0.4919</v>
      </c>
      <c r="I929" s="11" t="e">
        <f>+VLOOKUP(B929,#REF!,7,FALSE)</f>
        <v>#REF!</v>
      </c>
      <c r="J929" s="12" t="str">
        <f t="shared" si="43"/>
        <v/>
      </c>
      <c r="K929" s="12" t="str">
        <f t="shared" si="44"/>
        <v/>
      </c>
      <c r="L929" s="12" t="e">
        <f t="shared" si="42"/>
        <v>#VALUE!</v>
      </c>
    </row>
    <row r="930" spans="1:12" ht="24" customHeight="1" x14ac:dyDescent="0.25">
      <c r="A930" s="15">
        <v>43291</v>
      </c>
      <c r="B930" s="15" t="s">
        <v>183</v>
      </c>
      <c r="C930" s="27">
        <v>1764</v>
      </c>
      <c r="D930" s="11" t="e">
        <f>VLOOKUP(B930,#REF!,7,FALSE)</f>
        <v>#REF!</v>
      </c>
      <c r="E930" s="31">
        <v>2.2054</v>
      </c>
      <c r="I930" s="11" t="e">
        <f>+VLOOKUP(B930,#REF!,7,FALSE)</f>
        <v>#REF!</v>
      </c>
      <c r="J930" s="12" t="str">
        <f t="shared" si="43"/>
        <v/>
      </c>
      <c r="K930" s="12" t="str">
        <f t="shared" si="44"/>
        <v/>
      </c>
      <c r="L930" s="12" t="e">
        <f t="shared" si="42"/>
        <v>#VALUE!</v>
      </c>
    </row>
    <row r="931" spans="1:12" ht="24" customHeight="1" x14ac:dyDescent="0.25">
      <c r="A931" s="15">
        <v>43291</v>
      </c>
      <c r="B931" s="15" t="s">
        <v>432</v>
      </c>
      <c r="C931" s="27">
        <v>10518</v>
      </c>
      <c r="D931" s="11" t="e">
        <f>VLOOKUP(B931,#REF!,7,FALSE)</f>
        <v>#REF!</v>
      </c>
      <c r="E931" s="31">
        <v>2.31</v>
      </c>
      <c r="I931" s="11" t="e">
        <f>+VLOOKUP(B931,#REF!,7,FALSE)</f>
        <v>#REF!</v>
      </c>
      <c r="J931" s="12" t="str">
        <f t="shared" si="43"/>
        <v/>
      </c>
      <c r="K931" s="12" t="str">
        <f t="shared" si="44"/>
        <v/>
      </c>
      <c r="L931" s="12" t="e">
        <f t="shared" si="42"/>
        <v>#VALUE!</v>
      </c>
    </row>
    <row r="932" spans="1:12" ht="24" customHeight="1" x14ac:dyDescent="0.25">
      <c r="A932" s="15">
        <v>43291</v>
      </c>
      <c r="B932" s="15" t="s">
        <v>483</v>
      </c>
      <c r="C932" s="27">
        <v>10488</v>
      </c>
      <c r="D932" s="11" t="e">
        <f>VLOOKUP(B932,#REF!,7,FALSE)</f>
        <v>#REF!</v>
      </c>
      <c r="E932" s="31">
        <v>0.73680000000000001</v>
      </c>
      <c r="I932" s="11" t="e">
        <f>+VLOOKUP(B932,#REF!,7,FALSE)</f>
        <v>#REF!</v>
      </c>
      <c r="J932" s="12" t="str">
        <f t="shared" si="43"/>
        <v/>
      </c>
      <c r="K932" s="12" t="str">
        <f t="shared" si="44"/>
        <v/>
      </c>
      <c r="L932" s="12" t="e">
        <f t="shared" si="42"/>
        <v>#VALUE!</v>
      </c>
    </row>
    <row r="933" spans="1:12" ht="24" customHeight="1" x14ac:dyDescent="0.25">
      <c r="A933" s="15">
        <v>43292</v>
      </c>
      <c r="B933" s="15" t="s">
        <v>34</v>
      </c>
      <c r="C933" s="27">
        <v>846</v>
      </c>
      <c r="D933" s="11" t="e">
        <f>VLOOKUP(B933,#REF!,7,FALSE)</f>
        <v>#REF!</v>
      </c>
      <c r="E933" s="31">
        <v>1.5918000000000001</v>
      </c>
      <c r="I933" s="11" t="e">
        <f>+VLOOKUP(B933,#REF!,7,FALSE)</f>
        <v>#REF!</v>
      </c>
      <c r="J933" s="12" t="str">
        <f t="shared" si="43"/>
        <v/>
      </c>
      <c r="K933" s="12" t="str">
        <f t="shared" si="44"/>
        <v/>
      </c>
      <c r="L933" s="12" t="e">
        <f t="shared" si="42"/>
        <v>#VALUE!</v>
      </c>
    </row>
    <row r="934" spans="1:12" ht="24" customHeight="1" x14ac:dyDescent="0.25">
      <c r="A934" s="15">
        <v>43292</v>
      </c>
      <c r="B934" s="15" t="s">
        <v>304</v>
      </c>
      <c r="C934" s="27">
        <v>37600</v>
      </c>
      <c r="D934" s="11" t="e">
        <f>VLOOKUP(B934,#REF!,7,FALSE)</f>
        <v>#REF!</v>
      </c>
      <c r="E934" s="31">
        <v>0.2432</v>
      </c>
      <c r="I934" s="11" t="e">
        <f>+VLOOKUP(B934,#REF!,7,FALSE)</f>
        <v>#REF!</v>
      </c>
      <c r="J934" s="12" t="str">
        <f t="shared" si="43"/>
        <v/>
      </c>
      <c r="K934" s="12" t="str">
        <f t="shared" si="44"/>
        <v/>
      </c>
      <c r="L934" s="12" t="e">
        <f t="shared" si="42"/>
        <v>#VALUE!</v>
      </c>
    </row>
    <row r="935" spans="1:12" ht="24" customHeight="1" x14ac:dyDescent="0.25">
      <c r="A935" s="15">
        <v>43292</v>
      </c>
      <c r="B935" s="15" t="s">
        <v>318</v>
      </c>
      <c r="C935" s="27">
        <v>30468</v>
      </c>
      <c r="D935" s="11" t="e">
        <f>VLOOKUP(B935,#REF!,7,FALSE)</f>
        <v>#REF!</v>
      </c>
      <c r="E935" s="31">
        <v>0.51290000000000002</v>
      </c>
      <c r="I935" s="11" t="e">
        <f>+VLOOKUP(B935,#REF!,7,FALSE)</f>
        <v>#REF!</v>
      </c>
      <c r="J935" s="12" t="str">
        <f t="shared" si="43"/>
        <v/>
      </c>
      <c r="K935" s="12" t="str">
        <f t="shared" si="44"/>
        <v/>
      </c>
      <c r="L935" s="12" t="e">
        <f t="shared" si="42"/>
        <v>#VALUE!</v>
      </c>
    </row>
    <row r="936" spans="1:12" ht="24" customHeight="1" x14ac:dyDescent="0.25">
      <c r="A936" s="15">
        <v>43292</v>
      </c>
      <c r="B936" s="15" t="s">
        <v>432</v>
      </c>
      <c r="C936" s="27">
        <v>12810</v>
      </c>
      <c r="D936" s="11" t="e">
        <f>VLOOKUP(B936,#REF!,7,FALSE)</f>
        <v>#REF!</v>
      </c>
      <c r="E936" s="31">
        <v>2.2334000000000001</v>
      </c>
      <c r="I936" s="11" t="e">
        <f>+VLOOKUP(B936,#REF!,7,FALSE)</f>
        <v>#REF!</v>
      </c>
      <c r="J936" s="12" t="str">
        <f t="shared" si="43"/>
        <v/>
      </c>
      <c r="K936" s="12" t="str">
        <f t="shared" si="44"/>
        <v/>
      </c>
      <c r="L936" s="12" t="e">
        <f t="shared" si="42"/>
        <v>#VALUE!</v>
      </c>
    </row>
    <row r="937" spans="1:12" ht="24" customHeight="1" x14ac:dyDescent="0.25">
      <c r="A937" s="15">
        <v>43292</v>
      </c>
      <c r="B937" s="15" t="s">
        <v>483</v>
      </c>
      <c r="C937" s="27">
        <v>8928</v>
      </c>
      <c r="D937" s="11" t="e">
        <f>VLOOKUP(B937,#REF!,7,FALSE)</f>
        <v>#REF!</v>
      </c>
      <c r="E937" s="31">
        <v>0.74139999999999995</v>
      </c>
      <c r="I937" s="11" t="e">
        <f>+VLOOKUP(B937,#REF!,7,FALSE)</f>
        <v>#REF!</v>
      </c>
      <c r="J937" s="12" t="str">
        <f t="shared" si="43"/>
        <v/>
      </c>
      <c r="K937" s="12" t="str">
        <f t="shared" si="44"/>
        <v/>
      </c>
      <c r="L937" s="12" t="e">
        <f t="shared" si="42"/>
        <v>#VALUE!</v>
      </c>
    </row>
    <row r="938" spans="1:12" ht="24" customHeight="1" x14ac:dyDescent="0.25">
      <c r="A938" s="15">
        <v>43292</v>
      </c>
      <c r="B938" s="15" t="s">
        <v>224</v>
      </c>
      <c r="C938" s="27">
        <v>761</v>
      </c>
      <c r="D938" s="11" t="e">
        <f>VLOOKUP(B938,#REF!,7,FALSE)</f>
        <v>#REF!</v>
      </c>
      <c r="E938" s="31">
        <v>6.8075999999999999</v>
      </c>
      <c r="I938" s="11" t="e">
        <f>+VLOOKUP(B938,#REF!,7,FALSE)</f>
        <v>#REF!</v>
      </c>
      <c r="J938" s="12" t="str">
        <f t="shared" si="43"/>
        <v/>
      </c>
      <c r="K938" s="12" t="str">
        <f t="shared" si="44"/>
        <v/>
      </c>
      <c r="L938" s="12" t="e">
        <f t="shared" si="42"/>
        <v>#VALUE!</v>
      </c>
    </row>
    <row r="939" spans="1:12" ht="24" customHeight="1" x14ac:dyDescent="0.25">
      <c r="A939" s="15">
        <v>43293</v>
      </c>
      <c r="B939" s="15" t="s">
        <v>34</v>
      </c>
      <c r="C939" s="27">
        <v>828</v>
      </c>
      <c r="D939" s="11" t="e">
        <f>VLOOKUP(B939,#REF!,7,FALSE)</f>
        <v>#REF!</v>
      </c>
      <c r="E939" s="31">
        <v>1.4111</v>
      </c>
      <c r="I939" s="11" t="e">
        <f>+VLOOKUP(B939,#REF!,7,FALSE)</f>
        <v>#REF!</v>
      </c>
      <c r="J939" s="12" t="str">
        <f t="shared" si="43"/>
        <v/>
      </c>
      <c r="K939" s="12" t="str">
        <f t="shared" si="44"/>
        <v/>
      </c>
      <c r="L939" s="12" t="e">
        <f t="shared" si="42"/>
        <v>#VALUE!</v>
      </c>
    </row>
    <row r="940" spans="1:12" ht="24" customHeight="1" x14ac:dyDescent="0.25">
      <c r="A940" s="15">
        <v>43293</v>
      </c>
      <c r="B940" s="15" t="s">
        <v>261</v>
      </c>
      <c r="C940" s="27">
        <v>199</v>
      </c>
      <c r="D940" s="11" t="e">
        <f>VLOOKUP(B940,#REF!,7,FALSE)</f>
        <v>#REF!</v>
      </c>
      <c r="E940" s="31">
        <v>3.4693000000000001</v>
      </c>
      <c r="I940" s="11" t="e">
        <f>+VLOOKUP(B940,#REF!,7,FALSE)</f>
        <v>#REF!</v>
      </c>
      <c r="J940" s="12" t="str">
        <f t="shared" si="43"/>
        <v/>
      </c>
      <c r="K940" s="12" t="str">
        <f t="shared" si="44"/>
        <v/>
      </c>
      <c r="L940" s="12" t="e">
        <f t="shared" si="42"/>
        <v>#VALUE!</v>
      </c>
    </row>
    <row r="941" spans="1:12" ht="24" customHeight="1" x14ac:dyDescent="0.25">
      <c r="A941" s="15">
        <v>43293</v>
      </c>
      <c r="B941" s="15" t="s">
        <v>407</v>
      </c>
      <c r="C941" s="27">
        <v>1284</v>
      </c>
      <c r="D941" s="11" t="e">
        <f>VLOOKUP(B941,#REF!,7,FALSE)</f>
        <v>#REF!</v>
      </c>
      <c r="E941" s="31">
        <v>0.8609</v>
      </c>
      <c r="I941" s="11" t="e">
        <f>+VLOOKUP(B941,#REF!,7,FALSE)</f>
        <v>#REF!</v>
      </c>
      <c r="J941" s="12" t="str">
        <f t="shared" si="43"/>
        <v/>
      </c>
      <c r="K941" s="12" t="str">
        <f t="shared" si="44"/>
        <v/>
      </c>
      <c r="L941" s="12" t="e">
        <f t="shared" si="42"/>
        <v>#VALUE!</v>
      </c>
    </row>
    <row r="942" spans="1:12" ht="24" customHeight="1" x14ac:dyDescent="0.25">
      <c r="A942" s="15">
        <v>43293</v>
      </c>
      <c r="B942" s="15" t="s">
        <v>432</v>
      </c>
      <c r="C942" s="27">
        <v>12402</v>
      </c>
      <c r="D942" s="11" t="e">
        <f>VLOOKUP(B942,#REF!,7,FALSE)</f>
        <v>#REF!</v>
      </c>
      <c r="E942" s="31">
        <v>2.2833000000000001</v>
      </c>
      <c r="I942" s="11" t="e">
        <f>+VLOOKUP(B942,#REF!,7,FALSE)</f>
        <v>#REF!</v>
      </c>
      <c r="J942" s="12" t="str">
        <f t="shared" si="43"/>
        <v/>
      </c>
      <c r="K942" s="12" t="str">
        <f t="shared" si="44"/>
        <v/>
      </c>
      <c r="L942" s="12" t="e">
        <f t="shared" ref="L942:L1005" si="45">J942-K942</f>
        <v>#VALUE!</v>
      </c>
    </row>
    <row r="943" spans="1:12" ht="24" customHeight="1" x14ac:dyDescent="0.25">
      <c r="A943" s="15">
        <v>43293</v>
      </c>
      <c r="B943" s="15" t="s">
        <v>483</v>
      </c>
      <c r="C943" s="27">
        <v>11604</v>
      </c>
      <c r="D943" s="11" t="e">
        <f>VLOOKUP(B943,#REF!,7,FALSE)</f>
        <v>#REF!</v>
      </c>
      <c r="E943" s="31">
        <v>0.73960000000000004</v>
      </c>
      <c r="I943" s="11" t="e">
        <f>+VLOOKUP(B943,#REF!,7,FALSE)</f>
        <v>#REF!</v>
      </c>
      <c r="J943" s="12" t="str">
        <f t="shared" si="43"/>
        <v/>
      </c>
      <c r="K943" s="12" t="str">
        <f t="shared" si="44"/>
        <v/>
      </c>
      <c r="L943" s="12" t="e">
        <f t="shared" si="45"/>
        <v>#VALUE!</v>
      </c>
    </row>
    <row r="944" spans="1:12" ht="24" customHeight="1" x14ac:dyDescent="0.25">
      <c r="A944" s="15">
        <v>43293</v>
      </c>
      <c r="B944" s="15" t="s">
        <v>224</v>
      </c>
      <c r="C944" s="27">
        <v>1277</v>
      </c>
      <c r="D944" s="11" t="e">
        <f>VLOOKUP(B944,#REF!,7,FALSE)</f>
        <v>#REF!</v>
      </c>
      <c r="E944" s="31">
        <v>6.6348000000000003</v>
      </c>
      <c r="I944" s="11" t="e">
        <f>+VLOOKUP(B944,#REF!,7,FALSE)</f>
        <v>#REF!</v>
      </c>
      <c r="J944" s="12" t="str">
        <f t="shared" si="43"/>
        <v/>
      </c>
      <c r="K944" s="12" t="str">
        <f t="shared" si="44"/>
        <v/>
      </c>
      <c r="L944" s="12" t="e">
        <f t="shared" si="45"/>
        <v>#VALUE!</v>
      </c>
    </row>
    <row r="945" spans="1:12" ht="24" customHeight="1" x14ac:dyDescent="0.25">
      <c r="A945" s="15">
        <v>43294</v>
      </c>
      <c r="B945" s="15" t="s">
        <v>46</v>
      </c>
      <c r="C945" s="27">
        <v>1176</v>
      </c>
      <c r="D945" s="11" t="e">
        <f>VLOOKUP(B945,#REF!,7,FALSE)</f>
        <v>#REF!</v>
      </c>
      <c r="E945" s="31">
        <v>8.9459999999999997</v>
      </c>
      <c r="I945" s="11" t="e">
        <f>+VLOOKUP(B945,#REF!,7,FALSE)</f>
        <v>#REF!</v>
      </c>
      <c r="J945" s="12" t="str">
        <f t="shared" si="43"/>
        <v/>
      </c>
      <c r="K945" s="12" t="str">
        <f t="shared" si="44"/>
        <v/>
      </c>
      <c r="L945" s="12" t="e">
        <f t="shared" si="45"/>
        <v>#VALUE!</v>
      </c>
    </row>
    <row r="946" spans="1:12" ht="24" customHeight="1" x14ac:dyDescent="0.25">
      <c r="A946" s="15">
        <v>43294</v>
      </c>
      <c r="B946" s="15" t="s">
        <v>303</v>
      </c>
      <c r="C946" s="27">
        <v>7328</v>
      </c>
      <c r="D946" s="11" t="e">
        <f>VLOOKUP(B946,#REF!,7,FALSE)</f>
        <v>#REF!</v>
      </c>
      <c r="E946" s="31">
        <v>0.24929999999999999</v>
      </c>
      <c r="I946" s="11" t="e">
        <f>+VLOOKUP(B946,#REF!,7,FALSE)</f>
        <v>#REF!</v>
      </c>
      <c r="J946" s="12" t="str">
        <f t="shared" si="43"/>
        <v/>
      </c>
      <c r="K946" s="12" t="str">
        <f t="shared" si="44"/>
        <v/>
      </c>
      <c r="L946" s="12" t="e">
        <f t="shared" si="45"/>
        <v>#VALUE!</v>
      </c>
    </row>
    <row r="947" spans="1:12" ht="24" customHeight="1" x14ac:dyDescent="0.25">
      <c r="A947" s="15">
        <v>43294</v>
      </c>
      <c r="B947" s="15" t="s">
        <v>304</v>
      </c>
      <c r="C947" s="27">
        <v>2976</v>
      </c>
      <c r="D947" s="11" t="e">
        <f>VLOOKUP(B947,#REF!,7,FALSE)</f>
        <v>#REF!</v>
      </c>
      <c r="E947" s="31">
        <v>0.26429999999999998</v>
      </c>
      <c r="I947" s="11" t="e">
        <f>+VLOOKUP(B947,#REF!,7,FALSE)</f>
        <v>#REF!</v>
      </c>
      <c r="J947" s="12" t="str">
        <f t="shared" si="43"/>
        <v/>
      </c>
      <c r="K947" s="12" t="str">
        <f t="shared" si="44"/>
        <v/>
      </c>
      <c r="L947" s="12" t="e">
        <f t="shared" si="45"/>
        <v>#VALUE!</v>
      </c>
    </row>
    <row r="948" spans="1:12" ht="24" customHeight="1" x14ac:dyDescent="0.25">
      <c r="A948" s="15">
        <v>43294</v>
      </c>
      <c r="B948" s="15" t="s">
        <v>305</v>
      </c>
      <c r="C948" s="27">
        <v>17216</v>
      </c>
      <c r="D948" s="11" t="e">
        <f>VLOOKUP(B948,#REF!,7,FALSE)</f>
        <v>#REF!</v>
      </c>
      <c r="E948" s="31">
        <v>0.25609999999999999</v>
      </c>
      <c r="I948" s="11" t="e">
        <f>+VLOOKUP(B948,#REF!,7,FALSE)</f>
        <v>#REF!</v>
      </c>
      <c r="J948" s="12" t="str">
        <f t="shared" si="43"/>
        <v/>
      </c>
      <c r="K948" s="12" t="str">
        <f t="shared" si="44"/>
        <v/>
      </c>
      <c r="L948" s="12" t="e">
        <f t="shared" si="45"/>
        <v>#VALUE!</v>
      </c>
    </row>
    <row r="949" spans="1:12" ht="24" customHeight="1" x14ac:dyDescent="0.25">
      <c r="A949" s="15">
        <v>43294</v>
      </c>
      <c r="B949" s="15" t="s">
        <v>93</v>
      </c>
      <c r="C949" s="27">
        <v>120</v>
      </c>
      <c r="D949" s="11" t="e">
        <f>VLOOKUP(B949,#REF!,7,FALSE)</f>
        <v>#REF!</v>
      </c>
      <c r="E949" s="31">
        <v>18.3216</v>
      </c>
      <c r="I949" s="11" t="e">
        <f>+VLOOKUP(B949,#REF!,7,FALSE)</f>
        <v>#REF!</v>
      </c>
      <c r="J949" s="12" t="str">
        <f t="shared" si="43"/>
        <v/>
      </c>
      <c r="K949" s="12" t="str">
        <f t="shared" si="44"/>
        <v/>
      </c>
      <c r="L949" s="12" t="e">
        <f t="shared" si="45"/>
        <v>#VALUE!</v>
      </c>
    </row>
    <row r="950" spans="1:12" ht="24" customHeight="1" x14ac:dyDescent="0.25">
      <c r="A950" s="15">
        <v>43294</v>
      </c>
      <c r="B950" s="15" t="s">
        <v>102</v>
      </c>
      <c r="C950" s="27">
        <v>1848</v>
      </c>
      <c r="D950" s="11" t="e">
        <f>VLOOKUP(B950,#REF!,7,FALSE)</f>
        <v>#REF!</v>
      </c>
      <c r="E950" s="31">
        <v>2.2584</v>
      </c>
      <c r="I950" s="11" t="e">
        <f>+VLOOKUP(B950,#REF!,7,FALSE)</f>
        <v>#REF!</v>
      </c>
      <c r="J950" s="12" t="str">
        <f t="shared" si="43"/>
        <v/>
      </c>
      <c r="K950" s="12" t="str">
        <f t="shared" si="44"/>
        <v/>
      </c>
      <c r="L950" s="12" t="e">
        <f t="shared" si="45"/>
        <v>#VALUE!</v>
      </c>
    </row>
    <row r="951" spans="1:12" ht="24" customHeight="1" x14ac:dyDescent="0.25">
      <c r="A951" s="15">
        <v>43294</v>
      </c>
      <c r="B951" s="15" t="s">
        <v>116</v>
      </c>
      <c r="C951" s="27">
        <v>43140</v>
      </c>
      <c r="D951" s="11" t="e">
        <f>VLOOKUP(B951,#REF!,7,FALSE)</f>
        <v>#REF!</v>
      </c>
      <c r="E951" s="31">
        <v>0.27129999999999999</v>
      </c>
      <c r="I951" s="11" t="e">
        <f>+VLOOKUP(B951,#REF!,7,FALSE)</f>
        <v>#REF!</v>
      </c>
      <c r="J951" s="12" t="str">
        <f t="shared" si="43"/>
        <v/>
      </c>
      <c r="K951" s="12" t="str">
        <f t="shared" si="44"/>
        <v/>
      </c>
      <c r="L951" s="12" t="e">
        <f t="shared" si="45"/>
        <v>#VALUE!</v>
      </c>
    </row>
    <row r="952" spans="1:12" ht="24" customHeight="1" x14ac:dyDescent="0.25">
      <c r="A952" s="15">
        <v>43294</v>
      </c>
      <c r="B952" s="15" t="s">
        <v>320</v>
      </c>
      <c r="C952" s="27">
        <v>12552</v>
      </c>
      <c r="D952" s="11" t="e">
        <f>VLOOKUP(B952,#REF!,7,FALSE)</f>
        <v>#REF!</v>
      </c>
      <c r="E952" s="31">
        <v>0.54979999999999996</v>
      </c>
      <c r="I952" s="11" t="e">
        <f>+VLOOKUP(B952,#REF!,7,FALSE)</f>
        <v>#REF!</v>
      </c>
      <c r="J952" s="12" t="str">
        <f t="shared" si="43"/>
        <v/>
      </c>
      <c r="K952" s="12" t="str">
        <f t="shared" si="44"/>
        <v/>
      </c>
      <c r="L952" s="12" t="e">
        <f t="shared" si="45"/>
        <v>#VALUE!</v>
      </c>
    </row>
    <row r="953" spans="1:12" ht="24" customHeight="1" x14ac:dyDescent="0.25">
      <c r="A953" s="15">
        <v>43294</v>
      </c>
      <c r="B953" s="15" t="s">
        <v>385</v>
      </c>
      <c r="C953" s="27">
        <v>1932</v>
      </c>
      <c r="D953" s="11" t="e">
        <f>VLOOKUP(B953,#REF!,7,FALSE)</f>
        <v>#REF!</v>
      </c>
      <c r="E953" s="31">
        <v>1.1067</v>
      </c>
      <c r="I953" s="11" t="e">
        <f>+VLOOKUP(B953,#REF!,7,FALSE)</f>
        <v>#REF!</v>
      </c>
      <c r="J953" s="12" t="str">
        <f t="shared" si="43"/>
        <v/>
      </c>
      <c r="K953" s="12" t="str">
        <f t="shared" si="44"/>
        <v/>
      </c>
      <c r="L953" s="12" t="e">
        <f t="shared" si="45"/>
        <v>#VALUE!</v>
      </c>
    </row>
    <row r="954" spans="1:12" ht="24" customHeight="1" x14ac:dyDescent="0.25">
      <c r="A954" s="15">
        <v>43294</v>
      </c>
      <c r="B954" s="15" t="s">
        <v>184</v>
      </c>
      <c r="C954" s="27">
        <v>1512</v>
      </c>
      <c r="D954" s="11" t="e">
        <f>VLOOKUP(B954,#REF!,7,FALSE)</f>
        <v>#REF!</v>
      </c>
      <c r="E954" s="31">
        <v>2.3170000000000002</v>
      </c>
      <c r="I954" s="11" t="e">
        <f>+VLOOKUP(B954,#REF!,7,FALSE)</f>
        <v>#REF!</v>
      </c>
      <c r="J954" s="12" t="str">
        <f t="shared" si="43"/>
        <v/>
      </c>
      <c r="K954" s="12" t="str">
        <f t="shared" si="44"/>
        <v/>
      </c>
      <c r="L954" s="12" t="e">
        <f t="shared" si="45"/>
        <v>#VALUE!</v>
      </c>
    </row>
    <row r="955" spans="1:12" ht="24" customHeight="1" x14ac:dyDescent="0.25">
      <c r="A955" s="15">
        <v>43294</v>
      </c>
      <c r="B955" s="15" t="s">
        <v>397</v>
      </c>
      <c r="C955" s="27">
        <v>285</v>
      </c>
      <c r="D955" s="11" t="e">
        <f>VLOOKUP(B955,#REF!,7,FALSE)</f>
        <v>#REF!</v>
      </c>
      <c r="E955" s="31">
        <v>5.4154999999999998</v>
      </c>
      <c r="I955" s="11" t="e">
        <f>+VLOOKUP(B955,#REF!,7,FALSE)</f>
        <v>#REF!</v>
      </c>
      <c r="J955" s="12" t="str">
        <f t="shared" si="43"/>
        <v/>
      </c>
      <c r="K955" s="12" t="str">
        <f t="shared" si="44"/>
        <v/>
      </c>
      <c r="L955" s="12" t="e">
        <f t="shared" si="45"/>
        <v>#VALUE!</v>
      </c>
    </row>
    <row r="956" spans="1:12" ht="24" customHeight="1" x14ac:dyDescent="0.25">
      <c r="A956" s="15">
        <v>43294</v>
      </c>
      <c r="B956" s="15" t="s">
        <v>414</v>
      </c>
      <c r="C956" s="27">
        <v>550</v>
      </c>
      <c r="D956" s="11" t="e">
        <f>VLOOKUP(B956,#REF!,7,FALSE)</f>
        <v>#REF!</v>
      </c>
      <c r="E956" s="31">
        <v>1.7574000000000001</v>
      </c>
      <c r="I956" s="11" t="e">
        <f>+VLOOKUP(B956,#REF!,7,FALSE)</f>
        <v>#REF!</v>
      </c>
      <c r="J956" s="12" t="str">
        <f t="shared" si="43"/>
        <v/>
      </c>
      <c r="K956" s="12" t="str">
        <f t="shared" si="44"/>
        <v/>
      </c>
      <c r="L956" s="12" t="e">
        <f t="shared" si="45"/>
        <v>#VALUE!</v>
      </c>
    </row>
    <row r="957" spans="1:12" ht="24" customHeight="1" x14ac:dyDescent="0.25">
      <c r="A957" s="15">
        <v>43294</v>
      </c>
      <c r="B957" s="15" t="s">
        <v>432</v>
      </c>
      <c r="C957" s="27">
        <v>7980</v>
      </c>
      <c r="D957" s="11" t="e">
        <f>VLOOKUP(B957,#REF!,7,FALSE)</f>
        <v>#REF!</v>
      </c>
      <c r="E957" s="31">
        <v>2.2157</v>
      </c>
      <c r="I957" s="11" t="e">
        <f>+VLOOKUP(B957,#REF!,7,FALSE)</f>
        <v>#REF!</v>
      </c>
      <c r="J957" s="12" t="str">
        <f t="shared" si="43"/>
        <v/>
      </c>
      <c r="K957" s="12" t="str">
        <f t="shared" si="44"/>
        <v/>
      </c>
      <c r="L957" s="12" t="e">
        <f t="shared" si="45"/>
        <v>#VALUE!</v>
      </c>
    </row>
    <row r="958" spans="1:12" ht="24" customHeight="1" x14ac:dyDescent="0.25">
      <c r="A958" s="15">
        <v>43294</v>
      </c>
      <c r="B958" s="15" t="s">
        <v>226</v>
      </c>
      <c r="C958" s="27">
        <v>3696</v>
      </c>
      <c r="D958" s="11" t="e">
        <f>VLOOKUP(B958,#REF!,7,FALSE)</f>
        <v>#REF!</v>
      </c>
      <c r="E958" s="31">
        <v>0.30130000000000001</v>
      </c>
      <c r="I958" s="11" t="e">
        <f>+VLOOKUP(B958,#REF!,7,FALSE)</f>
        <v>#REF!</v>
      </c>
      <c r="J958" s="12" t="str">
        <f t="shared" si="43"/>
        <v/>
      </c>
      <c r="K958" s="12" t="str">
        <f t="shared" si="44"/>
        <v/>
      </c>
      <c r="L958" s="12" t="e">
        <f t="shared" si="45"/>
        <v>#VALUE!</v>
      </c>
    </row>
    <row r="959" spans="1:12" ht="24" customHeight="1" x14ac:dyDescent="0.25">
      <c r="A959" s="15">
        <v>43294</v>
      </c>
      <c r="B959" s="15" t="s">
        <v>451</v>
      </c>
      <c r="C959" s="27">
        <v>176</v>
      </c>
      <c r="D959" s="11" t="e">
        <f>VLOOKUP(B959,#REF!,7,FALSE)</f>
        <v>#REF!</v>
      </c>
      <c r="E959" s="31">
        <v>1.5085999999999999</v>
      </c>
      <c r="I959" s="11" t="e">
        <f>+VLOOKUP(B959,#REF!,7,FALSE)</f>
        <v>#REF!</v>
      </c>
      <c r="J959" s="12" t="str">
        <f t="shared" si="43"/>
        <v/>
      </c>
      <c r="K959" s="12" t="str">
        <f t="shared" si="44"/>
        <v/>
      </c>
      <c r="L959" s="12" t="e">
        <f t="shared" si="45"/>
        <v>#VALUE!</v>
      </c>
    </row>
    <row r="960" spans="1:12" ht="24" customHeight="1" x14ac:dyDescent="0.25">
      <c r="A960" s="15">
        <v>43297</v>
      </c>
      <c r="B960" s="15" t="s">
        <v>116</v>
      </c>
      <c r="C960" s="27">
        <v>45552</v>
      </c>
      <c r="D960" s="11" t="e">
        <f>VLOOKUP(B960,#REF!,7,FALSE)</f>
        <v>#REF!</v>
      </c>
      <c r="E960" s="31">
        <v>0.28060000000000002</v>
      </c>
      <c r="I960" s="11" t="e">
        <f>+VLOOKUP(B960,#REF!,7,FALSE)</f>
        <v>#REF!</v>
      </c>
      <c r="J960" s="12" t="str">
        <f t="shared" si="43"/>
        <v/>
      </c>
      <c r="K960" s="12" t="str">
        <f t="shared" si="44"/>
        <v/>
      </c>
      <c r="L960" s="12" t="e">
        <f t="shared" si="45"/>
        <v>#VALUE!</v>
      </c>
    </row>
    <row r="961" spans="1:12" ht="24" customHeight="1" x14ac:dyDescent="0.25">
      <c r="A961" s="15">
        <v>43297</v>
      </c>
      <c r="B961" s="15" t="s">
        <v>351</v>
      </c>
      <c r="C961" s="27">
        <v>13128</v>
      </c>
      <c r="D961" s="11" t="e">
        <f>VLOOKUP(B961,#REF!,7,FALSE)</f>
        <v>#REF!</v>
      </c>
      <c r="E961" s="31">
        <v>1.3526</v>
      </c>
      <c r="I961" s="11" t="e">
        <f>+VLOOKUP(B961,#REF!,7,FALSE)</f>
        <v>#REF!</v>
      </c>
      <c r="J961" s="12" t="str">
        <f t="shared" si="43"/>
        <v/>
      </c>
      <c r="K961" s="12" t="str">
        <f t="shared" si="44"/>
        <v/>
      </c>
      <c r="L961" s="12" t="e">
        <f t="shared" si="45"/>
        <v>#VALUE!</v>
      </c>
    </row>
    <row r="962" spans="1:12" ht="24" customHeight="1" x14ac:dyDescent="0.25">
      <c r="A962" s="15">
        <v>43297</v>
      </c>
      <c r="B962" s="15" t="s">
        <v>385</v>
      </c>
      <c r="C962" s="27">
        <v>7212</v>
      </c>
      <c r="D962" s="11" t="e">
        <f>VLOOKUP(B962,#REF!,7,FALSE)</f>
        <v>#REF!</v>
      </c>
      <c r="E962" s="31">
        <v>1.1067</v>
      </c>
      <c r="I962" s="11" t="e">
        <f>+VLOOKUP(B962,#REF!,7,FALSE)</f>
        <v>#REF!</v>
      </c>
      <c r="J962" s="12" t="str">
        <f t="shared" si="43"/>
        <v/>
      </c>
      <c r="K962" s="12" t="str">
        <f t="shared" si="44"/>
        <v/>
      </c>
      <c r="L962" s="12" t="e">
        <f t="shared" si="45"/>
        <v>#VALUE!</v>
      </c>
    </row>
    <row r="963" spans="1:12" ht="24" customHeight="1" x14ac:dyDescent="0.25">
      <c r="A963" s="15">
        <v>43297</v>
      </c>
      <c r="B963" s="15" t="s">
        <v>441</v>
      </c>
      <c r="C963" s="27">
        <v>17838</v>
      </c>
      <c r="D963" s="11" t="e">
        <f>VLOOKUP(B963,#REF!,7,FALSE)</f>
        <v>#REF!</v>
      </c>
      <c r="E963" s="31">
        <v>0.53210000000000002</v>
      </c>
      <c r="I963" s="11" t="e">
        <f>+VLOOKUP(B963,#REF!,7,FALSE)</f>
        <v>#REF!</v>
      </c>
      <c r="J963" s="12" t="str">
        <f t="shared" si="43"/>
        <v/>
      </c>
      <c r="K963" s="12" t="str">
        <f t="shared" si="44"/>
        <v/>
      </c>
      <c r="L963" s="12" t="e">
        <f t="shared" si="45"/>
        <v>#VALUE!</v>
      </c>
    </row>
    <row r="964" spans="1:12" ht="24" customHeight="1" x14ac:dyDescent="0.25">
      <c r="A964" s="15">
        <v>43297</v>
      </c>
      <c r="B964" s="15" t="s">
        <v>462</v>
      </c>
      <c r="C964" s="27">
        <v>5320</v>
      </c>
      <c r="D964" s="11" t="e">
        <f>VLOOKUP(B964,#REF!,7,FALSE)</f>
        <v>#REF!</v>
      </c>
      <c r="E964" s="31">
        <v>1.6910000000000001</v>
      </c>
      <c r="I964" s="11" t="e">
        <f>+VLOOKUP(B964,#REF!,7,FALSE)</f>
        <v>#REF!</v>
      </c>
      <c r="J964" s="12" t="str">
        <f t="shared" ref="J964:J1027" si="46">IFERROR((I964-(D964+F964))/I964,"")</f>
        <v/>
      </c>
      <c r="K964" s="12" t="str">
        <f t="shared" ref="K964:K1027" si="47">IF(E964="","",IFERROR((I964-(E964+G964+H964))/I964,""))</f>
        <v/>
      </c>
      <c r="L964" s="12" t="e">
        <f t="shared" si="45"/>
        <v>#VALUE!</v>
      </c>
    </row>
    <row r="965" spans="1:12" ht="24" customHeight="1" x14ac:dyDescent="0.25">
      <c r="A965" s="15">
        <v>43297</v>
      </c>
      <c r="B965" s="15" t="s">
        <v>487</v>
      </c>
      <c r="C965" s="27">
        <v>4080</v>
      </c>
      <c r="D965" s="11" t="e">
        <f>VLOOKUP(B965,#REF!,7,FALSE)</f>
        <v>#REF!</v>
      </c>
      <c r="E965" s="31">
        <v>0.4783</v>
      </c>
      <c r="I965" s="11" t="e">
        <f>+VLOOKUP(B965,#REF!,7,FALSE)</f>
        <v>#REF!</v>
      </c>
      <c r="J965" s="12" t="str">
        <f t="shared" si="46"/>
        <v/>
      </c>
      <c r="K965" s="12" t="str">
        <f t="shared" si="47"/>
        <v/>
      </c>
      <c r="L965" s="12" t="e">
        <f t="shared" si="45"/>
        <v>#VALUE!</v>
      </c>
    </row>
    <row r="966" spans="1:12" ht="24" customHeight="1" x14ac:dyDescent="0.25">
      <c r="A966" s="15">
        <v>43298</v>
      </c>
      <c r="B966" s="15" t="s">
        <v>304</v>
      </c>
      <c r="C966" s="27">
        <v>38752</v>
      </c>
      <c r="D966" s="11" t="e">
        <f>VLOOKUP(B966,#REF!,7,FALSE)</f>
        <v>#REF!</v>
      </c>
      <c r="E966" s="31">
        <v>0.24829999999999999</v>
      </c>
      <c r="I966" s="11" t="e">
        <f>+VLOOKUP(B966,#REF!,7,FALSE)</f>
        <v>#REF!</v>
      </c>
      <c r="J966" s="12" t="str">
        <f t="shared" si="46"/>
        <v/>
      </c>
      <c r="K966" s="12" t="str">
        <f t="shared" si="47"/>
        <v/>
      </c>
      <c r="L966" s="12" t="e">
        <f t="shared" si="45"/>
        <v>#VALUE!</v>
      </c>
    </row>
    <row r="967" spans="1:12" ht="24" customHeight="1" x14ac:dyDescent="0.25">
      <c r="A967" s="15">
        <v>43298</v>
      </c>
      <c r="B967" s="15" t="s">
        <v>116</v>
      </c>
      <c r="C967" s="27">
        <v>19404</v>
      </c>
      <c r="D967" s="11" t="e">
        <f>VLOOKUP(B967,#REF!,7,FALSE)</f>
        <v>#REF!</v>
      </c>
      <c r="E967" s="31">
        <v>3.5880000000000001</v>
      </c>
      <c r="I967" s="11" t="e">
        <f>+VLOOKUP(B967,#REF!,7,FALSE)</f>
        <v>#REF!</v>
      </c>
      <c r="J967" s="12" t="str">
        <f t="shared" si="46"/>
        <v/>
      </c>
      <c r="K967" s="12" t="str">
        <f t="shared" si="47"/>
        <v/>
      </c>
      <c r="L967" s="12" t="e">
        <f t="shared" si="45"/>
        <v>#VALUE!</v>
      </c>
    </row>
    <row r="968" spans="1:12" ht="24" customHeight="1" x14ac:dyDescent="0.25">
      <c r="A968" s="15">
        <v>43298</v>
      </c>
      <c r="B968" s="15" t="s">
        <v>315</v>
      </c>
      <c r="C968" s="27">
        <v>12032</v>
      </c>
      <c r="D968" s="11" t="e">
        <f>VLOOKUP(B968,#REF!,7,FALSE)</f>
        <v>#REF!</v>
      </c>
      <c r="E968" s="31">
        <v>0.23569999999999999</v>
      </c>
      <c r="I968" s="11" t="e">
        <f>+VLOOKUP(B968,#REF!,7,FALSE)</f>
        <v>#REF!</v>
      </c>
      <c r="J968" s="12" t="str">
        <f t="shared" si="46"/>
        <v/>
      </c>
      <c r="K968" s="12" t="str">
        <f t="shared" si="47"/>
        <v/>
      </c>
      <c r="L968" s="12" t="e">
        <f t="shared" si="45"/>
        <v>#VALUE!</v>
      </c>
    </row>
    <row r="969" spans="1:12" ht="24" customHeight="1" x14ac:dyDescent="0.25">
      <c r="A969" s="15">
        <v>43298</v>
      </c>
      <c r="B969" s="15" t="s">
        <v>131</v>
      </c>
      <c r="C969" s="27">
        <v>1056</v>
      </c>
      <c r="D969" s="11" t="e">
        <f>VLOOKUP(B969,#REF!,7,FALSE)</f>
        <v>#REF!</v>
      </c>
      <c r="E969" s="31">
        <v>17.642399999999999</v>
      </c>
      <c r="I969" s="11" t="e">
        <f>+VLOOKUP(B969,#REF!,7,FALSE)</f>
        <v>#REF!</v>
      </c>
      <c r="J969" s="12" t="str">
        <f t="shared" si="46"/>
        <v/>
      </c>
      <c r="K969" s="12" t="str">
        <f t="shared" si="47"/>
        <v/>
      </c>
      <c r="L969" s="12" t="e">
        <f t="shared" si="45"/>
        <v>#VALUE!</v>
      </c>
    </row>
    <row r="970" spans="1:12" ht="24" customHeight="1" x14ac:dyDescent="0.25">
      <c r="A970" s="15">
        <v>43298</v>
      </c>
      <c r="B970" s="15" t="s">
        <v>139</v>
      </c>
      <c r="C970" s="27">
        <v>3968</v>
      </c>
      <c r="D970" s="11" t="e">
        <f>VLOOKUP(B970,#REF!,7,FALSE)</f>
        <v>#REF!</v>
      </c>
      <c r="E970" s="31">
        <v>3.8144</v>
      </c>
      <c r="I970" s="11" t="e">
        <f>+VLOOKUP(B970,#REF!,7,FALSE)</f>
        <v>#REF!</v>
      </c>
      <c r="J970" s="12" t="str">
        <f t="shared" si="46"/>
        <v/>
      </c>
      <c r="K970" s="12" t="str">
        <f t="shared" si="47"/>
        <v/>
      </c>
      <c r="L970" s="12" t="e">
        <f t="shared" si="45"/>
        <v>#VALUE!</v>
      </c>
    </row>
    <row r="971" spans="1:12" ht="24" customHeight="1" x14ac:dyDescent="0.25">
      <c r="A971" s="15">
        <v>43298</v>
      </c>
      <c r="B971" s="15" t="s">
        <v>368</v>
      </c>
      <c r="C971" s="27">
        <v>552</v>
      </c>
      <c r="D971" s="11" t="e">
        <f>VLOOKUP(B971,#REF!,7,FALSE)</f>
        <v>#REF!</v>
      </c>
      <c r="E971" s="31">
        <v>1.4218999999999999</v>
      </c>
      <c r="I971" s="11" t="e">
        <f>+VLOOKUP(B971,#REF!,7,FALSE)</f>
        <v>#REF!</v>
      </c>
      <c r="J971" s="12" t="str">
        <f t="shared" si="46"/>
        <v/>
      </c>
      <c r="K971" s="12" t="str">
        <f t="shared" si="47"/>
        <v/>
      </c>
      <c r="L971" s="12" t="e">
        <f t="shared" si="45"/>
        <v>#VALUE!</v>
      </c>
    </row>
    <row r="972" spans="1:12" ht="24" customHeight="1" x14ac:dyDescent="0.25">
      <c r="A972" s="15">
        <v>43299</v>
      </c>
      <c r="B972" s="15" t="s">
        <v>90</v>
      </c>
      <c r="C972" s="27">
        <v>6252</v>
      </c>
      <c r="D972" s="11" t="e">
        <f>VLOOKUP(B972,#REF!,7,FALSE)</f>
        <v>#REF!</v>
      </c>
      <c r="E972" s="31">
        <v>0.75549999999999995</v>
      </c>
      <c r="I972" s="11" t="e">
        <f>+VLOOKUP(B972,#REF!,7,FALSE)</f>
        <v>#REF!</v>
      </c>
      <c r="J972" s="12" t="str">
        <f t="shared" si="46"/>
        <v/>
      </c>
      <c r="K972" s="12" t="str">
        <f t="shared" si="47"/>
        <v/>
      </c>
      <c r="L972" s="12" t="e">
        <f t="shared" si="45"/>
        <v>#VALUE!</v>
      </c>
    </row>
    <row r="973" spans="1:12" ht="24" customHeight="1" x14ac:dyDescent="0.25">
      <c r="A973" s="15">
        <v>43299</v>
      </c>
      <c r="B973" s="15" t="s">
        <v>304</v>
      </c>
      <c r="C973" s="27">
        <v>635</v>
      </c>
      <c r="D973" s="11" t="e">
        <f>VLOOKUP(B973,#REF!,7,FALSE)</f>
        <v>#REF!</v>
      </c>
      <c r="E973" s="31" t="s">
        <v>11</v>
      </c>
      <c r="I973" s="11" t="e">
        <f>+VLOOKUP(B973,#REF!,7,FALSE)</f>
        <v>#REF!</v>
      </c>
      <c r="J973" s="12" t="str">
        <f t="shared" si="46"/>
        <v/>
      </c>
      <c r="K973" s="12" t="str">
        <f t="shared" si="47"/>
        <v/>
      </c>
      <c r="L973" s="12" t="e">
        <f t="shared" si="45"/>
        <v>#VALUE!</v>
      </c>
    </row>
    <row r="974" spans="1:12" ht="24" customHeight="1" x14ac:dyDescent="0.25">
      <c r="A974" s="15">
        <v>43299</v>
      </c>
      <c r="B974" s="15" t="s">
        <v>305</v>
      </c>
      <c r="C974" s="27">
        <v>29376</v>
      </c>
      <c r="D974" s="11" t="e">
        <f>VLOOKUP(B974,#REF!,7,FALSE)</f>
        <v>#REF!</v>
      </c>
      <c r="E974" s="31">
        <v>0.22850000000000001</v>
      </c>
      <c r="I974" s="11" t="e">
        <f>+VLOOKUP(B974,#REF!,7,FALSE)</f>
        <v>#REF!</v>
      </c>
      <c r="J974" s="12" t="str">
        <f t="shared" si="46"/>
        <v/>
      </c>
      <c r="K974" s="12" t="str">
        <f t="shared" si="47"/>
        <v/>
      </c>
      <c r="L974" s="12" t="e">
        <f t="shared" si="45"/>
        <v>#VALUE!</v>
      </c>
    </row>
    <row r="975" spans="1:12" ht="24" customHeight="1" x14ac:dyDescent="0.25">
      <c r="A975" s="15">
        <v>43299</v>
      </c>
      <c r="B975" s="15" t="s">
        <v>320</v>
      </c>
      <c r="C975" s="27">
        <v>21000</v>
      </c>
      <c r="D975" s="11" t="e">
        <f>VLOOKUP(B975,#REF!,7,FALSE)</f>
        <v>#REF!</v>
      </c>
      <c r="E975" s="31">
        <v>0.51200000000000001</v>
      </c>
      <c r="I975" s="11" t="e">
        <f>+VLOOKUP(B975,#REF!,7,FALSE)</f>
        <v>#REF!</v>
      </c>
      <c r="J975" s="12" t="str">
        <f t="shared" si="46"/>
        <v/>
      </c>
      <c r="K975" s="12" t="str">
        <f t="shared" si="47"/>
        <v/>
      </c>
      <c r="L975" s="12" t="e">
        <f t="shared" si="45"/>
        <v>#VALUE!</v>
      </c>
    </row>
    <row r="976" spans="1:12" ht="24" customHeight="1" x14ac:dyDescent="0.25">
      <c r="A976" s="15">
        <v>43299</v>
      </c>
      <c r="B976" s="15" t="s">
        <v>137</v>
      </c>
      <c r="C976" s="27">
        <v>1572</v>
      </c>
      <c r="D976" s="11" t="e">
        <f>VLOOKUP(B976,#REF!,7,FALSE)</f>
        <v>#REF!</v>
      </c>
      <c r="E976" s="31">
        <v>3.1819000000000002</v>
      </c>
      <c r="I976" s="11" t="e">
        <f>+VLOOKUP(B976,#REF!,7,FALSE)</f>
        <v>#REF!</v>
      </c>
      <c r="J976" s="12" t="str">
        <f t="shared" si="46"/>
        <v/>
      </c>
      <c r="K976" s="12" t="str">
        <f t="shared" si="47"/>
        <v/>
      </c>
      <c r="L976" s="12" t="e">
        <f t="shared" si="45"/>
        <v>#VALUE!</v>
      </c>
    </row>
    <row r="977" spans="1:12" ht="24" customHeight="1" x14ac:dyDescent="0.25">
      <c r="A977" s="15">
        <v>43299</v>
      </c>
      <c r="B977" s="15" t="s">
        <v>139</v>
      </c>
      <c r="C977" s="27">
        <v>2020</v>
      </c>
      <c r="D977" s="11" t="e">
        <f>VLOOKUP(B977,#REF!,7,FALSE)</f>
        <v>#REF!</v>
      </c>
      <c r="E977" s="31">
        <v>3.8144</v>
      </c>
      <c r="I977" s="11" t="e">
        <f>+VLOOKUP(B977,#REF!,7,FALSE)</f>
        <v>#REF!</v>
      </c>
      <c r="J977" s="12" t="str">
        <f t="shared" si="46"/>
        <v/>
      </c>
      <c r="K977" s="12" t="str">
        <f t="shared" si="47"/>
        <v/>
      </c>
      <c r="L977" s="12" t="e">
        <f t="shared" si="45"/>
        <v>#VALUE!</v>
      </c>
    </row>
    <row r="978" spans="1:12" ht="24" customHeight="1" x14ac:dyDescent="0.25">
      <c r="A978" s="15">
        <v>43299</v>
      </c>
      <c r="B978" s="15" t="s">
        <v>373</v>
      </c>
      <c r="C978" s="27">
        <v>3180</v>
      </c>
      <c r="D978" s="11" t="e">
        <f>VLOOKUP(B978,#REF!,7,FALSE)</f>
        <v>#REF!</v>
      </c>
      <c r="E978" s="31">
        <v>0.13020000000000001</v>
      </c>
      <c r="I978" s="11" t="e">
        <f>+VLOOKUP(B978,#REF!,7,FALSE)</f>
        <v>#REF!</v>
      </c>
      <c r="J978" s="12" t="str">
        <f t="shared" si="46"/>
        <v/>
      </c>
      <c r="K978" s="12" t="str">
        <f t="shared" si="47"/>
        <v/>
      </c>
      <c r="L978" s="12" t="e">
        <f t="shared" si="45"/>
        <v>#VALUE!</v>
      </c>
    </row>
    <row r="979" spans="1:12" ht="24" customHeight="1" x14ac:dyDescent="0.25">
      <c r="A979" s="15">
        <v>43299</v>
      </c>
      <c r="B979" s="15" t="s">
        <v>385</v>
      </c>
      <c r="C979" s="27">
        <v>7326</v>
      </c>
      <c r="D979" s="11" t="e">
        <f>VLOOKUP(B979,#REF!,7,FALSE)</f>
        <v>#REF!</v>
      </c>
      <c r="E979" s="31">
        <v>1.1395999999999999</v>
      </c>
      <c r="I979" s="11" t="e">
        <f>+VLOOKUP(B979,#REF!,7,FALSE)</f>
        <v>#REF!</v>
      </c>
      <c r="J979" s="12" t="str">
        <f t="shared" si="46"/>
        <v/>
      </c>
      <c r="K979" s="12" t="str">
        <f t="shared" si="47"/>
        <v/>
      </c>
      <c r="L979" s="12" t="e">
        <f t="shared" si="45"/>
        <v>#VALUE!</v>
      </c>
    </row>
    <row r="980" spans="1:12" ht="24" customHeight="1" x14ac:dyDescent="0.25">
      <c r="A980" s="15">
        <v>43299</v>
      </c>
      <c r="B980" s="15" t="s">
        <v>190</v>
      </c>
      <c r="C980" s="27">
        <v>7422</v>
      </c>
      <c r="D980" s="11" t="e">
        <f>VLOOKUP(B980,#REF!,7,FALSE)</f>
        <v>#REF!</v>
      </c>
      <c r="E980" s="31">
        <v>2.5912000000000002</v>
      </c>
      <c r="I980" s="11" t="e">
        <f>+VLOOKUP(B980,#REF!,7,FALSE)</f>
        <v>#REF!</v>
      </c>
      <c r="J980" s="12" t="str">
        <f t="shared" si="46"/>
        <v/>
      </c>
      <c r="K980" s="12" t="str">
        <f t="shared" si="47"/>
        <v/>
      </c>
      <c r="L980" s="12" t="e">
        <f t="shared" si="45"/>
        <v>#VALUE!</v>
      </c>
    </row>
    <row r="981" spans="1:12" ht="24" customHeight="1" x14ac:dyDescent="0.25">
      <c r="A981" s="15">
        <v>43299</v>
      </c>
      <c r="B981" s="15" t="s">
        <v>200</v>
      </c>
      <c r="C981" s="27">
        <v>8160</v>
      </c>
      <c r="D981" s="11" t="e">
        <f>VLOOKUP(B981,#REF!,7,FALSE)</f>
        <v>#REF!</v>
      </c>
      <c r="E981" s="31">
        <v>2.5627</v>
      </c>
      <c r="I981" s="11" t="e">
        <f>+VLOOKUP(B981,#REF!,7,FALSE)</f>
        <v>#REF!</v>
      </c>
      <c r="J981" s="12" t="str">
        <f t="shared" si="46"/>
        <v/>
      </c>
      <c r="K981" s="12" t="str">
        <f t="shared" si="47"/>
        <v/>
      </c>
      <c r="L981" s="12" t="e">
        <f t="shared" si="45"/>
        <v>#VALUE!</v>
      </c>
    </row>
    <row r="982" spans="1:12" ht="24" customHeight="1" x14ac:dyDescent="0.25">
      <c r="A982" s="15">
        <v>43300</v>
      </c>
      <c r="B982" s="15" t="s">
        <v>304</v>
      </c>
      <c r="C982" s="27">
        <v>42240</v>
      </c>
      <c r="D982" s="11" t="e">
        <f>VLOOKUP(B982,#REF!,7,FALSE)</f>
        <v>#REF!</v>
      </c>
      <c r="E982" s="31">
        <v>0.25440000000000002</v>
      </c>
      <c r="I982" s="11" t="e">
        <f>+VLOOKUP(B982,#REF!,7,FALSE)</f>
        <v>#REF!</v>
      </c>
      <c r="J982" s="12" t="str">
        <f t="shared" si="46"/>
        <v/>
      </c>
      <c r="K982" s="12" t="str">
        <f t="shared" si="47"/>
        <v/>
      </c>
      <c r="L982" s="12" t="e">
        <f t="shared" si="45"/>
        <v>#VALUE!</v>
      </c>
    </row>
    <row r="983" spans="1:12" ht="24" customHeight="1" x14ac:dyDescent="0.25">
      <c r="A983" s="15">
        <v>43300</v>
      </c>
      <c r="B983" s="15" t="s">
        <v>305</v>
      </c>
      <c r="C983" s="27">
        <v>26272</v>
      </c>
      <c r="D983" s="11" t="e">
        <f>VLOOKUP(B983,#REF!,7,FALSE)</f>
        <v>#REF!</v>
      </c>
      <c r="E983" s="31">
        <v>0.23730000000000001</v>
      </c>
      <c r="I983" s="11" t="e">
        <f>+VLOOKUP(B983,#REF!,7,FALSE)</f>
        <v>#REF!</v>
      </c>
      <c r="J983" s="12" t="str">
        <f t="shared" si="46"/>
        <v/>
      </c>
      <c r="K983" s="12" t="str">
        <f t="shared" si="47"/>
        <v/>
      </c>
      <c r="L983" s="12" t="e">
        <f t="shared" si="45"/>
        <v>#VALUE!</v>
      </c>
    </row>
    <row r="984" spans="1:12" ht="24" customHeight="1" x14ac:dyDescent="0.25">
      <c r="A984" s="15">
        <v>43300</v>
      </c>
      <c r="B984" s="15" t="s">
        <v>320</v>
      </c>
      <c r="C984" s="27">
        <v>1500</v>
      </c>
      <c r="D984" s="11" t="e">
        <f>VLOOKUP(B984,#REF!,7,FALSE)</f>
        <v>#REF!</v>
      </c>
      <c r="E984" s="31">
        <v>0.50309999999999999</v>
      </c>
      <c r="I984" s="11" t="e">
        <f>+VLOOKUP(B984,#REF!,7,FALSE)</f>
        <v>#REF!</v>
      </c>
      <c r="J984" s="12" t="str">
        <f t="shared" si="46"/>
        <v/>
      </c>
      <c r="K984" s="12" t="str">
        <f t="shared" si="47"/>
        <v/>
      </c>
      <c r="L984" s="12" t="e">
        <f t="shared" si="45"/>
        <v>#VALUE!</v>
      </c>
    </row>
    <row r="985" spans="1:12" ht="24" customHeight="1" x14ac:dyDescent="0.25">
      <c r="A985" s="15">
        <v>43300</v>
      </c>
      <c r="B985" s="15" t="s">
        <v>137</v>
      </c>
      <c r="C985" s="27">
        <v>486</v>
      </c>
      <c r="D985" s="11" t="e">
        <f>VLOOKUP(B985,#REF!,7,FALSE)</f>
        <v>#REF!</v>
      </c>
      <c r="E985" s="31">
        <v>2.6217000000000001</v>
      </c>
      <c r="I985" s="11" t="e">
        <f>+VLOOKUP(B985,#REF!,7,FALSE)</f>
        <v>#REF!</v>
      </c>
      <c r="J985" s="12" t="str">
        <f t="shared" si="46"/>
        <v/>
      </c>
      <c r="K985" s="12" t="str">
        <f t="shared" si="47"/>
        <v/>
      </c>
      <c r="L985" s="12" t="e">
        <f t="shared" si="45"/>
        <v>#VALUE!</v>
      </c>
    </row>
    <row r="986" spans="1:12" ht="24" customHeight="1" x14ac:dyDescent="0.25">
      <c r="A986" s="15">
        <v>43300</v>
      </c>
      <c r="B986" s="15" t="s">
        <v>385</v>
      </c>
      <c r="C986" s="27">
        <v>6354</v>
      </c>
      <c r="D986" s="11" t="e">
        <f>VLOOKUP(B986,#REF!,7,FALSE)</f>
        <v>#REF!</v>
      </c>
      <c r="E986" s="31">
        <v>1.1460999999999999</v>
      </c>
      <c r="I986" s="11" t="e">
        <f>+VLOOKUP(B986,#REF!,7,FALSE)</f>
        <v>#REF!</v>
      </c>
      <c r="J986" s="12" t="str">
        <f t="shared" si="46"/>
        <v/>
      </c>
      <c r="K986" s="12" t="str">
        <f t="shared" si="47"/>
        <v/>
      </c>
      <c r="L986" s="12" t="e">
        <f t="shared" si="45"/>
        <v>#VALUE!</v>
      </c>
    </row>
    <row r="987" spans="1:12" ht="24" customHeight="1" x14ac:dyDescent="0.25">
      <c r="A987" s="15">
        <v>43300</v>
      </c>
      <c r="B987" s="15" t="s">
        <v>191</v>
      </c>
      <c r="C987" s="27">
        <v>6720</v>
      </c>
      <c r="D987" s="11" t="e">
        <f>VLOOKUP(B987,#REF!,7,FALSE)</f>
        <v>#REF!</v>
      </c>
      <c r="E987" s="31">
        <v>2.6002000000000001</v>
      </c>
      <c r="I987" s="11" t="e">
        <f>+VLOOKUP(B987,#REF!,7,FALSE)</f>
        <v>#REF!</v>
      </c>
      <c r="J987" s="12" t="str">
        <f t="shared" si="46"/>
        <v/>
      </c>
      <c r="K987" s="12" t="str">
        <f t="shared" si="47"/>
        <v/>
      </c>
      <c r="L987" s="12" t="e">
        <f t="shared" si="45"/>
        <v>#VALUE!</v>
      </c>
    </row>
    <row r="988" spans="1:12" ht="24" customHeight="1" x14ac:dyDescent="0.25">
      <c r="A988" s="15">
        <v>43300</v>
      </c>
      <c r="B988" s="15" t="s">
        <v>200</v>
      </c>
      <c r="C988" s="27">
        <v>1914</v>
      </c>
      <c r="D988" s="11" t="e">
        <f>VLOOKUP(B988,#REF!,7,FALSE)</f>
        <v>#REF!</v>
      </c>
      <c r="E988" s="31">
        <v>2.4885999999999999</v>
      </c>
      <c r="I988" s="11" t="e">
        <f>+VLOOKUP(B988,#REF!,7,FALSE)</f>
        <v>#REF!</v>
      </c>
      <c r="J988" s="12" t="str">
        <f t="shared" si="46"/>
        <v/>
      </c>
      <c r="K988" s="12" t="str">
        <f t="shared" si="47"/>
        <v/>
      </c>
      <c r="L988" s="12" t="e">
        <f t="shared" si="45"/>
        <v>#VALUE!</v>
      </c>
    </row>
    <row r="989" spans="1:12" ht="24" customHeight="1" x14ac:dyDescent="0.25">
      <c r="A989" s="15">
        <v>43300</v>
      </c>
      <c r="B989" s="15" t="s">
        <v>201</v>
      </c>
      <c r="C989" s="27">
        <v>4464</v>
      </c>
      <c r="D989" s="11" t="e">
        <f>VLOOKUP(B989,#REF!,7,FALSE)</f>
        <v>#REF!</v>
      </c>
      <c r="E989" s="31">
        <v>2.6084000000000001</v>
      </c>
      <c r="I989" s="11" t="e">
        <f>+VLOOKUP(B989,#REF!,7,FALSE)</f>
        <v>#REF!</v>
      </c>
      <c r="J989" s="12" t="str">
        <f t="shared" si="46"/>
        <v/>
      </c>
      <c r="K989" s="12" t="str">
        <f t="shared" si="47"/>
        <v/>
      </c>
      <c r="L989" s="12" t="e">
        <f t="shared" si="45"/>
        <v>#VALUE!</v>
      </c>
    </row>
    <row r="990" spans="1:12" ht="24" customHeight="1" x14ac:dyDescent="0.25">
      <c r="A990" s="15">
        <v>43300</v>
      </c>
      <c r="B990" s="15" t="s">
        <v>202</v>
      </c>
      <c r="C990" s="27">
        <v>131</v>
      </c>
      <c r="D990" s="11" t="e">
        <f>VLOOKUP(B990,#REF!,7,FALSE)</f>
        <v>#REF!</v>
      </c>
      <c r="E990" s="31">
        <v>19.895</v>
      </c>
      <c r="I990" s="11" t="e">
        <f>+VLOOKUP(B990,#REF!,7,FALSE)</f>
        <v>#REF!</v>
      </c>
      <c r="J990" s="12" t="str">
        <f t="shared" si="46"/>
        <v/>
      </c>
      <c r="K990" s="12" t="str">
        <f t="shared" si="47"/>
        <v/>
      </c>
      <c r="L990" s="12" t="e">
        <f t="shared" si="45"/>
        <v>#VALUE!</v>
      </c>
    </row>
    <row r="991" spans="1:12" ht="24" customHeight="1" x14ac:dyDescent="0.25">
      <c r="A991" s="15">
        <v>43300</v>
      </c>
      <c r="B991" s="15" t="s">
        <v>203</v>
      </c>
      <c r="C991" s="27">
        <v>240</v>
      </c>
      <c r="D991" s="11" t="e">
        <f>VLOOKUP(B991,#REF!,7,FALSE)</f>
        <v>#REF!</v>
      </c>
      <c r="E991" s="31">
        <v>17.6692</v>
      </c>
      <c r="I991" s="11" t="e">
        <f>+VLOOKUP(B991,#REF!,7,FALSE)</f>
        <v>#REF!</v>
      </c>
      <c r="J991" s="12" t="str">
        <f t="shared" si="46"/>
        <v/>
      </c>
      <c r="K991" s="12" t="str">
        <f t="shared" si="47"/>
        <v/>
      </c>
      <c r="L991" s="12" t="e">
        <f t="shared" si="45"/>
        <v>#VALUE!</v>
      </c>
    </row>
    <row r="992" spans="1:12" ht="24" customHeight="1" x14ac:dyDescent="0.25">
      <c r="A992" s="15">
        <v>43300</v>
      </c>
      <c r="B992" s="15" t="s">
        <v>204</v>
      </c>
      <c r="C992" s="27">
        <v>144</v>
      </c>
      <c r="D992" s="11" t="e">
        <f>VLOOKUP(B992,#REF!,7,FALSE)</f>
        <v>#REF!</v>
      </c>
      <c r="E992" s="31">
        <v>16.570699999999999</v>
      </c>
      <c r="I992" s="11" t="e">
        <f>+VLOOKUP(B992,#REF!,7,FALSE)</f>
        <v>#REF!</v>
      </c>
      <c r="J992" s="12" t="str">
        <f t="shared" si="46"/>
        <v/>
      </c>
      <c r="K992" s="12" t="str">
        <f t="shared" si="47"/>
        <v/>
      </c>
      <c r="L992" s="12" t="e">
        <f t="shared" si="45"/>
        <v>#VALUE!</v>
      </c>
    </row>
    <row r="993" spans="1:12" ht="24" customHeight="1" x14ac:dyDescent="0.25">
      <c r="A993" s="15">
        <v>43300</v>
      </c>
      <c r="B993" s="15" t="s">
        <v>207</v>
      </c>
      <c r="C993" s="27">
        <v>10936</v>
      </c>
      <c r="D993" s="11" t="e">
        <f>VLOOKUP(B993,#REF!,7,FALSE)</f>
        <v>#REF!</v>
      </c>
      <c r="E993" s="31">
        <v>0.81869999999999998</v>
      </c>
      <c r="I993" s="11" t="e">
        <f>+VLOOKUP(B993,#REF!,7,FALSE)</f>
        <v>#REF!</v>
      </c>
      <c r="J993" s="12" t="str">
        <f t="shared" si="46"/>
        <v/>
      </c>
      <c r="K993" s="12" t="str">
        <f t="shared" si="47"/>
        <v/>
      </c>
      <c r="L993" s="12" t="e">
        <f t="shared" si="45"/>
        <v>#VALUE!</v>
      </c>
    </row>
    <row r="994" spans="1:12" ht="24" customHeight="1" x14ac:dyDescent="0.25">
      <c r="A994" s="15">
        <v>43300</v>
      </c>
      <c r="B994" s="15" t="s">
        <v>488</v>
      </c>
      <c r="C994" s="27">
        <v>606</v>
      </c>
      <c r="D994" s="11" t="e">
        <f>VLOOKUP(B994,#REF!,7,FALSE)</f>
        <v>#REF!</v>
      </c>
      <c r="E994" s="31">
        <v>1.8580000000000001</v>
      </c>
      <c r="I994" s="11" t="e">
        <f>+VLOOKUP(B994,#REF!,7,FALSE)</f>
        <v>#REF!</v>
      </c>
      <c r="J994" s="12" t="str">
        <f t="shared" si="46"/>
        <v/>
      </c>
      <c r="K994" s="12" t="str">
        <f t="shared" si="47"/>
        <v/>
      </c>
      <c r="L994" s="12" t="e">
        <f t="shared" si="45"/>
        <v>#VALUE!</v>
      </c>
    </row>
    <row r="995" spans="1:12" ht="24" customHeight="1" x14ac:dyDescent="0.25">
      <c r="A995" s="15">
        <v>43300</v>
      </c>
      <c r="B995" s="15" t="s">
        <v>451</v>
      </c>
      <c r="C995" s="27">
        <v>84</v>
      </c>
      <c r="D995" s="11" t="e">
        <f>VLOOKUP(B995,#REF!,7,FALSE)</f>
        <v>#REF!</v>
      </c>
      <c r="E995" s="31">
        <v>1.5056</v>
      </c>
      <c r="I995" s="11">
        <v>3.4159999999999999</v>
      </c>
      <c r="J995" s="12" t="str">
        <f t="shared" si="46"/>
        <v/>
      </c>
      <c r="K995" s="12">
        <f t="shared" si="47"/>
        <v>0.55925058548009365</v>
      </c>
      <c r="L995" s="12" t="e">
        <f t="shared" si="45"/>
        <v>#VALUE!</v>
      </c>
    </row>
    <row r="996" spans="1:12" ht="24" customHeight="1" x14ac:dyDescent="0.25">
      <c r="A996" s="15">
        <v>43301</v>
      </c>
      <c r="B996" s="15" t="s">
        <v>268</v>
      </c>
      <c r="C996" s="27">
        <v>2508</v>
      </c>
      <c r="D996" s="11" t="e">
        <f>VLOOKUP(B996,#REF!,7,FALSE)</f>
        <v>#REF!</v>
      </c>
      <c r="E996" s="31">
        <v>0.65710000000000002</v>
      </c>
      <c r="I996" s="11" t="e">
        <f>+VLOOKUP(B996,#REF!,7,FALSE)</f>
        <v>#REF!</v>
      </c>
      <c r="J996" s="12" t="str">
        <f t="shared" si="46"/>
        <v/>
      </c>
      <c r="K996" s="12" t="str">
        <f t="shared" si="47"/>
        <v/>
      </c>
      <c r="L996" s="12" t="e">
        <f t="shared" si="45"/>
        <v>#VALUE!</v>
      </c>
    </row>
    <row r="997" spans="1:12" ht="24" customHeight="1" x14ac:dyDescent="0.25">
      <c r="A997" s="15">
        <v>43301</v>
      </c>
      <c r="B997" s="15" t="s">
        <v>274</v>
      </c>
      <c r="C997" s="27">
        <v>2940</v>
      </c>
      <c r="D997" s="11" t="e">
        <f>VLOOKUP(B997,#REF!,7,FALSE)</f>
        <v>#REF!</v>
      </c>
      <c r="E997" s="31">
        <v>1.0058</v>
      </c>
      <c r="I997" s="11" t="e">
        <f>+VLOOKUP(B997,#REF!,7,FALSE)</f>
        <v>#REF!</v>
      </c>
      <c r="J997" s="12" t="str">
        <f t="shared" si="46"/>
        <v/>
      </c>
      <c r="K997" s="12" t="str">
        <f t="shared" si="47"/>
        <v/>
      </c>
      <c r="L997" s="12" t="e">
        <f t="shared" si="45"/>
        <v>#VALUE!</v>
      </c>
    </row>
    <row r="998" spans="1:12" ht="24" customHeight="1" x14ac:dyDescent="0.25">
      <c r="A998" s="15">
        <v>43301</v>
      </c>
      <c r="B998" s="15" t="s">
        <v>280</v>
      </c>
      <c r="C998" s="27">
        <v>465</v>
      </c>
      <c r="D998" s="11" t="e">
        <f>VLOOKUP(B998,#REF!,7,FALSE)</f>
        <v>#REF!</v>
      </c>
      <c r="E998" s="31">
        <v>7.3323999999999998</v>
      </c>
      <c r="I998" s="11" t="e">
        <f>+VLOOKUP(B998,#REF!,7,FALSE)</f>
        <v>#REF!</v>
      </c>
      <c r="J998" s="12" t="str">
        <f t="shared" si="46"/>
        <v/>
      </c>
      <c r="K998" s="12" t="str">
        <f t="shared" si="47"/>
        <v/>
      </c>
      <c r="L998" s="12" t="e">
        <f t="shared" si="45"/>
        <v>#VALUE!</v>
      </c>
    </row>
    <row r="999" spans="1:12" ht="24" customHeight="1" x14ac:dyDescent="0.25">
      <c r="A999" s="15">
        <v>43301</v>
      </c>
      <c r="B999" s="15" t="s">
        <v>136</v>
      </c>
      <c r="C999" s="27">
        <v>1086</v>
      </c>
      <c r="D999" s="11" t="e">
        <f>VLOOKUP(B999,#REF!,7,FALSE)</f>
        <v>#REF!</v>
      </c>
      <c r="E999" s="31">
        <v>2.0941999999999998</v>
      </c>
      <c r="I999" s="11" t="e">
        <f>+VLOOKUP(B999,#REF!,7,FALSE)</f>
        <v>#REF!</v>
      </c>
      <c r="J999" s="12" t="str">
        <f t="shared" si="46"/>
        <v/>
      </c>
      <c r="K999" s="12" t="str">
        <f t="shared" si="47"/>
        <v/>
      </c>
      <c r="L999" s="12" t="e">
        <f t="shared" si="45"/>
        <v>#VALUE!</v>
      </c>
    </row>
    <row r="1000" spans="1:12" ht="24" customHeight="1" x14ac:dyDescent="0.25">
      <c r="A1000" s="15">
        <v>43301</v>
      </c>
      <c r="B1000" s="15" t="s">
        <v>137</v>
      </c>
      <c r="C1000" s="27">
        <v>486</v>
      </c>
      <c r="D1000" s="11" t="e">
        <f>VLOOKUP(B1000,#REF!,7,FALSE)</f>
        <v>#REF!</v>
      </c>
      <c r="E1000" s="31">
        <v>3.3098000000000001</v>
      </c>
      <c r="I1000" s="11" t="e">
        <f>+VLOOKUP(B1000,#REF!,7,FALSE)</f>
        <v>#REF!</v>
      </c>
      <c r="J1000" s="12" t="str">
        <f t="shared" si="46"/>
        <v/>
      </c>
      <c r="K1000" s="12" t="str">
        <f t="shared" si="47"/>
        <v/>
      </c>
      <c r="L1000" s="12" t="e">
        <f t="shared" si="45"/>
        <v>#VALUE!</v>
      </c>
    </row>
    <row r="1001" spans="1:12" ht="24" customHeight="1" x14ac:dyDescent="0.25">
      <c r="A1001" s="15">
        <v>43301</v>
      </c>
      <c r="B1001" s="15" t="s">
        <v>138</v>
      </c>
      <c r="C1001" s="27">
        <v>7488</v>
      </c>
      <c r="D1001" s="11" t="e">
        <f>VLOOKUP(B1001,#REF!,7,FALSE)</f>
        <v>#REF!</v>
      </c>
      <c r="E1001" s="31">
        <v>1.0629</v>
      </c>
      <c r="I1001" s="11" t="e">
        <f>+VLOOKUP(B1001,#REF!,7,FALSE)</f>
        <v>#REF!</v>
      </c>
      <c r="J1001" s="12" t="str">
        <f t="shared" si="46"/>
        <v/>
      </c>
      <c r="K1001" s="12" t="str">
        <f t="shared" si="47"/>
        <v/>
      </c>
      <c r="L1001" s="12" t="e">
        <f t="shared" si="45"/>
        <v>#VALUE!</v>
      </c>
    </row>
    <row r="1002" spans="1:12" ht="24" customHeight="1" x14ac:dyDescent="0.25">
      <c r="A1002" s="15">
        <v>43301</v>
      </c>
      <c r="B1002" s="15" t="s">
        <v>337</v>
      </c>
      <c r="C1002" s="27">
        <v>11016</v>
      </c>
      <c r="D1002" s="11" t="e">
        <f>VLOOKUP(B1002,#REF!,7,FALSE)</f>
        <v>#REF!</v>
      </c>
      <c r="E1002" s="31">
        <v>0.66</v>
      </c>
      <c r="I1002" s="11" t="e">
        <f>+VLOOKUP(B1002,#REF!,7,FALSE)</f>
        <v>#REF!</v>
      </c>
      <c r="J1002" s="12" t="str">
        <f t="shared" si="46"/>
        <v/>
      </c>
      <c r="K1002" s="12" t="str">
        <f t="shared" si="47"/>
        <v/>
      </c>
      <c r="L1002" s="12" t="e">
        <f t="shared" si="45"/>
        <v>#VALUE!</v>
      </c>
    </row>
    <row r="1003" spans="1:12" ht="24" customHeight="1" x14ac:dyDescent="0.25">
      <c r="A1003" s="15">
        <v>43301</v>
      </c>
      <c r="B1003" s="15" t="s">
        <v>364</v>
      </c>
      <c r="C1003" s="27">
        <v>1770</v>
      </c>
      <c r="D1003" s="11" t="e">
        <f>VLOOKUP(B1003,#REF!,7,FALSE)</f>
        <v>#REF!</v>
      </c>
      <c r="E1003" s="31">
        <v>1.3139000000000001</v>
      </c>
      <c r="I1003" s="11" t="e">
        <f>+VLOOKUP(B1003,#REF!,7,FALSE)</f>
        <v>#REF!</v>
      </c>
      <c r="J1003" s="12" t="str">
        <f t="shared" si="46"/>
        <v/>
      </c>
      <c r="K1003" s="12" t="str">
        <f t="shared" si="47"/>
        <v/>
      </c>
      <c r="L1003" s="12" t="e">
        <f t="shared" si="45"/>
        <v>#VALUE!</v>
      </c>
    </row>
    <row r="1004" spans="1:12" ht="24" customHeight="1" x14ac:dyDescent="0.25">
      <c r="A1004" s="15">
        <v>43301</v>
      </c>
      <c r="B1004" s="15" t="s">
        <v>385</v>
      </c>
      <c r="C1004" s="27">
        <v>7392</v>
      </c>
      <c r="D1004" s="11" t="e">
        <f>VLOOKUP(B1004,#REF!,7,FALSE)</f>
        <v>#REF!</v>
      </c>
      <c r="E1004" s="31">
        <v>1.1291</v>
      </c>
      <c r="I1004" s="11" t="e">
        <f>+VLOOKUP(B1004,#REF!,7,FALSE)</f>
        <v>#REF!</v>
      </c>
      <c r="J1004" s="12" t="str">
        <f t="shared" si="46"/>
        <v/>
      </c>
      <c r="K1004" s="12" t="str">
        <f t="shared" si="47"/>
        <v/>
      </c>
      <c r="L1004" s="12" t="e">
        <f t="shared" si="45"/>
        <v>#VALUE!</v>
      </c>
    </row>
    <row r="1005" spans="1:12" ht="24" customHeight="1" x14ac:dyDescent="0.25">
      <c r="A1005" s="15">
        <v>43301</v>
      </c>
      <c r="B1005" s="15" t="s">
        <v>207</v>
      </c>
      <c r="C1005" s="27">
        <v>9184</v>
      </c>
      <c r="D1005" s="11" t="e">
        <f>VLOOKUP(B1005,#REF!,7,FALSE)</f>
        <v>#REF!</v>
      </c>
      <c r="E1005" s="31">
        <v>0.80030000000000001</v>
      </c>
      <c r="I1005" s="11" t="e">
        <f>+VLOOKUP(B1005,#REF!,7,FALSE)</f>
        <v>#REF!</v>
      </c>
      <c r="J1005" s="12" t="str">
        <f t="shared" si="46"/>
        <v/>
      </c>
      <c r="K1005" s="12" t="str">
        <f t="shared" si="47"/>
        <v/>
      </c>
      <c r="L1005" s="12" t="e">
        <f t="shared" si="45"/>
        <v>#VALUE!</v>
      </c>
    </row>
    <row r="1006" spans="1:12" ht="24" customHeight="1" x14ac:dyDescent="0.25">
      <c r="A1006" s="15">
        <v>43301</v>
      </c>
      <c r="B1006" s="15" t="s">
        <v>430</v>
      </c>
      <c r="C1006" s="27">
        <v>5814</v>
      </c>
      <c r="D1006" s="11" t="e">
        <f>VLOOKUP(B1006,#REF!,7,FALSE)</f>
        <v>#REF!</v>
      </c>
      <c r="E1006" s="31">
        <v>3.4552999999999998</v>
      </c>
      <c r="I1006" s="11" t="e">
        <f>+VLOOKUP(B1006,#REF!,7,FALSE)</f>
        <v>#REF!</v>
      </c>
      <c r="J1006" s="12" t="str">
        <f t="shared" si="46"/>
        <v/>
      </c>
      <c r="K1006" s="12" t="str">
        <f t="shared" si="47"/>
        <v/>
      </c>
      <c r="L1006" s="12" t="e">
        <f t="shared" ref="L1006:L1069" si="48">J1006-K1006</f>
        <v>#VALUE!</v>
      </c>
    </row>
    <row r="1007" spans="1:12" ht="24" customHeight="1" x14ac:dyDescent="0.25">
      <c r="A1007" s="15">
        <v>43301</v>
      </c>
      <c r="B1007" s="15" t="s">
        <v>463</v>
      </c>
      <c r="C1007" s="27">
        <v>3270</v>
      </c>
      <c r="D1007" s="11" t="e">
        <f>VLOOKUP(B1007,#REF!,7,FALSE)</f>
        <v>#REF!</v>
      </c>
      <c r="E1007" s="31">
        <v>3.3140999999999998</v>
      </c>
      <c r="I1007" s="11" t="e">
        <f>+VLOOKUP(B1007,#REF!,7,FALSE)</f>
        <v>#REF!</v>
      </c>
      <c r="J1007" s="12" t="str">
        <f t="shared" si="46"/>
        <v/>
      </c>
      <c r="K1007" s="12" t="str">
        <f t="shared" si="47"/>
        <v/>
      </c>
      <c r="L1007" s="12" t="e">
        <f t="shared" si="48"/>
        <v>#VALUE!</v>
      </c>
    </row>
    <row r="1008" spans="1:12" ht="24" customHeight="1" x14ac:dyDescent="0.25">
      <c r="A1008" s="15">
        <v>43304</v>
      </c>
      <c r="B1008" s="15" t="s">
        <v>111</v>
      </c>
      <c r="C1008" s="27">
        <v>4690</v>
      </c>
      <c r="D1008" s="11" t="e">
        <f>VLOOKUP(B1008,#REF!,7,FALSE)</f>
        <v>#REF!</v>
      </c>
      <c r="E1008" s="31">
        <v>1.5062</v>
      </c>
      <c r="I1008" s="11" t="e">
        <f>+VLOOKUP(B1008,#REF!,7,FALSE)</f>
        <v>#REF!</v>
      </c>
      <c r="J1008" s="12" t="str">
        <f t="shared" si="46"/>
        <v/>
      </c>
      <c r="K1008" s="12" t="str">
        <f t="shared" si="47"/>
        <v/>
      </c>
      <c r="L1008" s="12" t="e">
        <f t="shared" si="48"/>
        <v>#VALUE!</v>
      </c>
    </row>
    <row r="1009" spans="1:12" ht="24" customHeight="1" x14ac:dyDescent="0.25">
      <c r="A1009" s="15">
        <v>43304</v>
      </c>
      <c r="B1009" s="15" t="s">
        <v>353</v>
      </c>
      <c r="C1009" s="27">
        <v>5616</v>
      </c>
      <c r="D1009" s="11" t="e">
        <f>VLOOKUP(B1009,#REF!,7,FALSE)</f>
        <v>#REF!</v>
      </c>
      <c r="E1009" s="31">
        <v>1.3396999999999999</v>
      </c>
      <c r="I1009" s="11" t="e">
        <f>+VLOOKUP(B1009,#REF!,7,FALSE)</f>
        <v>#REF!</v>
      </c>
      <c r="J1009" s="12" t="str">
        <f t="shared" si="46"/>
        <v/>
      </c>
      <c r="K1009" s="12" t="str">
        <f t="shared" si="47"/>
        <v/>
      </c>
      <c r="L1009" s="12" t="e">
        <f t="shared" si="48"/>
        <v>#VALUE!</v>
      </c>
    </row>
    <row r="1010" spans="1:12" ht="24" customHeight="1" x14ac:dyDescent="0.25">
      <c r="A1010" s="15">
        <v>43304</v>
      </c>
      <c r="B1010" s="15" t="s">
        <v>364</v>
      </c>
      <c r="C1010" s="27">
        <v>3480</v>
      </c>
      <c r="D1010" s="11" t="e">
        <f>VLOOKUP(B1010,#REF!,7,FALSE)</f>
        <v>#REF!</v>
      </c>
      <c r="E1010" s="31">
        <v>1.3127</v>
      </c>
      <c r="I1010" s="11" t="e">
        <f>+VLOOKUP(B1010,#REF!,7,FALSE)</f>
        <v>#REF!</v>
      </c>
      <c r="J1010" s="12" t="str">
        <f t="shared" si="46"/>
        <v/>
      </c>
      <c r="K1010" s="12" t="str">
        <f t="shared" si="47"/>
        <v/>
      </c>
      <c r="L1010" s="12" t="e">
        <f t="shared" si="48"/>
        <v>#VALUE!</v>
      </c>
    </row>
    <row r="1011" spans="1:12" ht="24" customHeight="1" x14ac:dyDescent="0.25">
      <c r="A1011" s="15">
        <v>43304</v>
      </c>
      <c r="B1011" s="15" t="s">
        <v>368</v>
      </c>
      <c r="C1011" s="27">
        <v>9564</v>
      </c>
      <c r="D1011" s="11" t="e">
        <f>VLOOKUP(B1011,#REF!,7,FALSE)</f>
        <v>#REF!</v>
      </c>
      <c r="E1011" s="31">
        <v>1.2463</v>
      </c>
      <c r="I1011" s="11" t="e">
        <f>+VLOOKUP(B1011,#REF!,7,FALSE)</f>
        <v>#REF!</v>
      </c>
      <c r="J1011" s="12" t="str">
        <f t="shared" si="46"/>
        <v/>
      </c>
      <c r="K1011" s="12" t="str">
        <f t="shared" si="47"/>
        <v/>
      </c>
      <c r="L1011" s="12" t="e">
        <f t="shared" si="48"/>
        <v>#VALUE!</v>
      </c>
    </row>
    <row r="1012" spans="1:12" ht="24" customHeight="1" x14ac:dyDescent="0.25">
      <c r="A1012" s="15">
        <v>43304</v>
      </c>
      <c r="B1012" s="15" t="s">
        <v>430</v>
      </c>
      <c r="C1012" s="27">
        <v>4464</v>
      </c>
      <c r="D1012" s="11" t="e">
        <f>VLOOKUP(B1012,#REF!,7,FALSE)</f>
        <v>#REF!</v>
      </c>
      <c r="E1012" s="31">
        <v>3.4937999999999998</v>
      </c>
      <c r="I1012" s="11" t="e">
        <f>+VLOOKUP(B1012,#REF!,7,FALSE)</f>
        <v>#REF!</v>
      </c>
      <c r="J1012" s="12" t="str">
        <f t="shared" si="46"/>
        <v/>
      </c>
      <c r="K1012" s="12" t="str">
        <f t="shared" si="47"/>
        <v/>
      </c>
      <c r="L1012" s="12" t="e">
        <f t="shared" si="48"/>
        <v>#VALUE!</v>
      </c>
    </row>
    <row r="1013" spans="1:12" ht="24" customHeight="1" x14ac:dyDescent="0.25">
      <c r="A1013" s="15">
        <v>43304</v>
      </c>
      <c r="B1013" s="15" t="s">
        <v>487</v>
      </c>
      <c r="C1013" s="27">
        <v>19008</v>
      </c>
      <c r="D1013" s="11" t="e">
        <f>VLOOKUP(B1013,#REF!,7,FALSE)</f>
        <v>#REF!</v>
      </c>
      <c r="E1013" s="31">
        <v>0.47349999999999998</v>
      </c>
      <c r="I1013" s="11" t="e">
        <f>+VLOOKUP(B1013,#REF!,7,FALSE)</f>
        <v>#REF!</v>
      </c>
      <c r="J1013" s="12" t="str">
        <f t="shared" si="46"/>
        <v/>
      </c>
      <c r="K1013" s="12" t="str">
        <f t="shared" si="47"/>
        <v/>
      </c>
      <c r="L1013" s="12" t="e">
        <f t="shared" si="48"/>
        <v>#VALUE!</v>
      </c>
    </row>
    <row r="1014" spans="1:12" ht="24" customHeight="1" x14ac:dyDescent="0.25">
      <c r="A1014" s="15">
        <v>43305</v>
      </c>
      <c r="B1014" s="15" t="s">
        <v>269</v>
      </c>
      <c r="C1014" s="27">
        <v>5004</v>
      </c>
      <c r="D1014" s="11" t="e">
        <f>VLOOKUP(B1014,#REF!,7,FALSE)</f>
        <v>#REF!</v>
      </c>
      <c r="E1014" s="31">
        <v>0.58940000000000003</v>
      </c>
      <c r="I1014" s="11" t="e">
        <f>+VLOOKUP(B1014,#REF!,7,FALSE)</f>
        <v>#REF!</v>
      </c>
      <c r="J1014" s="12" t="str">
        <f t="shared" si="46"/>
        <v/>
      </c>
      <c r="K1014" s="12" t="str">
        <f t="shared" si="47"/>
        <v/>
      </c>
      <c r="L1014" s="12" t="e">
        <f t="shared" si="48"/>
        <v>#VALUE!</v>
      </c>
    </row>
    <row r="1015" spans="1:12" ht="24" customHeight="1" x14ac:dyDescent="0.25">
      <c r="A1015" s="15">
        <v>43305</v>
      </c>
      <c r="B1015" s="15" t="s">
        <v>275</v>
      </c>
      <c r="C1015" s="27">
        <v>3180</v>
      </c>
      <c r="D1015" s="11" t="e">
        <f>VLOOKUP(B1015,#REF!,7,FALSE)</f>
        <v>#REF!</v>
      </c>
      <c r="E1015" s="31">
        <v>1.2231000000000001</v>
      </c>
      <c r="I1015" s="11" t="e">
        <f>+VLOOKUP(B1015,#REF!,7,FALSE)</f>
        <v>#REF!</v>
      </c>
      <c r="J1015" s="12" t="str">
        <f t="shared" si="46"/>
        <v/>
      </c>
      <c r="K1015" s="12" t="str">
        <f t="shared" si="47"/>
        <v/>
      </c>
      <c r="L1015" s="12" t="e">
        <f t="shared" si="48"/>
        <v>#VALUE!</v>
      </c>
    </row>
    <row r="1016" spans="1:12" ht="24" customHeight="1" x14ac:dyDescent="0.25">
      <c r="A1016" s="15">
        <v>43305</v>
      </c>
      <c r="B1016" s="15" t="s">
        <v>281</v>
      </c>
      <c r="C1016" s="27">
        <v>366</v>
      </c>
      <c r="D1016" s="11" t="e">
        <f>VLOOKUP(B1016,#REF!,7,FALSE)</f>
        <v>#REF!</v>
      </c>
      <c r="E1016" s="31">
        <v>8.9758999999999993</v>
      </c>
      <c r="I1016" s="11" t="e">
        <f>+VLOOKUP(B1016,#REF!,7,FALSE)</f>
        <v>#REF!</v>
      </c>
      <c r="J1016" s="12" t="str">
        <f t="shared" si="46"/>
        <v/>
      </c>
      <c r="K1016" s="12" t="str">
        <f t="shared" si="47"/>
        <v/>
      </c>
      <c r="L1016" s="12" t="e">
        <f t="shared" si="48"/>
        <v>#VALUE!</v>
      </c>
    </row>
    <row r="1017" spans="1:12" ht="24" customHeight="1" x14ac:dyDescent="0.25">
      <c r="A1017" s="15">
        <v>43305</v>
      </c>
      <c r="B1017" s="15" t="s">
        <v>340</v>
      </c>
      <c r="C1017" s="27">
        <v>14400</v>
      </c>
      <c r="D1017" s="11" t="e">
        <f>VLOOKUP(B1017,#REF!,7,FALSE)</f>
        <v>#REF!</v>
      </c>
      <c r="E1017" s="31">
        <v>0.73399999999999999</v>
      </c>
      <c r="I1017" s="11" t="e">
        <f>+VLOOKUP(B1017,#REF!,7,FALSE)</f>
        <v>#REF!</v>
      </c>
      <c r="J1017" s="12" t="str">
        <f t="shared" si="46"/>
        <v/>
      </c>
      <c r="K1017" s="12" t="str">
        <f t="shared" si="47"/>
        <v/>
      </c>
      <c r="L1017" s="12" t="e">
        <f t="shared" si="48"/>
        <v>#VALUE!</v>
      </c>
    </row>
    <row r="1018" spans="1:12" ht="24" customHeight="1" x14ac:dyDescent="0.25">
      <c r="A1018" s="15">
        <v>43305</v>
      </c>
      <c r="B1018" s="15" t="s">
        <v>364</v>
      </c>
      <c r="C1018" s="27">
        <v>6234</v>
      </c>
      <c r="D1018" s="11" t="e">
        <f>VLOOKUP(B1018,#REF!,7,FALSE)</f>
        <v>#REF!</v>
      </c>
      <c r="E1018" s="31">
        <v>1.3451</v>
      </c>
      <c r="I1018" s="11" t="e">
        <f>+VLOOKUP(B1018,#REF!,7,FALSE)</f>
        <v>#REF!</v>
      </c>
      <c r="J1018" s="12" t="str">
        <f t="shared" si="46"/>
        <v/>
      </c>
      <c r="K1018" s="12" t="str">
        <f t="shared" si="47"/>
        <v/>
      </c>
      <c r="L1018" s="12" t="e">
        <f t="shared" si="48"/>
        <v>#VALUE!</v>
      </c>
    </row>
    <row r="1019" spans="1:12" ht="24" customHeight="1" x14ac:dyDescent="0.25">
      <c r="A1019" s="15">
        <v>43305</v>
      </c>
      <c r="B1019" s="15" t="s">
        <v>198</v>
      </c>
      <c r="C1019" s="27">
        <v>4668</v>
      </c>
      <c r="D1019" s="11" t="e">
        <f>VLOOKUP(B1019,#REF!,7,FALSE)</f>
        <v>#REF!</v>
      </c>
      <c r="E1019" s="31">
        <v>0.9536</v>
      </c>
      <c r="I1019" s="11" t="e">
        <f>+VLOOKUP(B1019,#REF!,7,FALSE)</f>
        <v>#REF!</v>
      </c>
      <c r="J1019" s="12" t="str">
        <f t="shared" si="46"/>
        <v/>
      </c>
      <c r="K1019" s="12" t="str">
        <f t="shared" si="47"/>
        <v/>
      </c>
      <c r="L1019" s="12" t="e">
        <f t="shared" si="48"/>
        <v>#VALUE!</v>
      </c>
    </row>
    <row r="1020" spans="1:12" ht="24" customHeight="1" x14ac:dyDescent="0.25">
      <c r="A1020" s="15">
        <v>43305</v>
      </c>
      <c r="B1020" s="15" t="s">
        <v>202</v>
      </c>
      <c r="C1020" s="27">
        <v>96</v>
      </c>
      <c r="D1020" s="11" t="e">
        <f>VLOOKUP(B1020,#REF!,7,FALSE)</f>
        <v>#REF!</v>
      </c>
      <c r="E1020" s="31">
        <v>19.895</v>
      </c>
      <c r="I1020" s="11" t="e">
        <f>+VLOOKUP(B1020,#REF!,7,FALSE)</f>
        <v>#REF!</v>
      </c>
      <c r="J1020" s="12" t="str">
        <f t="shared" si="46"/>
        <v/>
      </c>
      <c r="K1020" s="12" t="str">
        <f t="shared" si="47"/>
        <v/>
      </c>
      <c r="L1020" s="12" t="e">
        <f t="shared" si="48"/>
        <v>#VALUE!</v>
      </c>
    </row>
    <row r="1021" spans="1:12" ht="24" customHeight="1" x14ac:dyDescent="0.25">
      <c r="A1021" s="15">
        <v>43305</v>
      </c>
      <c r="B1021" s="15" t="s">
        <v>230</v>
      </c>
      <c r="C1021" s="27">
        <v>9198</v>
      </c>
      <c r="D1021" s="11" t="e">
        <f>VLOOKUP(B1021,#REF!,7,FALSE)</f>
        <v>#REF!</v>
      </c>
      <c r="E1021" s="31">
        <v>0.53839999999999999</v>
      </c>
      <c r="I1021" s="11" t="e">
        <f>+VLOOKUP(B1021,#REF!,7,FALSE)</f>
        <v>#REF!</v>
      </c>
      <c r="J1021" s="12" t="str">
        <f t="shared" si="46"/>
        <v/>
      </c>
      <c r="K1021" s="12" t="str">
        <f t="shared" si="47"/>
        <v/>
      </c>
      <c r="L1021" s="12" t="e">
        <f t="shared" si="48"/>
        <v>#VALUE!</v>
      </c>
    </row>
    <row r="1022" spans="1:12" ht="24" customHeight="1" x14ac:dyDescent="0.25">
      <c r="A1022" s="15">
        <v>43305</v>
      </c>
      <c r="B1022" s="15" t="s">
        <v>430</v>
      </c>
      <c r="C1022" s="27">
        <v>2862</v>
      </c>
      <c r="D1022" s="11" t="e">
        <f>VLOOKUP(B1022,#REF!,7,FALSE)</f>
        <v>#REF!</v>
      </c>
      <c r="E1022" s="31">
        <v>3.4883000000000002</v>
      </c>
      <c r="I1022" s="11" t="e">
        <f>+VLOOKUP(B1022,#REF!,7,FALSE)</f>
        <v>#REF!</v>
      </c>
      <c r="J1022" s="12" t="str">
        <f t="shared" si="46"/>
        <v/>
      </c>
      <c r="K1022" s="12" t="str">
        <f t="shared" si="47"/>
        <v/>
      </c>
      <c r="L1022" s="12" t="e">
        <f t="shared" si="48"/>
        <v>#VALUE!</v>
      </c>
    </row>
    <row r="1023" spans="1:12" ht="24" customHeight="1" x14ac:dyDescent="0.25">
      <c r="A1023" s="15">
        <v>43305</v>
      </c>
      <c r="B1023" s="15" t="s">
        <v>487</v>
      </c>
      <c r="C1023" s="27">
        <v>2796</v>
      </c>
      <c r="D1023" s="11" t="e">
        <f>VLOOKUP(B1023,#REF!,7,FALSE)</f>
        <v>#REF!</v>
      </c>
      <c r="E1023" s="31">
        <v>0.47260000000000002</v>
      </c>
      <c r="I1023" s="11" t="e">
        <f>+VLOOKUP(B1023,#REF!,7,FALSE)</f>
        <v>#REF!</v>
      </c>
      <c r="J1023" s="12" t="str">
        <f t="shared" si="46"/>
        <v/>
      </c>
      <c r="K1023" s="12" t="str">
        <f t="shared" si="47"/>
        <v/>
      </c>
      <c r="L1023" s="12" t="e">
        <f t="shared" si="48"/>
        <v>#VALUE!</v>
      </c>
    </row>
    <row r="1024" spans="1:12" ht="24" customHeight="1" x14ac:dyDescent="0.25">
      <c r="A1024" s="15">
        <v>43305</v>
      </c>
      <c r="B1024" s="15" t="s">
        <v>488</v>
      </c>
      <c r="C1024" s="27">
        <v>1896</v>
      </c>
      <c r="D1024" s="11" t="e">
        <f>VLOOKUP(B1024,#REF!,7,FALSE)</f>
        <v>#REF!</v>
      </c>
      <c r="E1024" s="31">
        <v>1.7849999999999999</v>
      </c>
      <c r="I1024" s="11" t="e">
        <f>+VLOOKUP(B1024,#REF!,7,FALSE)</f>
        <v>#REF!</v>
      </c>
      <c r="J1024" s="12" t="str">
        <f t="shared" si="46"/>
        <v/>
      </c>
      <c r="K1024" s="12" t="str">
        <f t="shared" si="47"/>
        <v/>
      </c>
      <c r="L1024" s="12" t="e">
        <f t="shared" si="48"/>
        <v>#VALUE!</v>
      </c>
    </row>
    <row r="1025" spans="1:12" ht="24" customHeight="1" x14ac:dyDescent="0.25">
      <c r="A1025" s="15">
        <v>43306</v>
      </c>
      <c r="B1025" s="15" t="s">
        <v>84</v>
      </c>
      <c r="C1025" s="27">
        <v>2912</v>
      </c>
      <c r="D1025" s="11" t="e">
        <f>VLOOKUP(B1025,#REF!,7,FALSE)</f>
        <v>#REF!</v>
      </c>
      <c r="E1025" s="31">
        <v>0.32640000000000002</v>
      </c>
      <c r="I1025" s="11">
        <v>0.96870000000000001</v>
      </c>
      <c r="J1025" s="12" t="str">
        <f t="shared" si="46"/>
        <v/>
      </c>
      <c r="K1025" s="12">
        <f t="shared" si="47"/>
        <v>0.66305357695881073</v>
      </c>
      <c r="L1025" s="12" t="e">
        <f t="shared" si="48"/>
        <v>#VALUE!</v>
      </c>
    </row>
    <row r="1026" spans="1:12" ht="24" customHeight="1" x14ac:dyDescent="0.25">
      <c r="A1026" s="15">
        <v>43306</v>
      </c>
      <c r="B1026" s="15" t="s">
        <v>117</v>
      </c>
      <c r="C1026" s="27">
        <v>22632</v>
      </c>
      <c r="D1026" s="11" t="e">
        <f>VLOOKUP(B1026,#REF!,7,FALSE)</f>
        <v>#REF!</v>
      </c>
      <c r="E1026" s="31">
        <v>0.27739999999999998</v>
      </c>
      <c r="I1026" s="11" t="e">
        <f>+VLOOKUP(B1026,#REF!,7,FALSE)</f>
        <v>#REF!</v>
      </c>
      <c r="J1026" s="12" t="str">
        <f t="shared" si="46"/>
        <v/>
      </c>
      <c r="K1026" s="12" t="str">
        <f t="shared" si="47"/>
        <v/>
      </c>
      <c r="L1026" s="12" t="e">
        <f t="shared" si="48"/>
        <v>#VALUE!</v>
      </c>
    </row>
    <row r="1027" spans="1:12" ht="24" customHeight="1" x14ac:dyDescent="0.25">
      <c r="A1027" s="15">
        <v>43306</v>
      </c>
      <c r="B1027" s="15" t="s">
        <v>339</v>
      </c>
      <c r="C1027" s="27">
        <v>11544</v>
      </c>
      <c r="D1027" s="11" t="e">
        <f>VLOOKUP(B1027,#REF!,7,FALSE)</f>
        <v>#REF!</v>
      </c>
      <c r="E1027" s="31">
        <v>0.85960000000000003</v>
      </c>
      <c r="I1027" s="11" t="e">
        <f>+VLOOKUP(B1027,#REF!,7,FALSE)</f>
        <v>#REF!</v>
      </c>
      <c r="J1027" s="12" t="str">
        <f t="shared" si="46"/>
        <v/>
      </c>
      <c r="K1027" s="12" t="str">
        <f t="shared" si="47"/>
        <v/>
      </c>
      <c r="L1027" s="12" t="e">
        <f t="shared" si="48"/>
        <v>#VALUE!</v>
      </c>
    </row>
    <row r="1028" spans="1:12" ht="24" customHeight="1" x14ac:dyDescent="0.25">
      <c r="A1028" s="15">
        <v>43306</v>
      </c>
      <c r="B1028" s="15" t="s">
        <v>364</v>
      </c>
      <c r="C1028" s="27">
        <v>5352</v>
      </c>
      <c r="D1028" s="11" t="e">
        <f>VLOOKUP(B1028,#REF!,7,FALSE)</f>
        <v>#REF!</v>
      </c>
      <c r="E1028" s="31">
        <v>1.3190999999999999</v>
      </c>
      <c r="I1028" s="11" t="e">
        <f>+VLOOKUP(B1028,#REF!,7,FALSE)</f>
        <v>#REF!</v>
      </c>
      <c r="J1028" s="12" t="str">
        <f t="shared" ref="J1028:J1091" si="49">IFERROR((I1028-(D1028+F1028))/I1028,"")</f>
        <v/>
      </c>
      <c r="K1028" s="12" t="str">
        <f t="shared" ref="K1028:K1091" si="50">IF(E1028="","",IFERROR((I1028-(E1028+G1028+H1028))/I1028,""))</f>
        <v/>
      </c>
      <c r="L1028" s="12" t="e">
        <f t="shared" si="48"/>
        <v>#VALUE!</v>
      </c>
    </row>
    <row r="1029" spans="1:12" ht="24" customHeight="1" x14ac:dyDescent="0.25">
      <c r="A1029" s="15">
        <v>43306</v>
      </c>
      <c r="B1029" s="15" t="s">
        <v>198</v>
      </c>
      <c r="C1029" s="27">
        <v>5124</v>
      </c>
      <c r="D1029" s="11" t="e">
        <f>VLOOKUP(B1029,#REF!,7,FALSE)</f>
        <v>#REF!</v>
      </c>
      <c r="E1029" s="31">
        <v>1.1086</v>
      </c>
      <c r="I1029" s="11" t="e">
        <f>+VLOOKUP(B1029,#REF!,7,FALSE)</f>
        <v>#REF!</v>
      </c>
      <c r="J1029" s="12" t="str">
        <f t="shared" si="49"/>
        <v/>
      </c>
      <c r="K1029" s="12" t="str">
        <f t="shared" si="50"/>
        <v/>
      </c>
      <c r="L1029" s="12" t="e">
        <f t="shared" si="48"/>
        <v>#VALUE!</v>
      </c>
    </row>
    <row r="1030" spans="1:12" ht="24" customHeight="1" x14ac:dyDescent="0.25">
      <c r="A1030" s="15">
        <v>43306</v>
      </c>
      <c r="B1030" s="15" t="s">
        <v>10</v>
      </c>
      <c r="C1030" s="27">
        <v>4422</v>
      </c>
      <c r="D1030" s="11" t="e">
        <f>VLOOKUP(B1030,#REF!,7,FALSE)</f>
        <v>#REF!</v>
      </c>
      <c r="E1030" s="31">
        <v>2.4502000000000002</v>
      </c>
      <c r="I1030" s="11" t="e">
        <f>+VLOOKUP(B1030,#REF!,7,FALSE)</f>
        <v>#REF!</v>
      </c>
      <c r="J1030" s="12" t="str">
        <f t="shared" si="49"/>
        <v/>
      </c>
      <c r="K1030" s="12" t="str">
        <f t="shared" si="50"/>
        <v/>
      </c>
      <c r="L1030" s="12" t="e">
        <f t="shared" si="48"/>
        <v>#VALUE!</v>
      </c>
    </row>
    <row r="1031" spans="1:12" ht="24.75" customHeight="1" x14ac:dyDescent="0.25">
      <c r="A1031" s="15">
        <v>43306</v>
      </c>
      <c r="B1031" s="15" t="s">
        <v>488</v>
      </c>
      <c r="C1031" s="27">
        <v>9696</v>
      </c>
      <c r="D1031" s="11" t="e">
        <f>VLOOKUP(B1031,#REF!,7,FALSE)</f>
        <v>#REF!</v>
      </c>
      <c r="E1031" s="31">
        <v>1.831</v>
      </c>
      <c r="I1031" s="11" t="e">
        <f>+VLOOKUP(B1031,#REF!,7,FALSE)</f>
        <v>#REF!</v>
      </c>
      <c r="J1031" s="12" t="str">
        <f t="shared" si="49"/>
        <v/>
      </c>
      <c r="K1031" s="12" t="str">
        <f t="shared" si="50"/>
        <v/>
      </c>
      <c r="L1031" s="12" t="e">
        <f t="shared" si="48"/>
        <v>#VALUE!</v>
      </c>
    </row>
    <row r="1032" spans="1:12" ht="24" customHeight="1" x14ac:dyDescent="0.25">
      <c r="A1032" s="15">
        <v>43307</v>
      </c>
      <c r="B1032" s="15" t="s">
        <v>85</v>
      </c>
      <c r="C1032" s="27">
        <v>9184</v>
      </c>
      <c r="D1032" s="11" t="e">
        <f>VLOOKUP(B1032,#REF!,7,FALSE)</f>
        <v>#REF!</v>
      </c>
      <c r="E1032" s="31">
        <v>0.31080000000000002</v>
      </c>
      <c r="I1032" s="11" t="e">
        <f>+VLOOKUP(B1032,#REF!,7,FALSE)</f>
        <v>#REF!</v>
      </c>
      <c r="J1032" s="12" t="str">
        <f t="shared" si="49"/>
        <v/>
      </c>
      <c r="K1032" s="12" t="str">
        <f t="shared" si="50"/>
        <v/>
      </c>
      <c r="L1032" s="12" t="e">
        <f t="shared" si="48"/>
        <v>#VALUE!</v>
      </c>
    </row>
    <row r="1033" spans="1:12" ht="24" customHeight="1" x14ac:dyDescent="0.25">
      <c r="A1033" s="15">
        <v>43307</v>
      </c>
      <c r="B1033" s="15" t="s">
        <v>265</v>
      </c>
      <c r="C1033" s="27">
        <v>5016</v>
      </c>
      <c r="D1033" s="11" t="e">
        <f>VLOOKUP(B1033,#REF!,7,FALSE)</f>
        <v>#REF!</v>
      </c>
      <c r="E1033" s="31">
        <v>0.53569999999999995</v>
      </c>
      <c r="I1033" s="11" t="e">
        <f>+VLOOKUP(B1033,#REF!,7,FALSE)</f>
        <v>#REF!</v>
      </c>
      <c r="J1033" s="12" t="str">
        <f t="shared" si="49"/>
        <v/>
      </c>
      <c r="K1033" s="12" t="str">
        <f t="shared" si="50"/>
        <v/>
      </c>
      <c r="L1033" s="12" t="e">
        <f t="shared" si="48"/>
        <v>#VALUE!</v>
      </c>
    </row>
    <row r="1034" spans="1:12" ht="24" customHeight="1" x14ac:dyDescent="0.25">
      <c r="A1034" s="15">
        <v>43307</v>
      </c>
      <c r="B1034" s="15" t="s">
        <v>267</v>
      </c>
      <c r="C1034" s="27">
        <v>3504</v>
      </c>
      <c r="D1034" s="11" t="e">
        <f>VLOOKUP(B1034,#REF!,7,FALSE)</f>
        <v>#REF!</v>
      </c>
      <c r="E1034" s="31">
        <v>0.49980000000000002</v>
      </c>
      <c r="I1034" s="11" t="e">
        <f>+VLOOKUP(B1034,#REF!,7,FALSE)</f>
        <v>#REF!</v>
      </c>
      <c r="J1034" s="12" t="str">
        <f t="shared" si="49"/>
        <v/>
      </c>
      <c r="K1034" s="12" t="str">
        <f t="shared" si="50"/>
        <v/>
      </c>
      <c r="L1034" s="12" t="e">
        <f t="shared" si="48"/>
        <v>#VALUE!</v>
      </c>
    </row>
    <row r="1035" spans="1:12" ht="24" customHeight="1" x14ac:dyDescent="0.25">
      <c r="A1035" s="15">
        <v>43307</v>
      </c>
      <c r="B1035" s="15" t="s">
        <v>271</v>
      </c>
      <c r="C1035" s="27">
        <v>3396</v>
      </c>
      <c r="D1035" s="11" t="e">
        <f>VLOOKUP(B1035,#REF!,7,FALSE)</f>
        <v>#REF!</v>
      </c>
      <c r="E1035" s="31">
        <v>1.1156999999999999</v>
      </c>
      <c r="I1035" s="11" t="e">
        <f>+VLOOKUP(B1035,#REF!,7,FALSE)</f>
        <v>#REF!</v>
      </c>
      <c r="J1035" s="12" t="str">
        <f t="shared" si="49"/>
        <v/>
      </c>
      <c r="K1035" s="12" t="str">
        <f t="shared" si="50"/>
        <v/>
      </c>
      <c r="L1035" s="12" t="e">
        <f t="shared" si="48"/>
        <v>#VALUE!</v>
      </c>
    </row>
    <row r="1036" spans="1:12" ht="24" customHeight="1" x14ac:dyDescent="0.25">
      <c r="A1036" s="15">
        <v>43307</v>
      </c>
      <c r="B1036" s="15" t="s">
        <v>273</v>
      </c>
      <c r="C1036" s="27">
        <v>3750</v>
      </c>
      <c r="D1036" s="11" t="e">
        <f>VLOOKUP(B1036,#REF!,7,FALSE)</f>
        <v>#REF!</v>
      </c>
      <c r="E1036" s="31">
        <v>1.0441</v>
      </c>
      <c r="I1036" s="11" t="e">
        <f>+VLOOKUP(B1036,#REF!,7,FALSE)</f>
        <v>#REF!</v>
      </c>
      <c r="J1036" s="12" t="str">
        <f t="shared" si="49"/>
        <v/>
      </c>
      <c r="K1036" s="12" t="str">
        <f t="shared" si="50"/>
        <v/>
      </c>
      <c r="L1036" s="12" t="e">
        <f t="shared" si="48"/>
        <v>#VALUE!</v>
      </c>
    </row>
    <row r="1037" spans="1:12" ht="24" customHeight="1" x14ac:dyDescent="0.25">
      <c r="A1037" s="15">
        <v>43307</v>
      </c>
      <c r="B1037" s="15" t="s">
        <v>277</v>
      </c>
      <c r="C1037" s="27">
        <v>675</v>
      </c>
      <c r="D1037" s="11" t="e">
        <f>VLOOKUP(B1037,#REF!,7,FALSE)</f>
        <v>#REF!</v>
      </c>
      <c r="E1037" s="31">
        <v>8.2390000000000008</v>
      </c>
      <c r="I1037" s="11" t="e">
        <f>+VLOOKUP(B1037,#REF!,7,FALSE)</f>
        <v>#REF!</v>
      </c>
      <c r="J1037" s="12" t="str">
        <f t="shared" si="49"/>
        <v/>
      </c>
      <c r="K1037" s="12" t="str">
        <f t="shared" si="50"/>
        <v/>
      </c>
      <c r="L1037" s="12" t="e">
        <f t="shared" si="48"/>
        <v>#VALUE!</v>
      </c>
    </row>
    <row r="1038" spans="1:12" ht="24" customHeight="1" x14ac:dyDescent="0.25">
      <c r="A1038" s="15">
        <v>43307</v>
      </c>
      <c r="B1038" s="15" t="s">
        <v>279</v>
      </c>
      <c r="C1038" s="27">
        <v>696</v>
      </c>
      <c r="D1038" s="11" t="e">
        <f>VLOOKUP(B1038,#REF!,7,FALSE)</f>
        <v>#REF!</v>
      </c>
      <c r="E1038" s="31">
        <v>7.5433000000000003</v>
      </c>
      <c r="I1038" s="11" t="e">
        <f>+VLOOKUP(B1038,#REF!,7,FALSE)</f>
        <v>#REF!</v>
      </c>
      <c r="J1038" s="12" t="str">
        <f t="shared" si="49"/>
        <v/>
      </c>
      <c r="K1038" s="12" t="str">
        <f t="shared" si="50"/>
        <v/>
      </c>
      <c r="L1038" s="12" t="e">
        <f t="shared" si="48"/>
        <v>#VALUE!</v>
      </c>
    </row>
    <row r="1039" spans="1:12" ht="24" customHeight="1" x14ac:dyDescent="0.25">
      <c r="A1039" s="15">
        <v>43307</v>
      </c>
      <c r="B1039" s="15" t="s">
        <v>116</v>
      </c>
      <c r="C1039" s="27">
        <v>22536</v>
      </c>
      <c r="D1039" s="11" t="e">
        <f>VLOOKUP(B1039,#REF!,7,FALSE)</f>
        <v>#REF!</v>
      </c>
      <c r="E1039" s="31">
        <v>0.30819999999999997</v>
      </c>
      <c r="I1039" s="11" t="e">
        <f>+VLOOKUP(B1039,#REF!,7,FALSE)</f>
        <v>#REF!</v>
      </c>
      <c r="J1039" s="12" t="str">
        <f t="shared" si="49"/>
        <v/>
      </c>
      <c r="K1039" s="12" t="str">
        <f t="shared" si="50"/>
        <v/>
      </c>
      <c r="L1039" s="12" t="e">
        <f t="shared" si="48"/>
        <v>#VALUE!</v>
      </c>
    </row>
    <row r="1040" spans="1:12" ht="24" customHeight="1" x14ac:dyDescent="0.25">
      <c r="A1040" s="15">
        <v>43307</v>
      </c>
      <c r="B1040" s="15" t="s">
        <v>363</v>
      </c>
      <c r="C1040" s="27">
        <v>7704</v>
      </c>
      <c r="D1040" s="11" t="e">
        <f>VLOOKUP(B1040,#REF!,7,FALSE)</f>
        <v>#REF!</v>
      </c>
      <c r="E1040" s="31">
        <v>1.4784999999999999</v>
      </c>
      <c r="I1040" s="11" t="e">
        <f>+VLOOKUP(B1040,#REF!,7,FALSE)</f>
        <v>#REF!</v>
      </c>
      <c r="J1040" s="12" t="str">
        <f t="shared" si="49"/>
        <v/>
      </c>
      <c r="K1040" s="12" t="str">
        <f t="shared" si="50"/>
        <v/>
      </c>
      <c r="L1040" s="12" t="e">
        <f t="shared" si="48"/>
        <v>#VALUE!</v>
      </c>
    </row>
    <row r="1041" spans="1:12" ht="24" customHeight="1" x14ac:dyDescent="0.25">
      <c r="A1041" s="15">
        <v>43307</v>
      </c>
      <c r="B1041" s="15" t="s">
        <v>364</v>
      </c>
      <c r="C1041" s="27">
        <v>600</v>
      </c>
      <c r="D1041" s="11" t="e">
        <f>VLOOKUP(B1041,#REF!,7,FALSE)</f>
        <v>#REF!</v>
      </c>
      <c r="E1041" s="31">
        <v>1.3015000000000001</v>
      </c>
      <c r="I1041" s="11" t="e">
        <f>+VLOOKUP(B1041,#REF!,7,FALSE)</f>
        <v>#REF!</v>
      </c>
      <c r="J1041" s="12" t="str">
        <f t="shared" si="49"/>
        <v/>
      </c>
      <c r="K1041" s="12" t="str">
        <f t="shared" si="50"/>
        <v/>
      </c>
      <c r="L1041" s="12" t="e">
        <f t="shared" si="48"/>
        <v>#VALUE!</v>
      </c>
    </row>
    <row r="1042" spans="1:12" ht="24" customHeight="1" x14ac:dyDescent="0.25">
      <c r="A1042" s="15">
        <v>43307</v>
      </c>
      <c r="B1042" s="15" t="s">
        <v>218</v>
      </c>
      <c r="C1042" s="27">
        <v>5088</v>
      </c>
      <c r="D1042" s="11" t="e">
        <f>VLOOKUP(B1042,#REF!,7,FALSE)</f>
        <v>#REF!</v>
      </c>
      <c r="E1042" s="31">
        <v>2.9097</v>
      </c>
      <c r="I1042" s="11" t="e">
        <f>+VLOOKUP(B1042,#REF!,7,FALSE)</f>
        <v>#REF!</v>
      </c>
      <c r="J1042" s="12" t="str">
        <f t="shared" si="49"/>
        <v/>
      </c>
      <c r="K1042" s="12" t="str">
        <f t="shared" si="50"/>
        <v/>
      </c>
      <c r="L1042" s="12" t="e">
        <f t="shared" si="48"/>
        <v>#VALUE!</v>
      </c>
    </row>
    <row r="1043" spans="1:12" ht="24" customHeight="1" x14ac:dyDescent="0.25">
      <c r="A1043" s="15">
        <v>43307</v>
      </c>
      <c r="B1043" s="15" t="s">
        <v>488</v>
      </c>
      <c r="C1043" s="27">
        <v>9720</v>
      </c>
      <c r="D1043" s="11" t="e">
        <f>VLOOKUP(B1043,#REF!,7,FALSE)</f>
        <v>#REF!</v>
      </c>
      <c r="E1043" s="31">
        <v>1.8329</v>
      </c>
      <c r="I1043" s="11" t="e">
        <f>+VLOOKUP(B1043,#REF!,7,FALSE)</f>
        <v>#REF!</v>
      </c>
      <c r="J1043" s="12" t="str">
        <f t="shared" si="49"/>
        <v/>
      </c>
      <c r="K1043" s="12" t="str">
        <f t="shared" si="50"/>
        <v/>
      </c>
      <c r="L1043" s="12" t="e">
        <f t="shared" si="48"/>
        <v>#VALUE!</v>
      </c>
    </row>
    <row r="1044" spans="1:12" ht="24" customHeight="1" x14ac:dyDescent="0.25">
      <c r="A1044" s="15">
        <v>43307</v>
      </c>
      <c r="B1044" s="15" t="s">
        <v>449</v>
      </c>
      <c r="C1044" s="27">
        <v>136</v>
      </c>
      <c r="D1044" s="11" t="e">
        <f>VLOOKUP(B1044,#REF!,7,FALSE)</f>
        <v>#REF!</v>
      </c>
      <c r="E1044" s="31">
        <v>0.97270000000000001</v>
      </c>
      <c r="I1044" s="11" t="e">
        <f>+VLOOKUP(B1044,#REF!,7,FALSE)</f>
        <v>#REF!</v>
      </c>
      <c r="J1044" s="12" t="str">
        <f t="shared" si="49"/>
        <v/>
      </c>
      <c r="K1044" s="12" t="str">
        <f t="shared" si="50"/>
        <v/>
      </c>
      <c r="L1044" s="12" t="e">
        <f t="shared" si="48"/>
        <v>#VALUE!</v>
      </c>
    </row>
    <row r="1045" spans="1:12" ht="24" customHeight="1" x14ac:dyDescent="0.25">
      <c r="A1045" s="15">
        <v>43307</v>
      </c>
      <c r="B1045" s="15" t="s">
        <v>453</v>
      </c>
      <c r="C1045" s="27">
        <v>156</v>
      </c>
      <c r="D1045" s="11" t="e">
        <f>VLOOKUP(B1045,#REF!,7,FALSE)</f>
        <v>#REF!</v>
      </c>
      <c r="E1045" s="31">
        <v>1.3644000000000001</v>
      </c>
      <c r="I1045" s="11" t="e">
        <f>+VLOOKUP(B1045,#REF!,7,FALSE)</f>
        <v>#REF!</v>
      </c>
      <c r="J1045" s="12" t="str">
        <f t="shared" si="49"/>
        <v/>
      </c>
      <c r="K1045" s="12" t="str">
        <f t="shared" si="50"/>
        <v/>
      </c>
      <c r="L1045" s="12" t="e">
        <f t="shared" si="48"/>
        <v>#VALUE!</v>
      </c>
    </row>
    <row r="1046" spans="1:12" ht="24" customHeight="1" x14ac:dyDescent="0.25">
      <c r="A1046" s="15">
        <v>43308</v>
      </c>
      <c r="B1046" s="15" t="s">
        <v>357</v>
      </c>
      <c r="C1046" s="27">
        <v>625</v>
      </c>
      <c r="D1046" s="11" t="e">
        <f>VLOOKUP(B1046,#REF!,7,FALSE)</f>
        <v>#REF!</v>
      </c>
      <c r="E1046" s="31">
        <v>8.7795000000000005</v>
      </c>
      <c r="I1046" s="11" t="e">
        <f>+VLOOKUP(B1046,#REF!,7,FALSE)</f>
        <v>#REF!</v>
      </c>
      <c r="J1046" s="12" t="str">
        <f t="shared" si="49"/>
        <v/>
      </c>
      <c r="K1046" s="12" t="str">
        <f t="shared" si="50"/>
        <v/>
      </c>
      <c r="L1046" s="12" t="e">
        <f t="shared" si="48"/>
        <v>#VALUE!</v>
      </c>
    </row>
    <row r="1047" spans="1:12" ht="24" customHeight="1" x14ac:dyDescent="0.25">
      <c r="A1047" s="15">
        <v>43308</v>
      </c>
      <c r="B1047" s="15" t="s">
        <v>358</v>
      </c>
      <c r="C1047" s="27">
        <v>216</v>
      </c>
      <c r="D1047" s="11" t="e">
        <f>VLOOKUP(B1047,#REF!,7,FALSE)</f>
        <v>#REF!</v>
      </c>
      <c r="E1047" s="31">
        <v>7.9907000000000004</v>
      </c>
      <c r="I1047" s="11" t="e">
        <f>+VLOOKUP(B1047,#REF!,7,FALSE)</f>
        <v>#REF!</v>
      </c>
      <c r="J1047" s="12" t="str">
        <f t="shared" si="49"/>
        <v/>
      </c>
      <c r="K1047" s="12" t="str">
        <f t="shared" si="50"/>
        <v/>
      </c>
      <c r="L1047" s="12" t="e">
        <f t="shared" si="48"/>
        <v>#VALUE!</v>
      </c>
    </row>
    <row r="1048" spans="1:12" ht="24" customHeight="1" x14ac:dyDescent="0.25">
      <c r="A1048" s="15">
        <v>43308</v>
      </c>
      <c r="B1048" s="15" t="s">
        <v>363</v>
      </c>
      <c r="C1048" s="27">
        <v>2100</v>
      </c>
      <c r="D1048" s="11" t="e">
        <f>VLOOKUP(B1048,#REF!,7,FALSE)</f>
        <v>#REF!</v>
      </c>
      <c r="E1048" s="31">
        <v>1.4745999999999999</v>
      </c>
      <c r="I1048" s="11" t="e">
        <f>+VLOOKUP(B1048,#REF!,7,FALSE)</f>
        <v>#REF!</v>
      </c>
      <c r="J1048" s="12" t="str">
        <f t="shared" si="49"/>
        <v/>
      </c>
      <c r="K1048" s="12" t="str">
        <f t="shared" si="50"/>
        <v/>
      </c>
      <c r="L1048" s="12" t="e">
        <f t="shared" si="48"/>
        <v>#VALUE!</v>
      </c>
    </row>
    <row r="1049" spans="1:12" ht="24" customHeight="1" x14ac:dyDescent="0.25">
      <c r="A1049" s="15">
        <v>43308</v>
      </c>
      <c r="B1049" s="15" t="s">
        <v>372</v>
      </c>
      <c r="C1049" s="27">
        <v>23016</v>
      </c>
      <c r="D1049" s="11" t="e">
        <f>VLOOKUP(B1049,#REF!,7,FALSE)</f>
        <v>#REF!</v>
      </c>
      <c r="E1049" s="31">
        <v>0.58099999999999996</v>
      </c>
      <c r="I1049" s="11" t="e">
        <f>+VLOOKUP(B1049,#REF!,7,FALSE)</f>
        <v>#REF!</v>
      </c>
      <c r="J1049" s="12" t="str">
        <f t="shared" si="49"/>
        <v/>
      </c>
      <c r="K1049" s="12" t="str">
        <f t="shared" si="50"/>
        <v/>
      </c>
      <c r="L1049" s="12" t="e">
        <f t="shared" si="48"/>
        <v>#VALUE!</v>
      </c>
    </row>
    <row r="1050" spans="1:12" ht="24" customHeight="1" x14ac:dyDescent="0.25">
      <c r="A1050" s="15">
        <v>43308</v>
      </c>
      <c r="B1050" s="15" t="s">
        <v>373</v>
      </c>
      <c r="C1050" s="27">
        <v>6396</v>
      </c>
      <c r="D1050" s="11" t="e">
        <f>VLOOKUP(B1050,#REF!,7,FALSE)</f>
        <v>#REF!</v>
      </c>
      <c r="E1050" s="31">
        <v>0.52910000000000001</v>
      </c>
      <c r="I1050" s="11" t="e">
        <f>+VLOOKUP(B1050,#REF!,7,FALSE)</f>
        <v>#REF!</v>
      </c>
      <c r="J1050" s="12" t="str">
        <f t="shared" si="49"/>
        <v/>
      </c>
      <c r="K1050" s="12" t="str">
        <f t="shared" si="50"/>
        <v/>
      </c>
      <c r="L1050" s="12" t="e">
        <f t="shared" si="48"/>
        <v>#VALUE!</v>
      </c>
    </row>
    <row r="1051" spans="1:12" ht="24" customHeight="1" x14ac:dyDescent="0.25">
      <c r="A1051" s="15">
        <v>43308</v>
      </c>
      <c r="B1051" s="15" t="s">
        <v>172</v>
      </c>
      <c r="C1051" s="27">
        <v>2496</v>
      </c>
      <c r="D1051" s="11" t="e">
        <f>VLOOKUP(B1051,#REF!,7,FALSE)</f>
        <v>#REF!</v>
      </c>
      <c r="E1051" s="31">
        <v>2.3955000000000002</v>
      </c>
      <c r="I1051" s="11" t="e">
        <f>+VLOOKUP(B1051,#REF!,7,FALSE)</f>
        <v>#REF!</v>
      </c>
      <c r="J1051" s="12" t="str">
        <f t="shared" si="49"/>
        <v/>
      </c>
      <c r="K1051" s="12" t="str">
        <f t="shared" si="50"/>
        <v/>
      </c>
      <c r="L1051" s="12" t="e">
        <f t="shared" si="48"/>
        <v>#VALUE!</v>
      </c>
    </row>
    <row r="1052" spans="1:12" ht="24" customHeight="1" x14ac:dyDescent="0.25">
      <c r="A1052" s="15">
        <v>43308</v>
      </c>
      <c r="B1052" s="15" t="s">
        <v>441</v>
      </c>
      <c r="C1052" s="27">
        <v>10590</v>
      </c>
      <c r="D1052" s="11" t="e">
        <f>VLOOKUP(B1052,#REF!,7,FALSE)</f>
        <v>#REF!</v>
      </c>
      <c r="E1052" s="31">
        <v>0.53800000000000003</v>
      </c>
      <c r="I1052" s="11" t="e">
        <f>+VLOOKUP(B1052,#REF!,7,FALSE)</f>
        <v>#REF!</v>
      </c>
      <c r="J1052" s="12" t="str">
        <f t="shared" si="49"/>
        <v/>
      </c>
      <c r="K1052" s="12" t="str">
        <f t="shared" si="50"/>
        <v/>
      </c>
      <c r="L1052" s="12" t="e">
        <f t="shared" si="48"/>
        <v>#VALUE!</v>
      </c>
    </row>
    <row r="1053" spans="1:12" ht="24" customHeight="1" x14ac:dyDescent="0.25">
      <c r="A1053" s="15">
        <v>43308</v>
      </c>
      <c r="B1053" s="15" t="s">
        <v>488</v>
      </c>
      <c r="C1053" s="27">
        <v>8220</v>
      </c>
      <c r="D1053" s="11" t="e">
        <f>VLOOKUP(B1053,#REF!,7,FALSE)</f>
        <v>#REF!</v>
      </c>
      <c r="E1053" s="31">
        <v>1.8504</v>
      </c>
      <c r="I1053" s="11" t="e">
        <f>+VLOOKUP(B1053,#REF!,7,FALSE)</f>
        <v>#REF!</v>
      </c>
      <c r="J1053" s="12" t="str">
        <f t="shared" si="49"/>
        <v/>
      </c>
      <c r="K1053" s="12" t="str">
        <f t="shared" si="50"/>
        <v/>
      </c>
      <c r="L1053" s="12" t="e">
        <f t="shared" si="48"/>
        <v>#VALUE!</v>
      </c>
    </row>
    <row r="1054" spans="1:12" ht="24" customHeight="1" x14ac:dyDescent="0.25">
      <c r="A1054" s="15">
        <v>43308</v>
      </c>
      <c r="B1054" s="15" t="s">
        <v>223</v>
      </c>
      <c r="C1054" s="27">
        <v>1296</v>
      </c>
      <c r="D1054" s="11">
        <v>3.181</v>
      </c>
      <c r="E1054" s="31">
        <v>3.1193</v>
      </c>
      <c r="I1054" s="11" t="e">
        <f>+VLOOKUP(B1054,#REF!,7,FALSE)</f>
        <v>#REF!</v>
      </c>
      <c r="J1054" s="12" t="str">
        <f t="shared" si="49"/>
        <v/>
      </c>
      <c r="K1054" s="12" t="str">
        <f t="shared" si="50"/>
        <v/>
      </c>
      <c r="L1054" s="12" t="e">
        <f t="shared" si="48"/>
        <v>#VALUE!</v>
      </c>
    </row>
    <row r="1055" spans="1:12" ht="24" customHeight="1" x14ac:dyDescent="0.25">
      <c r="A1055" s="15">
        <v>43308</v>
      </c>
      <c r="B1055" s="15" t="s">
        <v>228</v>
      </c>
      <c r="C1055" s="27">
        <v>253</v>
      </c>
      <c r="D1055" s="11" t="e">
        <f>VLOOKUP(B1055,#REF!,7,FALSE)</f>
        <v>#REF!</v>
      </c>
      <c r="E1055" s="31">
        <v>3.6877</v>
      </c>
      <c r="I1055" s="11" t="e">
        <f>+VLOOKUP(B1055,#REF!,7,FALSE)</f>
        <v>#REF!</v>
      </c>
      <c r="J1055" s="12" t="str">
        <f t="shared" si="49"/>
        <v/>
      </c>
      <c r="K1055" s="12" t="str">
        <f t="shared" si="50"/>
        <v/>
      </c>
      <c r="L1055" s="12" t="e">
        <f t="shared" si="48"/>
        <v>#VALUE!</v>
      </c>
    </row>
    <row r="1056" spans="1:12" ht="24" customHeight="1" x14ac:dyDescent="0.25">
      <c r="A1056" s="15">
        <v>43308</v>
      </c>
      <c r="B1056" s="15" t="s">
        <v>426</v>
      </c>
      <c r="C1056" s="27">
        <v>192</v>
      </c>
      <c r="D1056" s="11" t="e">
        <f>VLOOKUP(B1056,#REF!,7,FALSE)</f>
        <v>#REF!</v>
      </c>
      <c r="E1056" s="31">
        <v>3.4184000000000001</v>
      </c>
      <c r="I1056" s="11" t="e">
        <f>+VLOOKUP(B1056,#REF!,7,FALSE)</f>
        <v>#REF!</v>
      </c>
      <c r="J1056" s="12" t="str">
        <f t="shared" si="49"/>
        <v/>
      </c>
      <c r="K1056" s="12" t="str">
        <f t="shared" si="50"/>
        <v/>
      </c>
      <c r="L1056" s="12" t="e">
        <f t="shared" si="48"/>
        <v>#VALUE!</v>
      </c>
    </row>
    <row r="1057" spans="1:12" ht="24" customHeight="1" x14ac:dyDescent="0.25">
      <c r="A1057" s="15">
        <v>43308</v>
      </c>
      <c r="B1057" s="15" t="s">
        <v>427</v>
      </c>
      <c r="C1057" s="27">
        <v>324</v>
      </c>
      <c r="D1057" s="11" t="e">
        <f>VLOOKUP(B1057,#REF!,7,FALSE)</f>
        <v>#REF!</v>
      </c>
      <c r="E1057" s="31">
        <v>5.7542</v>
      </c>
      <c r="I1057" s="11" t="e">
        <f>+VLOOKUP(B1057,#REF!,7,FALSE)</f>
        <v>#REF!</v>
      </c>
      <c r="J1057" s="12" t="str">
        <f t="shared" si="49"/>
        <v/>
      </c>
      <c r="K1057" s="12" t="str">
        <f t="shared" si="50"/>
        <v/>
      </c>
      <c r="L1057" s="12" t="e">
        <f t="shared" si="48"/>
        <v>#VALUE!</v>
      </c>
    </row>
    <row r="1058" spans="1:12" ht="24" customHeight="1" x14ac:dyDescent="0.25">
      <c r="A1058" s="15">
        <v>43311</v>
      </c>
      <c r="B1058" s="15" t="s">
        <v>260</v>
      </c>
      <c r="C1058" s="27">
        <v>408</v>
      </c>
      <c r="D1058" s="11" t="e">
        <f>VLOOKUP(B1058,#REF!,7,FALSE)</f>
        <v>#REF!</v>
      </c>
      <c r="E1058" s="31">
        <v>2.7698999999999998</v>
      </c>
      <c r="I1058" s="11" t="e">
        <f>+VLOOKUP(B1058,#REF!,7,FALSE)</f>
        <v>#REF!</v>
      </c>
      <c r="J1058" s="12" t="str">
        <f t="shared" si="49"/>
        <v/>
      </c>
      <c r="K1058" s="12" t="str">
        <f t="shared" si="50"/>
        <v/>
      </c>
      <c r="L1058" s="12" t="e">
        <f t="shared" si="48"/>
        <v>#VALUE!</v>
      </c>
    </row>
    <row r="1059" spans="1:12" ht="24" customHeight="1" x14ac:dyDescent="0.25">
      <c r="A1059" s="15">
        <v>43311</v>
      </c>
      <c r="B1059" s="15" t="s">
        <v>278</v>
      </c>
      <c r="C1059" s="27">
        <v>86</v>
      </c>
      <c r="D1059" s="11" t="e">
        <f>VLOOKUP(B1059,#REF!,7,FALSE)</f>
        <v>#REF!</v>
      </c>
      <c r="E1059" s="31">
        <v>6.2736999999999998</v>
      </c>
      <c r="I1059" s="11" t="e">
        <f>+VLOOKUP(B1059,#REF!,7,FALSE)</f>
        <v>#REF!</v>
      </c>
      <c r="J1059" s="12" t="str">
        <f t="shared" si="49"/>
        <v/>
      </c>
      <c r="K1059" s="12" t="str">
        <f t="shared" si="50"/>
        <v/>
      </c>
      <c r="L1059" s="12" t="e">
        <f t="shared" si="48"/>
        <v>#VALUE!</v>
      </c>
    </row>
    <row r="1060" spans="1:12" ht="24" customHeight="1" x14ac:dyDescent="0.25">
      <c r="A1060" s="15">
        <v>43312</v>
      </c>
      <c r="B1060" s="15" t="s">
        <v>364</v>
      </c>
      <c r="C1060" s="27">
        <v>618</v>
      </c>
      <c r="D1060" s="11" t="e">
        <f>VLOOKUP(B1060,#REF!,7,FALSE)</f>
        <v>#REF!</v>
      </c>
      <c r="E1060" s="31">
        <v>1.06E-2</v>
      </c>
      <c r="I1060" s="11" t="e">
        <f>+VLOOKUP(B1060,#REF!,7,FALSE)</f>
        <v>#REF!</v>
      </c>
      <c r="J1060" s="12" t="str">
        <f t="shared" si="49"/>
        <v/>
      </c>
      <c r="K1060" s="12" t="str">
        <f t="shared" si="50"/>
        <v/>
      </c>
      <c r="L1060" s="12" t="e">
        <f t="shared" si="48"/>
        <v>#VALUE!</v>
      </c>
    </row>
    <row r="1061" spans="1:12" ht="24" customHeight="1" x14ac:dyDescent="0.25">
      <c r="A1061" s="15">
        <v>43332</v>
      </c>
      <c r="B1061" s="15" t="s">
        <v>90</v>
      </c>
      <c r="C1061" s="27">
        <v>7800</v>
      </c>
      <c r="D1061" s="11" t="e">
        <f>VLOOKUP(B1061,#REF!,7,FALSE)</f>
        <v>#REF!</v>
      </c>
      <c r="E1061" s="31">
        <v>0.87139999999999995</v>
      </c>
      <c r="I1061" s="11" t="e">
        <f>+VLOOKUP(B1061,#REF!,7,FALSE)</f>
        <v>#REF!</v>
      </c>
      <c r="J1061" s="12" t="str">
        <f t="shared" si="49"/>
        <v/>
      </c>
      <c r="K1061" s="12" t="str">
        <f t="shared" si="50"/>
        <v/>
      </c>
      <c r="L1061" s="12" t="e">
        <f t="shared" si="48"/>
        <v>#VALUE!</v>
      </c>
    </row>
    <row r="1062" spans="1:12" ht="24" customHeight="1" x14ac:dyDescent="0.25">
      <c r="A1062" s="15">
        <v>43332</v>
      </c>
      <c r="B1062" s="15" t="s">
        <v>339</v>
      </c>
      <c r="C1062" s="27">
        <v>1296</v>
      </c>
      <c r="D1062" s="11" t="e">
        <f>VLOOKUP(B1062,#REF!,7,FALSE)</f>
        <v>#REF!</v>
      </c>
      <c r="E1062" s="31">
        <v>0.86160000000000003</v>
      </c>
      <c r="I1062" s="11" t="e">
        <f>+VLOOKUP(B1062,#REF!,7,FALSE)</f>
        <v>#REF!</v>
      </c>
      <c r="J1062" s="12" t="str">
        <f t="shared" si="49"/>
        <v/>
      </c>
      <c r="K1062" s="12" t="str">
        <f t="shared" si="50"/>
        <v/>
      </c>
      <c r="L1062" s="12" t="e">
        <f t="shared" si="48"/>
        <v>#VALUE!</v>
      </c>
    </row>
    <row r="1063" spans="1:12" ht="24" customHeight="1" x14ac:dyDescent="0.25">
      <c r="A1063" s="15">
        <v>43332</v>
      </c>
      <c r="B1063" s="15" t="s">
        <v>189</v>
      </c>
      <c r="C1063" s="27">
        <v>7254</v>
      </c>
      <c r="D1063" s="11" t="e">
        <f>VLOOKUP(B1063,#REF!,7,FALSE)</f>
        <v>#REF!</v>
      </c>
      <c r="E1063" s="31">
        <v>1.4842</v>
      </c>
      <c r="I1063" s="11" t="e">
        <f>+VLOOKUP(B1063,#REF!,7,FALSE)</f>
        <v>#REF!</v>
      </c>
      <c r="J1063" s="12" t="str">
        <f t="shared" si="49"/>
        <v/>
      </c>
      <c r="K1063" s="12" t="str">
        <f t="shared" si="50"/>
        <v/>
      </c>
      <c r="L1063" s="12" t="e">
        <f t="shared" si="48"/>
        <v>#VALUE!</v>
      </c>
    </row>
    <row r="1064" spans="1:12" ht="24" customHeight="1" x14ac:dyDescent="0.25">
      <c r="A1064" s="15">
        <v>43332</v>
      </c>
      <c r="B1064" s="15" t="s">
        <v>441</v>
      </c>
      <c r="C1064" s="27">
        <v>13902</v>
      </c>
      <c r="D1064" s="11" t="e">
        <f>VLOOKUP(B1064,#REF!,7,FALSE)</f>
        <v>#REF!</v>
      </c>
      <c r="E1064" s="31">
        <v>0.52829999999999999</v>
      </c>
      <c r="I1064" s="11" t="e">
        <f>+VLOOKUP(B1064,#REF!,7,FALSE)</f>
        <v>#REF!</v>
      </c>
      <c r="J1064" s="12" t="str">
        <f t="shared" si="49"/>
        <v/>
      </c>
      <c r="K1064" s="12" t="str">
        <f t="shared" si="50"/>
        <v/>
      </c>
      <c r="L1064" s="12" t="e">
        <f t="shared" si="48"/>
        <v>#VALUE!</v>
      </c>
    </row>
    <row r="1065" spans="1:12" ht="24" customHeight="1" x14ac:dyDescent="0.25">
      <c r="A1065" s="15">
        <v>43332</v>
      </c>
      <c r="B1065" s="15" t="s">
        <v>487</v>
      </c>
      <c r="C1065" s="27">
        <v>19008</v>
      </c>
      <c r="D1065" s="11" t="e">
        <f>VLOOKUP(B1065,#REF!,7,FALSE)</f>
        <v>#REF!</v>
      </c>
      <c r="E1065" s="31">
        <v>0.41360000000000002</v>
      </c>
      <c r="I1065" s="11" t="e">
        <f>+VLOOKUP(B1065,#REF!,7,FALSE)</f>
        <v>#REF!</v>
      </c>
      <c r="J1065" s="12" t="str">
        <f t="shared" si="49"/>
        <v/>
      </c>
      <c r="K1065" s="12" t="str">
        <f t="shared" si="50"/>
        <v/>
      </c>
      <c r="L1065" s="12" t="e">
        <f t="shared" si="48"/>
        <v>#VALUE!</v>
      </c>
    </row>
    <row r="1066" spans="1:12" ht="24" customHeight="1" x14ac:dyDescent="0.25">
      <c r="A1066" s="15">
        <v>43333</v>
      </c>
      <c r="B1066" s="15" t="s">
        <v>336</v>
      </c>
      <c r="C1066" s="27">
        <v>11184</v>
      </c>
      <c r="D1066" s="11" t="e">
        <f>VLOOKUP(B1066,#REF!,7,FALSE)</f>
        <v>#REF!</v>
      </c>
      <c r="E1066" s="31">
        <v>0.70050000000000001</v>
      </c>
      <c r="I1066" s="11" t="e">
        <f>+VLOOKUP(B1066,#REF!,7,FALSE)</f>
        <v>#REF!</v>
      </c>
      <c r="J1066" s="12" t="str">
        <f t="shared" si="49"/>
        <v/>
      </c>
      <c r="K1066" s="12" t="str">
        <f t="shared" si="50"/>
        <v/>
      </c>
      <c r="L1066" s="12" t="e">
        <f t="shared" si="48"/>
        <v>#VALUE!</v>
      </c>
    </row>
    <row r="1067" spans="1:12" ht="24" customHeight="1" x14ac:dyDescent="0.25">
      <c r="A1067" s="15">
        <v>43333</v>
      </c>
      <c r="B1067" s="15" t="s">
        <v>338</v>
      </c>
      <c r="C1067" s="27">
        <v>8796</v>
      </c>
      <c r="D1067" s="11" t="e">
        <f>VLOOKUP(B1067,#REF!,7,FALSE)</f>
        <v>#REF!</v>
      </c>
      <c r="E1067" s="31">
        <v>0.77600000000000002</v>
      </c>
      <c r="I1067" s="11" t="e">
        <f>+VLOOKUP(B1067,#REF!,7,FALSE)</f>
        <v>#REF!</v>
      </c>
      <c r="J1067" s="12" t="str">
        <f t="shared" si="49"/>
        <v/>
      </c>
      <c r="K1067" s="12" t="str">
        <f t="shared" si="50"/>
        <v/>
      </c>
      <c r="L1067" s="12" t="e">
        <f t="shared" si="48"/>
        <v>#VALUE!</v>
      </c>
    </row>
    <row r="1068" spans="1:12" ht="24" customHeight="1" x14ac:dyDescent="0.25">
      <c r="A1068" s="15">
        <v>43333</v>
      </c>
      <c r="B1068" s="15" t="s">
        <v>10</v>
      </c>
      <c r="C1068" s="27">
        <v>3300</v>
      </c>
      <c r="D1068" s="11" t="e">
        <f>VLOOKUP(B1068,#REF!,7,FALSE)</f>
        <v>#REF!</v>
      </c>
      <c r="E1068" s="31">
        <v>2.3868999999999998</v>
      </c>
      <c r="I1068" s="11" t="e">
        <f>+VLOOKUP(B1068,#REF!,7,FALSE)</f>
        <v>#REF!</v>
      </c>
      <c r="J1068" s="12" t="str">
        <f t="shared" si="49"/>
        <v/>
      </c>
      <c r="K1068" s="12" t="str">
        <f t="shared" si="50"/>
        <v/>
      </c>
      <c r="L1068" s="12" t="e">
        <f t="shared" si="48"/>
        <v>#VALUE!</v>
      </c>
    </row>
    <row r="1069" spans="1:12" ht="24" customHeight="1" x14ac:dyDescent="0.25">
      <c r="A1069" s="15">
        <v>43333</v>
      </c>
      <c r="B1069" s="15" t="s">
        <v>218</v>
      </c>
      <c r="C1069" s="27">
        <v>2616</v>
      </c>
      <c r="D1069" s="11" t="e">
        <f>VLOOKUP(B1069,#REF!,7,FALSE)</f>
        <v>#REF!</v>
      </c>
      <c r="E1069" s="31">
        <v>3.0005000000000002</v>
      </c>
      <c r="I1069" s="11" t="e">
        <f>+VLOOKUP(B1069,#REF!,7,FALSE)</f>
        <v>#REF!</v>
      </c>
      <c r="J1069" s="12" t="str">
        <f t="shared" si="49"/>
        <v/>
      </c>
      <c r="K1069" s="12" t="str">
        <f t="shared" si="50"/>
        <v/>
      </c>
      <c r="L1069" s="12" t="e">
        <f t="shared" si="48"/>
        <v>#VALUE!</v>
      </c>
    </row>
    <row r="1070" spans="1:12" ht="24" customHeight="1" x14ac:dyDescent="0.25">
      <c r="A1070" s="15">
        <v>43333</v>
      </c>
      <c r="B1070" s="15" t="s">
        <v>441</v>
      </c>
      <c r="C1070" s="27">
        <v>13872</v>
      </c>
      <c r="D1070" s="11" t="e">
        <f>VLOOKUP(B1070,#REF!,7,FALSE)</f>
        <v>#REF!</v>
      </c>
      <c r="E1070" s="31">
        <v>0.53500000000000003</v>
      </c>
      <c r="I1070" s="11" t="e">
        <f>+VLOOKUP(B1070,#REF!,7,FALSE)</f>
        <v>#REF!</v>
      </c>
      <c r="J1070" s="12" t="str">
        <f t="shared" si="49"/>
        <v/>
      </c>
      <c r="K1070" s="12" t="str">
        <f t="shared" si="50"/>
        <v/>
      </c>
      <c r="L1070" s="12" t="e">
        <f t="shared" ref="L1070:L1133" si="51">J1070-K1070</f>
        <v>#VALUE!</v>
      </c>
    </row>
    <row r="1071" spans="1:12" ht="24" customHeight="1" x14ac:dyDescent="0.25">
      <c r="A1071" s="15">
        <v>43333</v>
      </c>
      <c r="B1071" s="15" t="s">
        <v>487</v>
      </c>
      <c r="C1071" s="27">
        <v>3720</v>
      </c>
      <c r="D1071" s="11" t="e">
        <f>VLOOKUP(B1071,#REF!,7,FALSE)</f>
        <v>#REF!</v>
      </c>
      <c r="E1071" s="31">
        <v>0.41070000000000001</v>
      </c>
      <c r="I1071" s="11" t="e">
        <f>+VLOOKUP(B1071,#REF!,7,FALSE)</f>
        <v>#REF!</v>
      </c>
      <c r="J1071" s="12" t="str">
        <f t="shared" si="49"/>
        <v/>
      </c>
      <c r="K1071" s="12" t="str">
        <f t="shared" si="50"/>
        <v/>
      </c>
      <c r="L1071" s="12" t="e">
        <f t="shared" si="51"/>
        <v>#VALUE!</v>
      </c>
    </row>
    <row r="1072" spans="1:12" ht="24" customHeight="1" x14ac:dyDescent="0.25">
      <c r="A1072" s="15">
        <v>43333</v>
      </c>
      <c r="B1072" s="15" t="s">
        <v>488</v>
      </c>
      <c r="C1072" s="27">
        <v>1974</v>
      </c>
      <c r="D1072" s="11" t="e">
        <f>VLOOKUP(B1072,#REF!,7,FALSE)</f>
        <v>#REF!</v>
      </c>
      <c r="E1072" s="31">
        <v>2.0112000000000001</v>
      </c>
      <c r="I1072" s="11" t="e">
        <f>+VLOOKUP(B1072,#REF!,7,FALSE)</f>
        <v>#REF!</v>
      </c>
      <c r="J1072" s="12" t="str">
        <f t="shared" si="49"/>
        <v/>
      </c>
      <c r="K1072" s="12" t="str">
        <f t="shared" si="50"/>
        <v/>
      </c>
      <c r="L1072" s="12" t="e">
        <f t="shared" si="51"/>
        <v>#VALUE!</v>
      </c>
    </row>
    <row r="1073" spans="1:12" ht="24" customHeight="1" x14ac:dyDescent="0.25">
      <c r="A1073" s="15">
        <v>43334</v>
      </c>
      <c r="B1073" s="15" t="s">
        <v>270</v>
      </c>
      <c r="C1073" s="27">
        <v>3756</v>
      </c>
      <c r="D1073" s="11" t="e">
        <f>VLOOKUP(B1073,#REF!,7,FALSE)</f>
        <v>#REF!</v>
      </c>
      <c r="E1073" s="31">
        <v>0.47289999999999999</v>
      </c>
      <c r="I1073" s="11" t="e">
        <f>+VLOOKUP(B1073,#REF!,7,FALSE)</f>
        <v>#REF!</v>
      </c>
      <c r="J1073" s="12" t="str">
        <f t="shared" si="49"/>
        <v/>
      </c>
      <c r="K1073" s="12" t="str">
        <f t="shared" si="50"/>
        <v/>
      </c>
      <c r="L1073" s="12" t="e">
        <f t="shared" si="51"/>
        <v>#VALUE!</v>
      </c>
    </row>
    <row r="1074" spans="1:12" ht="24" customHeight="1" x14ac:dyDescent="0.25">
      <c r="A1074" s="15">
        <v>43334</v>
      </c>
      <c r="B1074" s="15" t="s">
        <v>276</v>
      </c>
      <c r="C1074" s="27">
        <v>3120</v>
      </c>
      <c r="D1074" s="11" t="e">
        <f>VLOOKUP(B1074,#REF!,7,FALSE)</f>
        <v>#REF!</v>
      </c>
      <c r="E1074" s="31">
        <v>1.0210999999999999</v>
      </c>
      <c r="I1074" s="11" t="e">
        <f>+VLOOKUP(B1074,#REF!,7,FALSE)</f>
        <v>#REF!</v>
      </c>
      <c r="J1074" s="12" t="str">
        <f t="shared" si="49"/>
        <v/>
      </c>
      <c r="K1074" s="12" t="str">
        <f t="shared" si="50"/>
        <v/>
      </c>
      <c r="L1074" s="12" t="e">
        <f t="shared" si="51"/>
        <v>#VALUE!</v>
      </c>
    </row>
    <row r="1075" spans="1:12" ht="24" customHeight="1" x14ac:dyDescent="0.25">
      <c r="A1075" s="15">
        <v>43334</v>
      </c>
      <c r="B1075" s="15" t="s">
        <v>282</v>
      </c>
      <c r="C1075" s="27">
        <v>279</v>
      </c>
      <c r="D1075" s="11" t="e">
        <f>VLOOKUP(B1075,#REF!,7,FALSE)</f>
        <v>#REF!</v>
      </c>
      <c r="E1075" s="31">
        <v>7.3845999999999998</v>
      </c>
      <c r="I1075" s="11" t="e">
        <f>+VLOOKUP(B1075,#REF!,7,FALSE)</f>
        <v>#REF!</v>
      </c>
      <c r="J1075" s="12" t="str">
        <f t="shared" si="49"/>
        <v/>
      </c>
      <c r="K1075" s="12" t="str">
        <f t="shared" si="50"/>
        <v/>
      </c>
      <c r="L1075" s="12" t="e">
        <f t="shared" si="51"/>
        <v>#VALUE!</v>
      </c>
    </row>
    <row r="1076" spans="1:12" ht="24" customHeight="1" x14ac:dyDescent="0.25">
      <c r="A1076" s="15">
        <v>43334</v>
      </c>
      <c r="B1076" s="15" t="s">
        <v>346</v>
      </c>
      <c r="C1076" s="27">
        <v>5118</v>
      </c>
      <c r="D1076" s="11" t="e">
        <f>VLOOKUP(B1076,#REF!,7,FALSE)</f>
        <v>#REF!</v>
      </c>
      <c r="E1076" s="31">
        <v>1.3109999999999999</v>
      </c>
      <c r="I1076" s="11" t="e">
        <f>+VLOOKUP(B1076,#REF!,7,FALSE)</f>
        <v>#REF!</v>
      </c>
      <c r="J1076" s="12" t="str">
        <f t="shared" si="49"/>
        <v/>
      </c>
      <c r="K1076" s="12" t="str">
        <f t="shared" si="50"/>
        <v/>
      </c>
      <c r="L1076" s="12" t="e">
        <f t="shared" si="51"/>
        <v>#VALUE!</v>
      </c>
    </row>
    <row r="1077" spans="1:12" ht="24" customHeight="1" x14ac:dyDescent="0.25">
      <c r="A1077" s="15">
        <v>43334</v>
      </c>
      <c r="B1077" s="15" t="s">
        <v>367</v>
      </c>
      <c r="C1077" s="27">
        <v>275</v>
      </c>
      <c r="D1077" s="11" t="e">
        <f>VLOOKUP(B1077,#REF!,7,FALSE)</f>
        <v>#REF!</v>
      </c>
      <c r="E1077" s="31">
        <v>6.4276</v>
      </c>
      <c r="I1077" s="11" t="e">
        <f>+VLOOKUP(B1077,#REF!,7,FALSE)</f>
        <v>#REF!</v>
      </c>
      <c r="J1077" s="12" t="str">
        <f t="shared" si="49"/>
        <v/>
      </c>
      <c r="K1077" s="12" t="str">
        <f t="shared" si="50"/>
        <v/>
      </c>
      <c r="L1077" s="12" t="e">
        <f t="shared" si="51"/>
        <v>#VALUE!</v>
      </c>
    </row>
    <row r="1078" spans="1:12" ht="24" customHeight="1" x14ac:dyDescent="0.25">
      <c r="A1078" s="15">
        <v>43334</v>
      </c>
      <c r="B1078" s="15" t="s">
        <v>376</v>
      </c>
      <c r="C1078" s="27">
        <v>4596</v>
      </c>
      <c r="D1078" s="11" t="e">
        <f>VLOOKUP(B1078,#REF!,7,FALSE)</f>
        <v>#REF!</v>
      </c>
      <c r="E1078" s="31">
        <v>0.65680000000000005</v>
      </c>
      <c r="I1078" s="11" t="e">
        <f>+VLOOKUP(B1078,#REF!,7,FALSE)</f>
        <v>#REF!</v>
      </c>
      <c r="J1078" s="12" t="str">
        <f t="shared" si="49"/>
        <v/>
      </c>
      <c r="K1078" s="12" t="str">
        <f t="shared" si="50"/>
        <v/>
      </c>
      <c r="L1078" s="12" t="e">
        <f t="shared" si="51"/>
        <v>#VALUE!</v>
      </c>
    </row>
    <row r="1079" spans="1:12" ht="24" customHeight="1" x14ac:dyDescent="0.25">
      <c r="A1079" s="15">
        <v>43334</v>
      </c>
      <c r="B1079" s="15" t="s">
        <v>378</v>
      </c>
      <c r="C1079" s="27">
        <v>7032</v>
      </c>
      <c r="D1079" s="11" t="e">
        <f>VLOOKUP(B1079,#REF!,7,FALSE)</f>
        <v>#REF!</v>
      </c>
      <c r="E1079" s="31">
        <v>0.53390000000000004</v>
      </c>
      <c r="I1079" s="11" t="e">
        <f>+VLOOKUP(B1079,#REF!,7,FALSE)</f>
        <v>#REF!</v>
      </c>
      <c r="J1079" s="12" t="str">
        <f t="shared" si="49"/>
        <v/>
      </c>
      <c r="K1079" s="12" t="str">
        <f t="shared" si="50"/>
        <v/>
      </c>
      <c r="L1079" s="12" t="e">
        <f t="shared" si="51"/>
        <v>#VALUE!</v>
      </c>
    </row>
    <row r="1080" spans="1:12" ht="24" customHeight="1" x14ac:dyDescent="0.25">
      <c r="A1080" s="15">
        <v>43334</v>
      </c>
      <c r="B1080" s="15" t="s">
        <v>397</v>
      </c>
      <c r="C1080" s="27">
        <v>411</v>
      </c>
      <c r="D1080" s="11" t="e">
        <f>VLOOKUP(B1080,#REF!,7,FALSE)</f>
        <v>#REF!</v>
      </c>
      <c r="E1080" s="31">
        <v>6.2736000000000001</v>
      </c>
      <c r="I1080" s="11" t="e">
        <f>+VLOOKUP(B1080,#REF!,7,FALSE)</f>
        <v>#REF!</v>
      </c>
      <c r="J1080" s="12" t="str">
        <f t="shared" si="49"/>
        <v/>
      </c>
      <c r="K1080" s="12" t="str">
        <f t="shared" si="50"/>
        <v/>
      </c>
      <c r="L1080" s="12" t="e">
        <f t="shared" si="51"/>
        <v>#VALUE!</v>
      </c>
    </row>
    <row r="1081" spans="1:12" ht="24" customHeight="1" x14ac:dyDescent="0.25">
      <c r="A1081" s="15">
        <v>43334</v>
      </c>
      <c r="B1081" s="15" t="s">
        <v>441</v>
      </c>
      <c r="C1081" s="27">
        <v>11982</v>
      </c>
      <c r="D1081" s="11" t="e">
        <f>VLOOKUP(B1081,#REF!,7,FALSE)</f>
        <v>#REF!</v>
      </c>
      <c r="E1081" s="31">
        <v>0.53269999999999995</v>
      </c>
      <c r="I1081" s="11" t="e">
        <f>+VLOOKUP(B1081,#REF!,7,FALSE)</f>
        <v>#REF!</v>
      </c>
      <c r="J1081" s="12" t="str">
        <f t="shared" si="49"/>
        <v/>
      </c>
      <c r="K1081" s="12" t="str">
        <f t="shared" si="50"/>
        <v/>
      </c>
      <c r="L1081" s="12" t="e">
        <f t="shared" si="51"/>
        <v>#VALUE!</v>
      </c>
    </row>
    <row r="1082" spans="1:12" ht="24" customHeight="1" x14ac:dyDescent="0.25">
      <c r="A1082" s="15">
        <v>43334</v>
      </c>
      <c r="B1082" s="15" t="s">
        <v>488</v>
      </c>
      <c r="C1082" s="27">
        <v>9792</v>
      </c>
      <c r="D1082" s="11" t="e">
        <f>VLOOKUP(B1082,#REF!,7,FALSE)</f>
        <v>#REF!</v>
      </c>
      <c r="E1082" s="31">
        <v>1.9186000000000001</v>
      </c>
      <c r="I1082" s="11" t="e">
        <f>+VLOOKUP(B1082,#REF!,7,FALSE)</f>
        <v>#REF!</v>
      </c>
      <c r="J1082" s="12" t="str">
        <f t="shared" si="49"/>
        <v/>
      </c>
      <c r="K1082" s="12" t="str">
        <f t="shared" si="50"/>
        <v/>
      </c>
      <c r="L1082" s="12" t="e">
        <f t="shared" si="51"/>
        <v>#VALUE!</v>
      </c>
    </row>
    <row r="1083" spans="1:12" ht="24" customHeight="1" x14ac:dyDescent="0.25">
      <c r="A1083" s="15">
        <v>43335</v>
      </c>
      <c r="B1083" s="15" t="s">
        <v>263</v>
      </c>
      <c r="C1083" s="27">
        <v>2592</v>
      </c>
      <c r="D1083" s="11" t="e">
        <f>VLOOKUP(B1083,#REF!,7,FALSE)</f>
        <v>#REF!</v>
      </c>
      <c r="E1083" s="31">
        <v>0.31830000000000003</v>
      </c>
      <c r="I1083" s="11">
        <v>0.96870000000000001</v>
      </c>
      <c r="J1083" s="12" t="str">
        <f t="shared" si="49"/>
        <v/>
      </c>
      <c r="K1083" s="12">
        <f t="shared" si="50"/>
        <v>0.67141529885413442</v>
      </c>
      <c r="L1083" s="12" t="e">
        <f t="shared" si="51"/>
        <v>#VALUE!</v>
      </c>
    </row>
    <row r="1084" spans="1:12" ht="24" customHeight="1" x14ac:dyDescent="0.25">
      <c r="A1084" s="15">
        <v>43335</v>
      </c>
      <c r="B1084" s="15" t="s">
        <v>266</v>
      </c>
      <c r="C1084" s="27">
        <v>2544</v>
      </c>
      <c r="D1084" s="11" t="e">
        <f>VLOOKUP(B1084,#REF!,7,FALSE)</f>
        <v>#REF!</v>
      </c>
      <c r="E1084" s="31">
        <v>0.63349999999999995</v>
      </c>
      <c r="I1084" s="11" t="e">
        <f>+VLOOKUP(B1084,#REF!,7,FALSE)</f>
        <v>#REF!</v>
      </c>
      <c r="J1084" s="12" t="str">
        <f t="shared" si="49"/>
        <v/>
      </c>
      <c r="K1084" s="12" t="str">
        <f t="shared" si="50"/>
        <v/>
      </c>
      <c r="L1084" s="12" t="e">
        <f t="shared" si="51"/>
        <v>#VALUE!</v>
      </c>
    </row>
    <row r="1085" spans="1:12" ht="24" customHeight="1" x14ac:dyDescent="0.25">
      <c r="A1085" s="15">
        <v>43335</v>
      </c>
      <c r="B1085" s="15" t="s">
        <v>272</v>
      </c>
      <c r="C1085" s="27">
        <v>2634</v>
      </c>
      <c r="D1085" s="11" t="e">
        <f>VLOOKUP(B1085,#REF!,7,FALSE)</f>
        <v>#REF!</v>
      </c>
      <c r="E1085" s="31">
        <v>1.3139000000000001</v>
      </c>
      <c r="I1085" s="11" t="e">
        <f>+VLOOKUP(B1085,#REF!,7,FALSE)</f>
        <v>#REF!</v>
      </c>
      <c r="J1085" s="12" t="str">
        <f t="shared" si="49"/>
        <v/>
      </c>
      <c r="K1085" s="12" t="str">
        <f t="shared" si="50"/>
        <v/>
      </c>
      <c r="L1085" s="12" t="e">
        <f t="shared" si="51"/>
        <v>#VALUE!</v>
      </c>
    </row>
    <row r="1086" spans="1:12" ht="24" customHeight="1" x14ac:dyDescent="0.25">
      <c r="A1086" s="15">
        <v>43335</v>
      </c>
      <c r="B1086" s="15" t="s">
        <v>278</v>
      </c>
      <c r="C1086" s="27">
        <v>300</v>
      </c>
      <c r="D1086" s="11" t="e">
        <f>VLOOKUP(B1086,#REF!,7,FALSE)</f>
        <v>#REF!</v>
      </c>
      <c r="E1086" s="31">
        <v>9.7960999999999991</v>
      </c>
      <c r="I1086" s="11" t="e">
        <f>+VLOOKUP(B1086,#REF!,7,FALSE)</f>
        <v>#REF!</v>
      </c>
      <c r="J1086" s="12" t="str">
        <f t="shared" si="49"/>
        <v/>
      </c>
      <c r="K1086" s="12" t="str">
        <f t="shared" si="50"/>
        <v/>
      </c>
      <c r="L1086" s="12" t="e">
        <f t="shared" si="51"/>
        <v>#VALUE!</v>
      </c>
    </row>
    <row r="1087" spans="1:12" ht="24" customHeight="1" x14ac:dyDescent="0.25">
      <c r="A1087" s="15">
        <v>43335</v>
      </c>
      <c r="B1087" s="15" t="s">
        <v>346</v>
      </c>
      <c r="C1087" s="27">
        <v>7740</v>
      </c>
      <c r="D1087" s="11" t="e">
        <f>VLOOKUP(B1087,#REF!,7,FALSE)</f>
        <v>#REF!</v>
      </c>
      <c r="E1087" s="31">
        <v>1.4313</v>
      </c>
      <c r="I1087" s="11" t="e">
        <f>+VLOOKUP(B1087,#REF!,7,FALSE)</f>
        <v>#REF!</v>
      </c>
      <c r="J1087" s="12" t="str">
        <f t="shared" si="49"/>
        <v/>
      </c>
      <c r="K1087" s="12" t="str">
        <f t="shared" si="50"/>
        <v/>
      </c>
      <c r="L1087" s="12" t="e">
        <f t="shared" si="51"/>
        <v>#VALUE!</v>
      </c>
    </row>
    <row r="1088" spans="1:12" ht="24" customHeight="1" x14ac:dyDescent="0.25">
      <c r="A1088" s="15">
        <v>43335</v>
      </c>
      <c r="B1088" s="15" t="s">
        <v>358</v>
      </c>
      <c r="C1088" s="27">
        <v>556</v>
      </c>
      <c r="D1088" s="11" t="e">
        <f>VLOOKUP(B1088,#REF!,7,FALSE)</f>
        <v>#REF!</v>
      </c>
      <c r="E1088" s="31">
        <v>9.1782000000000004</v>
      </c>
      <c r="I1088" s="11" t="e">
        <f>+VLOOKUP(B1088,#REF!,7,FALSE)</f>
        <v>#REF!</v>
      </c>
      <c r="J1088" s="12" t="str">
        <f t="shared" si="49"/>
        <v/>
      </c>
      <c r="K1088" s="12" t="str">
        <f t="shared" si="50"/>
        <v/>
      </c>
      <c r="L1088" s="12" t="e">
        <f t="shared" si="51"/>
        <v>#VALUE!</v>
      </c>
    </row>
    <row r="1089" spans="1:12" ht="24" customHeight="1" x14ac:dyDescent="0.25">
      <c r="A1089" s="15">
        <v>43335</v>
      </c>
      <c r="B1089" s="15" t="s">
        <v>361</v>
      </c>
      <c r="C1089" s="27">
        <v>150</v>
      </c>
      <c r="D1089" s="11" t="e">
        <f>VLOOKUP(B1089,#REF!,7,FALSE)</f>
        <v>#REF!</v>
      </c>
      <c r="E1089" s="31">
        <v>8.4810999999999996</v>
      </c>
      <c r="I1089" s="11" t="e">
        <f>+VLOOKUP(B1089,#REF!,7,FALSE)</f>
        <v>#REF!</v>
      </c>
      <c r="J1089" s="12" t="str">
        <f t="shared" si="49"/>
        <v/>
      </c>
      <c r="K1089" s="12" t="str">
        <f t="shared" si="50"/>
        <v/>
      </c>
      <c r="L1089" s="12" t="e">
        <f t="shared" si="51"/>
        <v>#VALUE!</v>
      </c>
    </row>
    <row r="1090" spans="1:12" ht="24" customHeight="1" x14ac:dyDescent="0.25">
      <c r="A1090" s="15">
        <v>43335</v>
      </c>
      <c r="B1090" s="15" t="s">
        <v>373</v>
      </c>
      <c r="C1090" s="27">
        <v>16452</v>
      </c>
      <c r="D1090" s="11" t="e">
        <f>VLOOKUP(B1090,#REF!,7,FALSE)</f>
        <v>#REF!</v>
      </c>
      <c r="E1090" s="31">
        <v>0.49349999999999999</v>
      </c>
      <c r="I1090" s="11" t="e">
        <f>+VLOOKUP(B1090,#REF!,7,FALSE)</f>
        <v>#REF!</v>
      </c>
      <c r="J1090" s="12" t="str">
        <f t="shared" si="49"/>
        <v/>
      </c>
      <c r="K1090" s="12" t="str">
        <f t="shared" si="50"/>
        <v/>
      </c>
      <c r="L1090" s="12" t="e">
        <f t="shared" si="51"/>
        <v>#VALUE!</v>
      </c>
    </row>
    <row r="1091" spans="1:12" ht="24" customHeight="1" x14ac:dyDescent="0.25">
      <c r="A1091" s="15">
        <v>43335</v>
      </c>
      <c r="B1091" s="15" t="s">
        <v>398</v>
      </c>
      <c r="C1091" s="27">
        <v>312</v>
      </c>
      <c r="D1091" s="11" t="e">
        <f>VLOOKUP(B1091,#REF!,7,FALSE)</f>
        <v>#REF!</v>
      </c>
      <c r="E1091" s="31">
        <v>1.9392</v>
      </c>
      <c r="I1091" s="11" t="e">
        <f>+VLOOKUP(B1091,#REF!,7,FALSE)</f>
        <v>#REF!</v>
      </c>
      <c r="J1091" s="12" t="str">
        <f t="shared" si="49"/>
        <v/>
      </c>
      <c r="K1091" s="12" t="str">
        <f t="shared" si="50"/>
        <v/>
      </c>
      <c r="L1091" s="12" t="e">
        <f t="shared" si="51"/>
        <v>#VALUE!</v>
      </c>
    </row>
    <row r="1092" spans="1:12" ht="24" customHeight="1" x14ac:dyDescent="0.25">
      <c r="A1092" s="15">
        <v>43335</v>
      </c>
      <c r="B1092" s="15" t="s">
        <v>401</v>
      </c>
      <c r="C1092" s="27">
        <v>4014</v>
      </c>
      <c r="D1092" s="11" t="e">
        <f>VLOOKUP(B1092,#REF!,7,FALSE)</f>
        <v>#REF!</v>
      </c>
      <c r="E1092" s="31">
        <v>2.3532000000000002</v>
      </c>
      <c r="I1092" s="11" t="e">
        <f>+VLOOKUP(B1092,#REF!,7,FALSE)</f>
        <v>#REF!</v>
      </c>
      <c r="J1092" s="12" t="str">
        <f t="shared" ref="J1092:J1155" si="52">IFERROR((I1092-(D1092+F1092))/I1092,"")</f>
        <v/>
      </c>
      <c r="K1092" s="12" t="str">
        <f t="shared" ref="K1092:K1155" si="53">IF(E1092="","",IFERROR((I1092-(E1092+G1092+H1092))/I1092,""))</f>
        <v/>
      </c>
      <c r="L1092" s="12" t="e">
        <f t="shared" si="51"/>
        <v>#VALUE!</v>
      </c>
    </row>
    <row r="1093" spans="1:12" ht="24" customHeight="1" x14ac:dyDescent="0.25">
      <c r="A1093" s="15">
        <v>43335</v>
      </c>
      <c r="B1093" s="15" t="s">
        <v>441</v>
      </c>
      <c r="C1093" s="27">
        <v>15684</v>
      </c>
      <c r="D1093" s="11" t="e">
        <f>VLOOKUP(B1093,#REF!,7,FALSE)</f>
        <v>#REF!</v>
      </c>
      <c r="E1093" s="31">
        <v>0.52649999999999997</v>
      </c>
      <c r="I1093" s="11" t="e">
        <f>+VLOOKUP(B1093,#REF!,7,FALSE)</f>
        <v>#REF!</v>
      </c>
      <c r="J1093" s="12" t="str">
        <f t="shared" si="52"/>
        <v/>
      </c>
      <c r="K1093" s="12" t="str">
        <f t="shared" si="53"/>
        <v/>
      </c>
      <c r="L1093" s="12" t="e">
        <f t="shared" si="51"/>
        <v>#VALUE!</v>
      </c>
    </row>
    <row r="1094" spans="1:12" ht="24" customHeight="1" x14ac:dyDescent="0.25">
      <c r="A1094" s="15">
        <v>43335</v>
      </c>
      <c r="B1094" s="15" t="s">
        <v>488</v>
      </c>
      <c r="C1094" s="27">
        <v>10266</v>
      </c>
      <c r="D1094" s="11" t="e">
        <f>VLOOKUP(B1094,#REF!,7,FALSE)</f>
        <v>#REF!</v>
      </c>
      <c r="E1094" s="31">
        <v>1.9323999999999999</v>
      </c>
      <c r="I1094" s="11" t="e">
        <f>+VLOOKUP(B1094,#REF!,7,FALSE)</f>
        <v>#REF!</v>
      </c>
      <c r="J1094" s="12" t="str">
        <f t="shared" si="52"/>
        <v/>
      </c>
      <c r="K1094" s="12" t="str">
        <f t="shared" si="53"/>
        <v/>
      </c>
      <c r="L1094" s="12" t="e">
        <f t="shared" si="51"/>
        <v>#VALUE!</v>
      </c>
    </row>
    <row r="1095" spans="1:12" ht="24" customHeight="1" x14ac:dyDescent="0.25">
      <c r="A1095" s="15">
        <v>43336</v>
      </c>
      <c r="B1095" s="15" t="s">
        <v>346</v>
      </c>
      <c r="C1095" s="27">
        <v>10950</v>
      </c>
      <c r="D1095" s="11" t="e">
        <f>VLOOKUP(B1095,#REF!,7,FALSE)</f>
        <v>#REF!</v>
      </c>
      <c r="E1095" s="31">
        <v>1.4389000000000001</v>
      </c>
      <c r="I1095" s="11" t="e">
        <f>+VLOOKUP(B1095,#REF!,7,FALSE)</f>
        <v>#REF!</v>
      </c>
      <c r="J1095" s="12" t="str">
        <f t="shared" si="52"/>
        <v/>
      </c>
      <c r="K1095" s="12" t="str">
        <f t="shared" si="53"/>
        <v/>
      </c>
      <c r="L1095" s="12" t="e">
        <f t="shared" si="51"/>
        <v>#VALUE!</v>
      </c>
    </row>
    <row r="1096" spans="1:12" ht="24" customHeight="1" x14ac:dyDescent="0.25">
      <c r="A1096" s="15">
        <v>43336</v>
      </c>
      <c r="B1096" s="15" t="s">
        <v>359</v>
      </c>
      <c r="C1096" s="27">
        <v>594</v>
      </c>
      <c r="D1096" s="11" t="e">
        <f>VLOOKUP(B1096,#REF!,7,FALSE)</f>
        <v>#REF!</v>
      </c>
      <c r="E1096" s="31">
        <v>8.1636000000000006</v>
      </c>
      <c r="I1096" s="11" t="e">
        <f>+VLOOKUP(B1096,#REF!,7,FALSE)</f>
        <v>#REF!</v>
      </c>
      <c r="J1096" s="12" t="str">
        <f t="shared" si="52"/>
        <v/>
      </c>
      <c r="K1096" s="12" t="str">
        <f t="shared" si="53"/>
        <v/>
      </c>
      <c r="L1096" s="12" t="e">
        <f t="shared" si="51"/>
        <v>#VALUE!</v>
      </c>
    </row>
    <row r="1097" spans="1:12" ht="24" customHeight="1" x14ac:dyDescent="0.25">
      <c r="A1097" s="15">
        <v>43336</v>
      </c>
      <c r="B1097" s="15" t="s">
        <v>366</v>
      </c>
      <c r="C1097" s="27">
        <v>450</v>
      </c>
      <c r="D1097" s="11" t="e">
        <f>VLOOKUP(B1097,#REF!,7,FALSE)</f>
        <v>#REF!</v>
      </c>
      <c r="E1097" s="31">
        <v>7.3244999999999996</v>
      </c>
      <c r="I1097" s="11" t="e">
        <f>+VLOOKUP(B1097,#REF!,7,FALSE)</f>
        <v>#REF!</v>
      </c>
      <c r="J1097" s="12" t="str">
        <f t="shared" si="52"/>
        <v/>
      </c>
      <c r="K1097" s="12" t="str">
        <f t="shared" si="53"/>
        <v/>
      </c>
      <c r="L1097" s="12" t="e">
        <f t="shared" si="51"/>
        <v>#VALUE!</v>
      </c>
    </row>
    <row r="1098" spans="1:12" ht="24" customHeight="1" x14ac:dyDescent="0.25">
      <c r="A1098" s="15">
        <v>43336</v>
      </c>
      <c r="B1098" s="15" t="s">
        <v>374</v>
      </c>
      <c r="C1098" s="27">
        <v>15792</v>
      </c>
      <c r="D1098" s="11" t="e">
        <f>VLOOKUP(B1098,#REF!,7,FALSE)</f>
        <v>#REF!</v>
      </c>
      <c r="E1098" s="31">
        <v>0.53949999999999998</v>
      </c>
      <c r="I1098" s="11" t="e">
        <f>+VLOOKUP(B1098,#REF!,7,FALSE)</f>
        <v>#REF!</v>
      </c>
      <c r="J1098" s="12" t="str">
        <f t="shared" si="52"/>
        <v/>
      </c>
      <c r="K1098" s="12" t="str">
        <f t="shared" si="53"/>
        <v/>
      </c>
      <c r="L1098" s="12" t="e">
        <f t="shared" si="51"/>
        <v>#VALUE!</v>
      </c>
    </row>
    <row r="1099" spans="1:12" ht="24" customHeight="1" x14ac:dyDescent="0.25">
      <c r="A1099" s="15">
        <v>43336</v>
      </c>
      <c r="B1099" s="15" t="s">
        <v>377</v>
      </c>
      <c r="C1099" s="27">
        <v>13128</v>
      </c>
      <c r="D1099" s="11" t="e">
        <f>VLOOKUP(B1099,#REF!,7,FALSE)</f>
        <v>#REF!</v>
      </c>
      <c r="E1099" s="31">
        <v>0.51639999999999997</v>
      </c>
      <c r="I1099" s="11" t="e">
        <f>+VLOOKUP(B1099,#REF!,7,FALSE)</f>
        <v>#REF!</v>
      </c>
      <c r="J1099" s="12" t="str">
        <f t="shared" si="52"/>
        <v/>
      </c>
      <c r="K1099" s="12" t="str">
        <f t="shared" si="53"/>
        <v/>
      </c>
      <c r="L1099" s="12" t="e">
        <f t="shared" si="51"/>
        <v>#VALUE!</v>
      </c>
    </row>
    <row r="1100" spans="1:12" ht="24" customHeight="1" x14ac:dyDescent="0.25">
      <c r="A1100" s="15">
        <v>43336</v>
      </c>
      <c r="B1100" s="15" t="s">
        <v>396</v>
      </c>
      <c r="C1100" s="27">
        <v>300</v>
      </c>
      <c r="D1100" s="11" t="e">
        <f>VLOOKUP(B1100,#REF!,7,FALSE)</f>
        <v>#REF!</v>
      </c>
      <c r="E1100" s="31">
        <v>6.0526</v>
      </c>
      <c r="I1100" s="11" t="e">
        <f>+VLOOKUP(B1100,#REF!,7,FALSE)</f>
        <v>#REF!</v>
      </c>
      <c r="J1100" s="12" t="str">
        <f t="shared" si="52"/>
        <v/>
      </c>
      <c r="K1100" s="12" t="str">
        <f t="shared" si="53"/>
        <v/>
      </c>
      <c r="L1100" s="12" t="e">
        <f t="shared" si="51"/>
        <v>#VALUE!</v>
      </c>
    </row>
    <row r="1101" spans="1:12" ht="24" customHeight="1" x14ac:dyDescent="0.25">
      <c r="A1101" s="15">
        <v>43336</v>
      </c>
      <c r="B1101" s="15" t="s">
        <v>399</v>
      </c>
      <c r="C1101" s="27">
        <v>294</v>
      </c>
      <c r="D1101" s="11" t="e">
        <f>VLOOKUP(B1101,#REF!,7,FALSE)</f>
        <v>#REF!</v>
      </c>
      <c r="E1101" s="31">
        <v>9.0337999999999994</v>
      </c>
      <c r="I1101" s="11" t="e">
        <f>+VLOOKUP(B1101,#REF!,7,FALSE)</f>
        <v>#REF!</v>
      </c>
      <c r="J1101" s="12" t="str">
        <f t="shared" si="52"/>
        <v/>
      </c>
      <c r="K1101" s="12" t="str">
        <f t="shared" si="53"/>
        <v/>
      </c>
      <c r="L1101" s="12" t="e">
        <f t="shared" si="51"/>
        <v>#VALUE!</v>
      </c>
    </row>
    <row r="1102" spans="1:12" ht="24" customHeight="1" x14ac:dyDescent="0.25">
      <c r="A1102" s="15">
        <v>43336</v>
      </c>
      <c r="B1102" s="15" t="s">
        <v>402</v>
      </c>
      <c r="C1102" s="27">
        <v>2112</v>
      </c>
      <c r="D1102" s="11" t="e">
        <f>VLOOKUP(B1102,#REF!,7,FALSE)</f>
        <v>#REF!</v>
      </c>
      <c r="E1102" s="31">
        <v>2.0636000000000001</v>
      </c>
      <c r="I1102" s="11" t="e">
        <f>+VLOOKUP(B1102,#REF!,7,FALSE)</f>
        <v>#REF!</v>
      </c>
      <c r="J1102" s="12" t="str">
        <f t="shared" si="52"/>
        <v/>
      </c>
      <c r="K1102" s="12" t="str">
        <f t="shared" si="53"/>
        <v/>
      </c>
      <c r="L1102" s="12" t="e">
        <f t="shared" si="51"/>
        <v>#VALUE!</v>
      </c>
    </row>
    <row r="1103" spans="1:12" ht="24" customHeight="1" x14ac:dyDescent="0.25">
      <c r="A1103" s="15">
        <v>43336</v>
      </c>
      <c r="B1103" s="15" t="s">
        <v>441</v>
      </c>
      <c r="C1103" s="27">
        <v>13890</v>
      </c>
      <c r="D1103" s="11" t="e">
        <f>VLOOKUP(B1103,#REF!,7,FALSE)</f>
        <v>#REF!</v>
      </c>
      <c r="E1103" s="31">
        <v>0.54020000000000001</v>
      </c>
      <c r="I1103" s="11" t="e">
        <f>+VLOOKUP(B1103,#REF!,7,FALSE)</f>
        <v>#REF!</v>
      </c>
      <c r="J1103" s="12" t="str">
        <f t="shared" si="52"/>
        <v/>
      </c>
      <c r="K1103" s="12" t="str">
        <f t="shared" si="53"/>
        <v/>
      </c>
      <c r="L1103" s="12" t="e">
        <f t="shared" si="51"/>
        <v>#VALUE!</v>
      </c>
    </row>
    <row r="1104" spans="1:12" ht="24" customHeight="1" x14ac:dyDescent="0.25">
      <c r="A1104" s="15">
        <v>43336</v>
      </c>
      <c r="B1104" s="15" t="s">
        <v>488</v>
      </c>
      <c r="C1104" s="27">
        <v>5088</v>
      </c>
      <c r="D1104" s="11" t="e">
        <f>VLOOKUP(B1104,#REF!,7,FALSE)</f>
        <v>#REF!</v>
      </c>
      <c r="E1104" s="31">
        <v>1.8768</v>
      </c>
      <c r="I1104" s="11" t="e">
        <f>+VLOOKUP(B1104,#REF!,7,FALSE)</f>
        <v>#REF!</v>
      </c>
      <c r="J1104" s="12" t="str">
        <f t="shared" si="52"/>
        <v/>
      </c>
      <c r="K1104" s="12" t="str">
        <f t="shared" si="53"/>
        <v/>
      </c>
      <c r="L1104" s="12" t="e">
        <f t="shared" si="51"/>
        <v>#VALUE!</v>
      </c>
    </row>
    <row r="1105" spans="1:12" ht="24" customHeight="1" x14ac:dyDescent="0.25">
      <c r="A1105" s="15">
        <v>43339</v>
      </c>
      <c r="B1105" s="15" t="s">
        <v>346</v>
      </c>
      <c r="C1105" s="27">
        <v>1038</v>
      </c>
      <c r="D1105" s="11" t="e">
        <f>VLOOKUP(B1105,#REF!,7,FALSE)</f>
        <v>#REF!</v>
      </c>
      <c r="E1105" s="31">
        <v>1.4153</v>
      </c>
      <c r="I1105" s="11" t="e">
        <f>+VLOOKUP(B1105,#REF!,7,FALSE)</f>
        <v>#REF!</v>
      </c>
      <c r="J1105" s="12" t="str">
        <f t="shared" si="52"/>
        <v/>
      </c>
      <c r="K1105" s="12" t="str">
        <f t="shared" si="53"/>
        <v/>
      </c>
      <c r="L1105" s="12" t="e">
        <f t="shared" si="51"/>
        <v>#VALUE!</v>
      </c>
    </row>
    <row r="1106" spans="1:12" ht="24" customHeight="1" x14ac:dyDescent="0.25">
      <c r="A1106" s="15">
        <v>43339</v>
      </c>
      <c r="B1106" s="15" t="s">
        <v>360</v>
      </c>
      <c r="C1106" s="27">
        <v>822</v>
      </c>
      <c r="D1106" s="11" t="e">
        <f>VLOOKUP(B1106,#REF!,7,FALSE)</f>
        <v>#REF!</v>
      </c>
      <c r="E1106" s="31">
        <v>6.5513000000000003</v>
      </c>
      <c r="I1106" s="11" t="e">
        <f>+VLOOKUP(B1106,#REF!,7,FALSE)</f>
        <v>#REF!</v>
      </c>
      <c r="J1106" s="12" t="str">
        <f t="shared" si="52"/>
        <v/>
      </c>
      <c r="K1106" s="12" t="str">
        <f t="shared" si="53"/>
        <v/>
      </c>
      <c r="L1106" s="12" t="e">
        <f t="shared" si="51"/>
        <v>#VALUE!</v>
      </c>
    </row>
    <row r="1107" spans="1:12" ht="24" customHeight="1" x14ac:dyDescent="0.25">
      <c r="A1107" s="15">
        <v>43339</v>
      </c>
      <c r="B1107" s="15" t="s">
        <v>365</v>
      </c>
      <c r="C1107" s="27">
        <v>207</v>
      </c>
      <c r="D1107" s="11" t="e">
        <f>VLOOKUP(B1107,#REF!,7,FALSE)</f>
        <v>#REF!</v>
      </c>
      <c r="E1107" s="31">
        <v>3.6892999999999998</v>
      </c>
      <c r="I1107" s="11" t="e">
        <f>+VLOOKUP(B1107,#REF!,7,FALSE)</f>
        <v>#REF!</v>
      </c>
      <c r="J1107" s="12" t="str">
        <f t="shared" si="52"/>
        <v/>
      </c>
      <c r="K1107" s="12" t="str">
        <f t="shared" si="53"/>
        <v/>
      </c>
      <c r="L1107" s="12" t="e">
        <f t="shared" si="51"/>
        <v>#VALUE!</v>
      </c>
    </row>
    <row r="1108" spans="1:12" ht="24" customHeight="1" x14ac:dyDescent="0.25">
      <c r="A1108" s="15">
        <v>43339</v>
      </c>
      <c r="B1108" s="15" t="s">
        <v>375</v>
      </c>
      <c r="C1108" s="27">
        <v>23832</v>
      </c>
      <c r="D1108" s="11" t="e">
        <f>VLOOKUP(B1108,#REF!,7,FALSE)</f>
        <v>#REF!</v>
      </c>
      <c r="E1108" s="31">
        <v>0.54459999999999997</v>
      </c>
      <c r="I1108" s="11" t="e">
        <f>+VLOOKUP(B1108,#REF!,7,FALSE)</f>
        <v>#REF!</v>
      </c>
      <c r="J1108" s="12" t="str">
        <f t="shared" si="52"/>
        <v/>
      </c>
      <c r="K1108" s="12" t="str">
        <f t="shared" si="53"/>
        <v/>
      </c>
      <c r="L1108" s="12" t="e">
        <f t="shared" si="51"/>
        <v>#VALUE!</v>
      </c>
    </row>
    <row r="1109" spans="1:12" ht="24" customHeight="1" x14ac:dyDescent="0.25">
      <c r="A1109" s="15">
        <v>43339</v>
      </c>
      <c r="B1109" s="15" t="s">
        <v>377</v>
      </c>
      <c r="C1109" s="27">
        <v>9504</v>
      </c>
      <c r="D1109" s="11" t="e">
        <f>VLOOKUP(B1109,#REF!,7,FALSE)</f>
        <v>#REF!</v>
      </c>
      <c r="E1109" s="31">
        <v>0.47660000000000002</v>
      </c>
      <c r="I1109" s="11" t="e">
        <f>+VLOOKUP(B1109,#REF!,7,FALSE)</f>
        <v>#REF!</v>
      </c>
      <c r="J1109" s="12" t="str">
        <f t="shared" si="52"/>
        <v/>
      </c>
      <c r="K1109" s="12" t="str">
        <f t="shared" si="53"/>
        <v/>
      </c>
      <c r="L1109" s="12" t="e">
        <f t="shared" si="51"/>
        <v>#VALUE!</v>
      </c>
    </row>
    <row r="1110" spans="1:12" ht="24" customHeight="1" x14ac:dyDescent="0.25">
      <c r="A1110" s="15">
        <v>43339</v>
      </c>
      <c r="B1110" s="15" t="s">
        <v>403</v>
      </c>
      <c r="C1110" s="27">
        <v>3984</v>
      </c>
      <c r="D1110" s="11" t="e">
        <f>VLOOKUP(B1110,#REF!,7,FALSE)</f>
        <v>#REF!</v>
      </c>
      <c r="E1110" s="31">
        <v>2.1029</v>
      </c>
      <c r="I1110" s="11" t="e">
        <f>+VLOOKUP(B1110,#REF!,7,FALSE)</f>
        <v>#REF!</v>
      </c>
      <c r="J1110" s="12" t="str">
        <f t="shared" si="52"/>
        <v/>
      </c>
      <c r="K1110" s="12" t="str">
        <f t="shared" si="53"/>
        <v/>
      </c>
      <c r="L1110" s="12" t="e">
        <f t="shared" si="51"/>
        <v>#VALUE!</v>
      </c>
    </row>
    <row r="1111" spans="1:12" ht="24" customHeight="1" x14ac:dyDescent="0.25">
      <c r="A1111" s="15">
        <v>43339</v>
      </c>
      <c r="B1111" s="15" t="s">
        <v>230</v>
      </c>
      <c r="C1111" s="27">
        <v>17314</v>
      </c>
      <c r="D1111" s="11" t="e">
        <f>VLOOKUP(B1111,#REF!,7,FALSE)</f>
        <v>#REF!</v>
      </c>
      <c r="E1111" s="31">
        <v>0.5927</v>
      </c>
      <c r="I1111" s="11" t="e">
        <f>+VLOOKUP(B1111,#REF!,7,FALSE)</f>
        <v>#REF!</v>
      </c>
      <c r="J1111" s="12" t="str">
        <f t="shared" si="52"/>
        <v/>
      </c>
      <c r="K1111" s="12" t="str">
        <f t="shared" si="53"/>
        <v/>
      </c>
      <c r="L1111" s="12" t="e">
        <f t="shared" si="51"/>
        <v>#VALUE!</v>
      </c>
    </row>
    <row r="1112" spans="1:12" ht="24" customHeight="1" x14ac:dyDescent="0.25">
      <c r="A1112" s="15">
        <v>43339</v>
      </c>
      <c r="B1112" s="15" t="s">
        <v>442</v>
      </c>
      <c r="C1112" s="27">
        <v>10794</v>
      </c>
      <c r="D1112" s="11" t="e">
        <f>VLOOKUP(B1112,#REF!,7,FALSE)</f>
        <v>#REF!</v>
      </c>
      <c r="E1112" s="31">
        <v>0.64559999999999995</v>
      </c>
      <c r="I1112" s="11" t="e">
        <f>+VLOOKUP(B1112,#REF!,7,FALSE)</f>
        <v>#REF!</v>
      </c>
      <c r="J1112" s="12" t="str">
        <f t="shared" si="52"/>
        <v/>
      </c>
      <c r="K1112" s="12" t="str">
        <f t="shared" si="53"/>
        <v/>
      </c>
      <c r="L1112" s="12" t="e">
        <f t="shared" si="51"/>
        <v>#VALUE!</v>
      </c>
    </row>
    <row r="1113" spans="1:12" ht="24" customHeight="1" x14ac:dyDescent="0.25">
      <c r="A1113" s="15">
        <v>43339</v>
      </c>
      <c r="B1113" s="15" t="s">
        <v>489</v>
      </c>
      <c r="C1113" s="27">
        <v>12708</v>
      </c>
      <c r="D1113" s="11" t="e">
        <f>VLOOKUP(B1113,#REF!,7,FALSE)</f>
        <v>#REF!</v>
      </c>
      <c r="E1113" s="31">
        <v>0.64059999999999995</v>
      </c>
      <c r="I1113" s="11" t="e">
        <f>+VLOOKUP(B1113,#REF!,7,FALSE)</f>
        <v>#REF!</v>
      </c>
      <c r="J1113" s="12" t="str">
        <f t="shared" si="52"/>
        <v/>
      </c>
      <c r="K1113" s="12" t="str">
        <f t="shared" si="53"/>
        <v/>
      </c>
      <c r="L1113" s="12" t="e">
        <f t="shared" si="51"/>
        <v>#VALUE!</v>
      </c>
    </row>
    <row r="1114" spans="1:12" ht="24" customHeight="1" x14ac:dyDescent="0.25">
      <c r="A1114" s="15">
        <v>43340</v>
      </c>
      <c r="B1114" s="15" t="s">
        <v>361</v>
      </c>
      <c r="C1114" s="27">
        <v>527</v>
      </c>
      <c r="D1114" s="11" t="e">
        <f>VLOOKUP(B1114,#REF!,7,FALSE)</f>
        <v>#REF!</v>
      </c>
      <c r="E1114" s="31">
        <v>7.3939000000000004</v>
      </c>
      <c r="I1114" s="11" t="e">
        <f>+VLOOKUP(B1114,#REF!,7,FALSE)</f>
        <v>#REF!</v>
      </c>
      <c r="J1114" s="12" t="str">
        <f t="shared" si="52"/>
        <v/>
      </c>
      <c r="K1114" s="12" t="str">
        <f t="shared" si="53"/>
        <v/>
      </c>
      <c r="L1114" s="12" t="e">
        <f t="shared" si="51"/>
        <v>#VALUE!</v>
      </c>
    </row>
    <row r="1115" spans="1:12" ht="24" customHeight="1" x14ac:dyDescent="0.25">
      <c r="A1115" s="15">
        <v>43340</v>
      </c>
      <c r="B1115" s="15" t="s">
        <v>363</v>
      </c>
      <c r="C1115" s="27">
        <v>4920</v>
      </c>
      <c r="D1115" s="11" t="e">
        <f>VLOOKUP(B1115,#REF!,7,FALSE)</f>
        <v>#REF!</v>
      </c>
      <c r="E1115" s="31">
        <v>1.5076000000000001</v>
      </c>
      <c r="I1115" s="11" t="e">
        <f>+VLOOKUP(B1115,#REF!,7,FALSE)</f>
        <v>#REF!</v>
      </c>
      <c r="J1115" s="12" t="str">
        <f t="shared" si="52"/>
        <v/>
      </c>
      <c r="K1115" s="12" t="str">
        <f t="shared" si="53"/>
        <v/>
      </c>
      <c r="L1115" s="12" t="e">
        <f t="shared" si="51"/>
        <v>#VALUE!</v>
      </c>
    </row>
    <row r="1116" spans="1:12" ht="24" customHeight="1" x14ac:dyDescent="0.25">
      <c r="A1116" s="15">
        <v>43340</v>
      </c>
      <c r="B1116" s="15" t="s">
        <v>376</v>
      </c>
      <c r="C1116" s="27">
        <v>15864</v>
      </c>
      <c r="D1116" s="11" t="e">
        <f>VLOOKUP(B1116,#REF!,7,FALSE)</f>
        <v>#REF!</v>
      </c>
      <c r="E1116" s="31">
        <v>0.58109999999999995</v>
      </c>
      <c r="I1116" s="11" t="e">
        <f>+VLOOKUP(B1116,#REF!,7,FALSE)</f>
        <v>#REF!</v>
      </c>
      <c r="J1116" s="12" t="str">
        <f t="shared" si="52"/>
        <v/>
      </c>
      <c r="K1116" s="12" t="str">
        <f t="shared" si="53"/>
        <v/>
      </c>
      <c r="L1116" s="12" t="e">
        <f t="shared" si="51"/>
        <v>#VALUE!</v>
      </c>
    </row>
    <row r="1117" spans="1:12" ht="24" customHeight="1" x14ac:dyDescent="0.25">
      <c r="A1117" s="15">
        <v>43340</v>
      </c>
      <c r="B1117" s="15" t="s">
        <v>193</v>
      </c>
      <c r="C1117" s="27">
        <v>138</v>
      </c>
      <c r="D1117" s="11" t="e">
        <f>VLOOKUP(B1117,#REF!,7,FALSE)</f>
        <v>#REF!</v>
      </c>
      <c r="E1117" s="31" t="s">
        <v>11</v>
      </c>
      <c r="I1117" s="11" t="e">
        <f>+VLOOKUP(B1117,#REF!,7,FALSE)</f>
        <v>#REF!</v>
      </c>
      <c r="J1117" s="12" t="str">
        <f t="shared" si="52"/>
        <v/>
      </c>
      <c r="K1117" s="12" t="str">
        <f t="shared" si="53"/>
        <v/>
      </c>
      <c r="L1117" s="12" t="e">
        <f t="shared" si="51"/>
        <v>#VALUE!</v>
      </c>
    </row>
    <row r="1118" spans="1:12" ht="24" customHeight="1" x14ac:dyDescent="0.25">
      <c r="A1118" s="15">
        <v>43340</v>
      </c>
      <c r="B1118" s="15" t="s">
        <v>400</v>
      </c>
      <c r="C1118" s="27">
        <v>4122</v>
      </c>
      <c r="D1118" s="11" t="e">
        <f>VLOOKUP(B1118,#REF!,7,FALSE)</f>
        <v>#REF!</v>
      </c>
      <c r="E1118" s="31">
        <v>1.7665</v>
      </c>
      <c r="I1118" s="11" t="e">
        <f>+VLOOKUP(B1118,#REF!,7,FALSE)</f>
        <v>#REF!</v>
      </c>
      <c r="J1118" s="12" t="str">
        <f t="shared" si="52"/>
        <v/>
      </c>
      <c r="K1118" s="12" t="str">
        <f t="shared" si="53"/>
        <v/>
      </c>
      <c r="L1118" s="12" t="e">
        <f t="shared" si="51"/>
        <v>#VALUE!</v>
      </c>
    </row>
    <row r="1119" spans="1:12" ht="24" customHeight="1" x14ac:dyDescent="0.25">
      <c r="A1119" s="15">
        <v>43340</v>
      </c>
      <c r="B1119" s="15" t="s">
        <v>406</v>
      </c>
      <c r="C1119" s="27">
        <v>4812</v>
      </c>
      <c r="D1119" s="11" t="e">
        <f>VLOOKUP(B1119,#REF!,7,FALSE)</f>
        <v>#REF!</v>
      </c>
      <c r="E1119" s="31">
        <v>0.80430000000000001</v>
      </c>
      <c r="I1119" s="11" t="e">
        <f>+VLOOKUP(B1119,#REF!,7,FALSE)</f>
        <v>#REF!</v>
      </c>
      <c r="J1119" s="12" t="str">
        <f t="shared" si="52"/>
        <v/>
      </c>
      <c r="K1119" s="12" t="str">
        <f t="shared" si="53"/>
        <v/>
      </c>
      <c r="L1119" s="12" t="e">
        <f t="shared" si="51"/>
        <v>#VALUE!</v>
      </c>
    </row>
    <row r="1120" spans="1:12" ht="24" customHeight="1" x14ac:dyDescent="0.25">
      <c r="A1120" s="15">
        <v>43340</v>
      </c>
      <c r="B1120" s="15" t="s">
        <v>409</v>
      </c>
      <c r="C1120" s="27">
        <v>942</v>
      </c>
      <c r="D1120" s="11" t="e">
        <f>VLOOKUP(B1120,#REF!,7,FALSE)</f>
        <v>#REF!</v>
      </c>
      <c r="E1120" s="31">
        <v>1.2313000000000001</v>
      </c>
      <c r="I1120" s="11" t="e">
        <f>+VLOOKUP(B1120,#REF!,7,FALSE)</f>
        <v>#REF!</v>
      </c>
      <c r="J1120" s="12" t="str">
        <f t="shared" si="52"/>
        <v/>
      </c>
      <c r="K1120" s="12" t="str">
        <f t="shared" si="53"/>
        <v/>
      </c>
      <c r="L1120" s="12" t="e">
        <f t="shared" si="51"/>
        <v>#VALUE!</v>
      </c>
    </row>
    <row r="1121" spans="1:12" ht="24" customHeight="1" x14ac:dyDescent="0.25">
      <c r="A1121" s="15">
        <v>43340</v>
      </c>
      <c r="B1121" s="15" t="s">
        <v>412</v>
      </c>
      <c r="C1121" s="27">
        <v>5012</v>
      </c>
      <c r="D1121" s="11" t="e">
        <f>VLOOKUP(B1121,#REF!,7,FALSE)</f>
        <v>#REF!</v>
      </c>
      <c r="E1121" s="31">
        <v>0.4113</v>
      </c>
      <c r="I1121" s="11" t="e">
        <f>+VLOOKUP(B1121,#REF!,7,FALSE)</f>
        <v>#REF!</v>
      </c>
      <c r="J1121" s="12" t="str">
        <f t="shared" si="52"/>
        <v/>
      </c>
      <c r="K1121" s="12" t="str">
        <f t="shared" si="53"/>
        <v/>
      </c>
      <c r="L1121" s="12" t="e">
        <f t="shared" si="51"/>
        <v>#VALUE!</v>
      </c>
    </row>
    <row r="1122" spans="1:12" ht="24" customHeight="1" x14ac:dyDescent="0.25">
      <c r="A1122" s="15">
        <v>43340</v>
      </c>
      <c r="B1122" s="15" t="s">
        <v>491</v>
      </c>
      <c r="C1122" s="27">
        <v>4512</v>
      </c>
      <c r="D1122" s="11" t="e">
        <f>VLOOKUP(B1122,#REF!,7,FALSE)</f>
        <v>#REF!</v>
      </c>
      <c r="E1122" s="31">
        <v>0.73770000000000002</v>
      </c>
      <c r="I1122" s="11" t="e">
        <f>+VLOOKUP(B1122,#REF!,7,FALSE)</f>
        <v>#REF!</v>
      </c>
      <c r="J1122" s="12" t="str">
        <f t="shared" si="52"/>
        <v/>
      </c>
      <c r="K1122" s="12" t="str">
        <f t="shared" si="53"/>
        <v/>
      </c>
      <c r="L1122" s="12" t="e">
        <f t="shared" si="51"/>
        <v>#VALUE!</v>
      </c>
    </row>
    <row r="1123" spans="1:12" ht="24" customHeight="1" x14ac:dyDescent="0.25">
      <c r="A1123" s="15">
        <v>43340</v>
      </c>
      <c r="B1123" s="15" t="s">
        <v>492</v>
      </c>
      <c r="C1123" s="27">
        <v>8142</v>
      </c>
      <c r="D1123" s="11" t="e">
        <f>VLOOKUP(B1123,#REF!,7,FALSE)</f>
        <v>#REF!</v>
      </c>
      <c r="E1123" s="31">
        <v>0.97230000000000005</v>
      </c>
      <c r="I1123" s="11" t="e">
        <f>+VLOOKUP(B1123,#REF!,7,FALSE)</f>
        <v>#REF!</v>
      </c>
      <c r="J1123" s="12" t="str">
        <f t="shared" si="52"/>
        <v/>
      </c>
      <c r="K1123" s="12" t="str">
        <f t="shared" si="53"/>
        <v/>
      </c>
      <c r="L1123" s="12" t="e">
        <f t="shared" si="51"/>
        <v>#VALUE!</v>
      </c>
    </row>
    <row r="1124" spans="1:12" ht="24" customHeight="1" x14ac:dyDescent="0.25">
      <c r="A1124" s="15">
        <v>43341</v>
      </c>
      <c r="B1124" s="15" t="s">
        <v>34</v>
      </c>
      <c r="C1124" s="27">
        <v>2007</v>
      </c>
      <c r="D1124" s="11" t="e">
        <f>VLOOKUP(B1124,#REF!,7,FALSE)</f>
        <v>#REF!</v>
      </c>
      <c r="E1124" s="31">
        <v>1.4358</v>
      </c>
      <c r="I1124" s="11" t="e">
        <f>+VLOOKUP(B1124,#REF!,7,FALSE)</f>
        <v>#REF!</v>
      </c>
      <c r="J1124" s="12" t="str">
        <f t="shared" si="52"/>
        <v/>
      </c>
      <c r="K1124" s="12" t="str">
        <f t="shared" si="53"/>
        <v/>
      </c>
      <c r="L1124" s="12" t="e">
        <f t="shared" si="51"/>
        <v>#VALUE!</v>
      </c>
    </row>
    <row r="1125" spans="1:12" ht="24" customHeight="1" x14ac:dyDescent="0.25">
      <c r="A1125" s="15">
        <v>43341</v>
      </c>
      <c r="B1125" s="15" t="s">
        <v>297</v>
      </c>
      <c r="C1125" s="27">
        <v>13752</v>
      </c>
      <c r="D1125" s="11" t="e">
        <f>VLOOKUP(B1125,#REF!,7,FALSE)</f>
        <v>#REF!</v>
      </c>
      <c r="E1125" s="31">
        <v>0.52429999999999999</v>
      </c>
      <c r="I1125" s="11" t="e">
        <f>+VLOOKUP(B1125,#REF!,7,FALSE)</f>
        <v>#REF!</v>
      </c>
      <c r="J1125" s="12" t="str">
        <f t="shared" si="52"/>
        <v/>
      </c>
      <c r="K1125" s="12" t="str">
        <f t="shared" si="53"/>
        <v/>
      </c>
      <c r="L1125" s="12" t="e">
        <f t="shared" si="51"/>
        <v>#VALUE!</v>
      </c>
    </row>
    <row r="1126" spans="1:12" ht="24" customHeight="1" x14ac:dyDescent="0.25">
      <c r="A1126" s="15">
        <v>43341</v>
      </c>
      <c r="B1126" s="15" t="s">
        <v>298</v>
      </c>
      <c r="C1126" s="27">
        <v>9120</v>
      </c>
      <c r="D1126" s="11" t="e">
        <f>VLOOKUP(B1126,#REF!,7,FALSE)</f>
        <v>#REF!</v>
      </c>
      <c r="E1126" s="31">
        <v>0.24629999999999999</v>
      </c>
      <c r="I1126" s="11" t="e">
        <f>+VLOOKUP(B1126,#REF!,7,FALSE)</f>
        <v>#REF!</v>
      </c>
      <c r="J1126" s="12" t="str">
        <f t="shared" si="52"/>
        <v/>
      </c>
      <c r="K1126" s="12" t="str">
        <f t="shared" si="53"/>
        <v/>
      </c>
      <c r="L1126" s="12" t="e">
        <f t="shared" si="51"/>
        <v>#VALUE!</v>
      </c>
    </row>
    <row r="1127" spans="1:12" ht="24" customHeight="1" x14ac:dyDescent="0.25">
      <c r="A1127" s="15">
        <v>43341</v>
      </c>
      <c r="B1127" s="15" t="s">
        <v>333</v>
      </c>
      <c r="C1127" s="27">
        <v>11376</v>
      </c>
      <c r="D1127" s="11" t="e">
        <f>VLOOKUP(B1127,#REF!,7,FALSE)</f>
        <v>#REF!</v>
      </c>
      <c r="E1127" s="31">
        <v>0.4698</v>
      </c>
      <c r="I1127" s="11" t="e">
        <f>+VLOOKUP(B1127,#REF!,7,FALSE)</f>
        <v>#REF!</v>
      </c>
      <c r="J1127" s="12" t="str">
        <f t="shared" si="52"/>
        <v/>
      </c>
      <c r="K1127" s="12" t="str">
        <f t="shared" si="53"/>
        <v/>
      </c>
      <c r="L1127" s="12" t="e">
        <f t="shared" si="51"/>
        <v>#VALUE!</v>
      </c>
    </row>
    <row r="1128" spans="1:12" ht="24" customHeight="1" x14ac:dyDescent="0.25">
      <c r="A1128" s="15">
        <v>43341</v>
      </c>
      <c r="B1128" s="15" t="s">
        <v>334</v>
      </c>
      <c r="C1128" s="27">
        <v>4768</v>
      </c>
      <c r="D1128" s="11" t="e">
        <f>VLOOKUP(B1128,#REF!,7,FALSE)</f>
        <v>#REF!</v>
      </c>
      <c r="E1128" s="31">
        <v>0.22009999999999999</v>
      </c>
      <c r="I1128" s="11" t="e">
        <f>+VLOOKUP(B1128,#REF!,7,FALSE)</f>
        <v>#REF!</v>
      </c>
      <c r="J1128" s="12" t="str">
        <f t="shared" si="52"/>
        <v/>
      </c>
      <c r="K1128" s="12" t="str">
        <f t="shared" si="53"/>
        <v/>
      </c>
      <c r="L1128" s="12" t="e">
        <f t="shared" si="51"/>
        <v>#VALUE!</v>
      </c>
    </row>
    <row r="1129" spans="1:12" ht="24" customHeight="1" x14ac:dyDescent="0.25">
      <c r="A1129" s="15">
        <v>43341</v>
      </c>
      <c r="B1129" s="15" t="s">
        <v>152</v>
      </c>
      <c r="C1129" s="27">
        <v>1680</v>
      </c>
      <c r="D1129" s="11" t="e">
        <f>VLOOKUP(B1129,#REF!,7,FALSE)</f>
        <v>#REF!</v>
      </c>
      <c r="E1129" s="31">
        <v>0.59919999999999995</v>
      </c>
      <c r="I1129" s="11" t="e">
        <f>+VLOOKUP(B1129,#REF!,7,FALSE)</f>
        <v>#REF!</v>
      </c>
      <c r="J1129" s="12" t="str">
        <f t="shared" si="52"/>
        <v/>
      </c>
      <c r="K1129" s="12" t="str">
        <f t="shared" si="53"/>
        <v/>
      </c>
      <c r="L1129" s="12" t="e">
        <f t="shared" si="51"/>
        <v>#VALUE!</v>
      </c>
    </row>
    <row r="1130" spans="1:12" ht="24" customHeight="1" x14ac:dyDescent="0.25">
      <c r="A1130" s="15">
        <v>43341</v>
      </c>
      <c r="B1130" s="15" t="s">
        <v>153</v>
      </c>
      <c r="C1130" s="27">
        <v>1464</v>
      </c>
      <c r="D1130" s="11" t="e">
        <f>VLOOKUP(B1130,#REF!,7,FALSE)</f>
        <v>#REF!</v>
      </c>
      <c r="E1130" s="31">
        <v>0.73319999999999996</v>
      </c>
      <c r="I1130" s="11" t="e">
        <f>+VLOOKUP(B1130,#REF!,7,FALSE)</f>
        <v>#REF!</v>
      </c>
      <c r="J1130" s="12" t="str">
        <f t="shared" si="52"/>
        <v/>
      </c>
      <c r="K1130" s="12" t="str">
        <f t="shared" si="53"/>
        <v/>
      </c>
      <c r="L1130" s="12" t="e">
        <f t="shared" si="51"/>
        <v>#VALUE!</v>
      </c>
    </row>
    <row r="1131" spans="1:12" ht="24" customHeight="1" x14ac:dyDescent="0.25">
      <c r="A1131" s="15">
        <v>43341</v>
      </c>
      <c r="B1131" s="15" t="s">
        <v>363</v>
      </c>
      <c r="C1131" s="27">
        <v>5310</v>
      </c>
      <c r="D1131" s="11" t="e">
        <f>VLOOKUP(B1131,#REF!,7,FALSE)</f>
        <v>#REF!</v>
      </c>
      <c r="E1131" s="31">
        <v>1.506</v>
      </c>
      <c r="I1131" s="11" t="e">
        <f>+VLOOKUP(B1131,#REF!,7,FALSE)</f>
        <v>#REF!</v>
      </c>
      <c r="J1131" s="12" t="str">
        <f t="shared" si="52"/>
        <v/>
      </c>
      <c r="K1131" s="12" t="str">
        <f t="shared" si="53"/>
        <v/>
      </c>
      <c r="L1131" s="12" t="e">
        <f t="shared" si="51"/>
        <v>#VALUE!</v>
      </c>
    </row>
    <row r="1132" spans="1:12" ht="24" customHeight="1" x14ac:dyDescent="0.25">
      <c r="A1132" s="15">
        <v>43341</v>
      </c>
      <c r="B1132" s="15" t="s">
        <v>407</v>
      </c>
      <c r="C1132" s="27">
        <v>2532</v>
      </c>
      <c r="D1132" s="11" t="e">
        <f>VLOOKUP(B1132,#REF!,7,FALSE)</f>
        <v>#REF!</v>
      </c>
      <c r="E1132" s="31">
        <v>0.88160000000000005</v>
      </c>
      <c r="I1132" s="11" t="e">
        <f>+VLOOKUP(B1132,#REF!,7,FALSE)</f>
        <v>#REF!</v>
      </c>
      <c r="J1132" s="12" t="str">
        <f t="shared" si="52"/>
        <v/>
      </c>
      <c r="K1132" s="12" t="str">
        <f t="shared" si="53"/>
        <v/>
      </c>
      <c r="L1132" s="12" t="e">
        <f t="shared" si="51"/>
        <v>#VALUE!</v>
      </c>
    </row>
    <row r="1133" spans="1:12" ht="24" customHeight="1" x14ac:dyDescent="0.25">
      <c r="A1133" s="15">
        <v>43341</v>
      </c>
      <c r="B1133" s="15" t="s">
        <v>408</v>
      </c>
      <c r="C1133" s="27">
        <v>450</v>
      </c>
      <c r="D1133" s="11" t="e">
        <f>VLOOKUP(B1133,#REF!,7,FALSE)</f>
        <v>#REF!</v>
      </c>
      <c r="E1133" s="31">
        <v>2.2791000000000001</v>
      </c>
      <c r="I1133" s="11" t="e">
        <f>+VLOOKUP(B1133,#REF!,7,FALSE)</f>
        <v>#REF!</v>
      </c>
      <c r="J1133" s="12" t="str">
        <f t="shared" si="52"/>
        <v/>
      </c>
      <c r="K1133" s="12" t="str">
        <f t="shared" si="53"/>
        <v/>
      </c>
      <c r="L1133" s="12" t="e">
        <f t="shared" si="51"/>
        <v>#VALUE!</v>
      </c>
    </row>
    <row r="1134" spans="1:12" ht="24" customHeight="1" x14ac:dyDescent="0.25">
      <c r="A1134" s="15">
        <v>43341</v>
      </c>
      <c r="B1134" s="15" t="s">
        <v>413</v>
      </c>
      <c r="C1134" s="27">
        <v>4760</v>
      </c>
      <c r="D1134" s="11" t="e">
        <f>VLOOKUP(B1134,#REF!,7,FALSE)</f>
        <v>#REF!</v>
      </c>
      <c r="E1134" s="31">
        <v>0.44390000000000002</v>
      </c>
      <c r="I1134" s="11" t="e">
        <f>+VLOOKUP(B1134,#REF!,7,FALSE)</f>
        <v>#REF!</v>
      </c>
      <c r="J1134" s="12" t="str">
        <f t="shared" si="52"/>
        <v/>
      </c>
      <c r="K1134" s="12" t="str">
        <f t="shared" si="53"/>
        <v/>
      </c>
      <c r="L1134" s="12" t="e">
        <f t="shared" ref="L1134:L1197" si="54">J1134-K1134</f>
        <v>#VALUE!</v>
      </c>
    </row>
    <row r="1135" spans="1:12" ht="24" customHeight="1" x14ac:dyDescent="0.25">
      <c r="A1135" s="15">
        <v>43341</v>
      </c>
      <c r="B1135" s="15" t="s">
        <v>212</v>
      </c>
      <c r="C1135" s="27">
        <v>7956</v>
      </c>
      <c r="D1135" s="11" t="e">
        <f>VLOOKUP(B1135,#REF!,7,FALSE)</f>
        <v>#REF!</v>
      </c>
      <c r="E1135" s="31">
        <v>1.5129999999999999</v>
      </c>
      <c r="I1135" s="11" t="e">
        <f>+VLOOKUP(B1135,#REF!,7,FALSE)</f>
        <v>#REF!</v>
      </c>
      <c r="J1135" s="12" t="str">
        <f t="shared" si="52"/>
        <v/>
      </c>
      <c r="K1135" s="12" t="str">
        <f t="shared" si="53"/>
        <v/>
      </c>
      <c r="L1135" s="12" t="e">
        <f t="shared" si="54"/>
        <v>#VALUE!</v>
      </c>
    </row>
    <row r="1136" spans="1:12" ht="24" customHeight="1" x14ac:dyDescent="0.25">
      <c r="A1136" s="15">
        <v>43341</v>
      </c>
      <c r="B1136" s="15" t="s">
        <v>493</v>
      </c>
      <c r="C1136" s="27">
        <v>11778</v>
      </c>
      <c r="D1136" s="11" t="e">
        <f>VLOOKUP(B1136,#REF!,7,FALSE)</f>
        <v>#REF!</v>
      </c>
      <c r="E1136" s="31">
        <v>0.79890000000000005</v>
      </c>
      <c r="I1136" s="11" t="e">
        <f>+VLOOKUP(B1136,#REF!,7,FALSE)</f>
        <v>#REF!</v>
      </c>
      <c r="J1136" s="12" t="str">
        <f t="shared" si="52"/>
        <v/>
      </c>
      <c r="K1136" s="12" t="str">
        <f t="shared" si="53"/>
        <v/>
      </c>
      <c r="L1136" s="12" t="e">
        <f t="shared" si="54"/>
        <v>#VALUE!</v>
      </c>
    </row>
    <row r="1137" spans="1:12" ht="24" customHeight="1" x14ac:dyDescent="0.25">
      <c r="A1137" s="15">
        <v>43342</v>
      </c>
      <c r="B1137" s="15" t="s">
        <v>301</v>
      </c>
      <c r="C1137" s="27">
        <v>3984</v>
      </c>
      <c r="D1137" s="11" t="e">
        <f>VLOOKUP(B1137,#REF!,7,FALSE)</f>
        <v>#REF!</v>
      </c>
      <c r="E1137" s="31">
        <v>0.41789999999999999</v>
      </c>
      <c r="I1137" s="11" t="e">
        <f>+VLOOKUP(B1137,#REF!,7,FALSE)</f>
        <v>#REF!</v>
      </c>
      <c r="J1137" s="12" t="str">
        <f t="shared" si="52"/>
        <v/>
      </c>
      <c r="K1137" s="12" t="str">
        <f t="shared" si="53"/>
        <v/>
      </c>
      <c r="L1137" s="12" t="e">
        <f t="shared" si="54"/>
        <v>#VALUE!</v>
      </c>
    </row>
    <row r="1138" spans="1:12" ht="24" customHeight="1" x14ac:dyDescent="0.25">
      <c r="A1138" s="15">
        <v>43342</v>
      </c>
      <c r="B1138" s="15" t="s">
        <v>325</v>
      </c>
      <c r="C1138" s="27">
        <v>7032</v>
      </c>
      <c r="D1138" s="11" t="e">
        <f>VLOOKUP(B1138,#REF!,7,FALSE)</f>
        <v>#REF!</v>
      </c>
      <c r="E1138" s="31">
        <v>0.56159999999999999</v>
      </c>
      <c r="I1138" s="11" t="e">
        <f>+VLOOKUP(B1138,#REF!,7,FALSE)</f>
        <v>#REF!</v>
      </c>
      <c r="J1138" s="12" t="str">
        <f t="shared" si="52"/>
        <v/>
      </c>
      <c r="K1138" s="12" t="str">
        <f t="shared" si="53"/>
        <v/>
      </c>
      <c r="L1138" s="12" t="e">
        <f t="shared" si="54"/>
        <v>#VALUE!</v>
      </c>
    </row>
    <row r="1139" spans="1:12" ht="24" customHeight="1" x14ac:dyDescent="0.25">
      <c r="A1139" s="15">
        <v>43342</v>
      </c>
      <c r="B1139" s="15" t="s">
        <v>326</v>
      </c>
      <c r="C1139" s="27">
        <v>5312</v>
      </c>
      <c r="D1139" s="11" t="e">
        <f>VLOOKUP(B1139,#REF!,7,FALSE)</f>
        <v>#REF!</v>
      </c>
      <c r="E1139" s="31">
        <v>0.26629999999999998</v>
      </c>
      <c r="I1139" s="11" t="e">
        <f>+VLOOKUP(B1139,#REF!,7,FALSE)</f>
        <v>#REF!</v>
      </c>
      <c r="J1139" s="12" t="str">
        <f t="shared" si="52"/>
        <v/>
      </c>
      <c r="K1139" s="12" t="str">
        <f t="shared" si="53"/>
        <v/>
      </c>
      <c r="L1139" s="12" t="e">
        <f t="shared" si="54"/>
        <v>#VALUE!</v>
      </c>
    </row>
    <row r="1140" spans="1:12" ht="24" customHeight="1" x14ac:dyDescent="0.25">
      <c r="A1140" s="15">
        <v>43342</v>
      </c>
      <c r="B1140" s="15" t="s">
        <v>329</v>
      </c>
      <c r="C1140" s="27">
        <v>12000</v>
      </c>
      <c r="D1140" s="11" t="e">
        <f>VLOOKUP(B1140,#REF!,7,FALSE)</f>
        <v>#REF!</v>
      </c>
      <c r="E1140" s="31">
        <v>0.49009999999999998</v>
      </c>
      <c r="I1140" s="11" t="e">
        <f>+VLOOKUP(B1140,#REF!,7,FALSE)</f>
        <v>#REF!</v>
      </c>
      <c r="J1140" s="12" t="str">
        <f t="shared" si="52"/>
        <v/>
      </c>
      <c r="K1140" s="12" t="str">
        <f t="shared" si="53"/>
        <v/>
      </c>
      <c r="L1140" s="12" t="e">
        <f t="shared" si="54"/>
        <v>#VALUE!</v>
      </c>
    </row>
    <row r="1141" spans="1:12" ht="24" customHeight="1" x14ac:dyDescent="0.25">
      <c r="A1141" s="15">
        <v>43342</v>
      </c>
      <c r="B1141" s="15" t="s">
        <v>330</v>
      </c>
      <c r="C1141" s="27">
        <v>9056</v>
      </c>
      <c r="D1141" s="11" t="e">
        <f>VLOOKUP(B1141,#REF!,7,FALSE)</f>
        <v>#REF!</v>
      </c>
      <c r="E1141" s="31">
        <v>0.2298</v>
      </c>
      <c r="I1141" s="11" t="e">
        <f>+VLOOKUP(B1141,#REF!,7,FALSE)</f>
        <v>#REF!</v>
      </c>
      <c r="J1141" s="12" t="str">
        <f t="shared" si="52"/>
        <v/>
      </c>
      <c r="K1141" s="12" t="str">
        <f t="shared" si="53"/>
        <v/>
      </c>
      <c r="L1141" s="12" t="e">
        <f t="shared" si="54"/>
        <v>#VALUE!</v>
      </c>
    </row>
    <row r="1142" spans="1:12" ht="24" customHeight="1" x14ac:dyDescent="0.25">
      <c r="A1142" s="15">
        <v>43342</v>
      </c>
      <c r="B1142" s="15" t="s">
        <v>405</v>
      </c>
      <c r="C1142" s="27">
        <v>3012</v>
      </c>
      <c r="D1142" s="11" t="e">
        <f>VLOOKUP(B1142,#REF!,7,FALSE)</f>
        <v>#REF!</v>
      </c>
      <c r="E1142" s="31">
        <v>0.78110000000000002</v>
      </c>
      <c r="I1142" s="11" t="e">
        <f>+VLOOKUP(B1142,#REF!,7,FALSE)</f>
        <v>#REF!</v>
      </c>
      <c r="J1142" s="12" t="str">
        <f t="shared" si="52"/>
        <v/>
      </c>
      <c r="K1142" s="12" t="str">
        <f t="shared" si="53"/>
        <v/>
      </c>
      <c r="L1142" s="12" t="e">
        <f t="shared" si="54"/>
        <v>#VALUE!</v>
      </c>
    </row>
    <row r="1143" spans="1:12" ht="24" customHeight="1" x14ac:dyDescent="0.25">
      <c r="A1143" s="15">
        <v>43342</v>
      </c>
      <c r="B1143" s="15" t="s">
        <v>411</v>
      </c>
      <c r="C1143" s="27">
        <v>19096</v>
      </c>
      <c r="D1143" s="11">
        <v>0.3589</v>
      </c>
      <c r="E1143" s="31">
        <v>0.41020000000000001</v>
      </c>
      <c r="I1143" s="11" t="e">
        <f>+VLOOKUP(B1143,#REF!,7,FALSE)</f>
        <v>#REF!</v>
      </c>
      <c r="J1143" s="12" t="str">
        <f t="shared" si="52"/>
        <v/>
      </c>
      <c r="K1143" s="12" t="str">
        <f t="shared" si="53"/>
        <v/>
      </c>
      <c r="L1143" s="12" t="e">
        <f t="shared" si="54"/>
        <v>#VALUE!</v>
      </c>
    </row>
    <row r="1144" spans="1:12" ht="24" customHeight="1" x14ac:dyDescent="0.25">
      <c r="A1144" s="15">
        <v>43342</v>
      </c>
      <c r="B1144" s="15" t="s">
        <v>230</v>
      </c>
      <c r="C1144" s="27">
        <v>19254</v>
      </c>
      <c r="D1144" s="11" t="e">
        <f>VLOOKUP(B1144,#REF!,7,FALSE)</f>
        <v>#REF!</v>
      </c>
      <c r="E1144" s="31">
        <v>0.57240000000000002</v>
      </c>
      <c r="I1144" s="11" t="e">
        <f>+VLOOKUP(B1144,#REF!,7,FALSE)</f>
        <v>#REF!</v>
      </c>
      <c r="J1144" s="12" t="str">
        <f t="shared" si="52"/>
        <v/>
      </c>
      <c r="K1144" s="12" t="str">
        <f t="shared" si="53"/>
        <v/>
      </c>
      <c r="L1144" s="12" t="e">
        <f t="shared" si="54"/>
        <v>#VALUE!</v>
      </c>
    </row>
    <row r="1145" spans="1:12" ht="24" customHeight="1" x14ac:dyDescent="0.25">
      <c r="A1145" s="15">
        <v>43342</v>
      </c>
      <c r="B1145" s="15" t="s">
        <v>211</v>
      </c>
      <c r="C1145" s="27">
        <v>14862</v>
      </c>
      <c r="D1145" s="11" t="e">
        <f>VLOOKUP(B1145,#REF!,7,FALSE)</f>
        <v>#REF!</v>
      </c>
      <c r="E1145" s="31">
        <v>1.4293</v>
      </c>
      <c r="I1145" s="11" t="e">
        <f>+VLOOKUP(B1145,#REF!,7,FALSE)</f>
        <v>#REF!</v>
      </c>
      <c r="J1145" s="12" t="str">
        <f t="shared" si="52"/>
        <v/>
      </c>
      <c r="K1145" s="12" t="str">
        <f t="shared" si="53"/>
        <v/>
      </c>
      <c r="L1145" s="12" t="e">
        <f t="shared" si="54"/>
        <v>#VALUE!</v>
      </c>
    </row>
    <row r="1146" spans="1:12" ht="24" customHeight="1" x14ac:dyDescent="0.25">
      <c r="A1146" s="15">
        <v>43343</v>
      </c>
      <c r="B1146" s="15" t="s">
        <v>271</v>
      </c>
      <c r="C1146" s="27">
        <v>900</v>
      </c>
      <c r="D1146" s="11" t="e">
        <f>VLOOKUP(B1146,#REF!,7,FALSE)</f>
        <v>#REF!</v>
      </c>
      <c r="E1146" s="31">
        <v>1.1282000000000001</v>
      </c>
      <c r="I1146" s="11" t="e">
        <f>+VLOOKUP(B1146,#REF!,7,FALSE)</f>
        <v>#REF!</v>
      </c>
      <c r="J1146" s="12" t="str">
        <f t="shared" si="52"/>
        <v/>
      </c>
      <c r="K1146" s="12" t="str">
        <f t="shared" si="53"/>
        <v/>
      </c>
      <c r="L1146" s="12" t="e">
        <f t="shared" si="54"/>
        <v>#VALUE!</v>
      </c>
    </row>
    <row r="1147" spans="1:12" ht="24" customHeight="1" x14ac:dyDescent="0.25">
      <c r="A1147" s="15">
        <v>43343</v>
      </c>
      <c r="B1147" s="15" t="s">
        <v>277</v>
      </c>
      <c r="C1147" s="27">
        <v>223</v>
      </c>
      <c r="D1147" s="11" t="e">
        <f>VLOOKUP(B1147,#REF!,7,FALSE)</f>
        <v>#REF!</v>
      </c>
      <c r="E1147" s="31">
        <v>8.2059999999999995</v>
      </c>
      <c r="I1147" s="11" t="e">
        <f>+VLOOKUP(B1147,#REF!,7,FALSE)</f>
        <v>#REF!</v>
      </c>
      <c r="J1147" s="12" t="str">
        <f t="shared" si="52"/>
        <v/>
      </c>
      <c r="K1147" s="12" t="str">
        <f t="shared" si="53"/>
        <v/>
      </c>
      <c r="L1147" s="12" t="e">
        <f t="shared" si="54"/>
        <v>#VALUE!</v>
      </c>
    </row>
    <row r="1148" spans="1:12" ht="24" customHeight="1" x14ac:dyDescent="0.25">
      <c r="A1148" s="15">
        <v>43343</v>
      </c>
      <c r="B1148" s="15" t="s">
        <v>301</v>
      </c>
      <c r="C1148" s="27">
        <v>10728</v>
      </c>
      <c r="D1148" s="11" t="e">
        <f>VLOOKUP(B1148,#REF!,7,FALSE)</f>
        <v>#REF!</v>
      </c>
      <c r="E1148" s="31">
        <v>0.48209999999999997</v>
      </c>
      <c r="I1148" s="11" t="e">
        <f>+VLOOKUP(B1148,#REF!,7,FALSE)</f>
        <v>#REF!</v>
      </c>
      <c r="J1148" s="12" t="str">
        <f t="shared" si="52"/>
        <v/>
      </c>
      <c r="K1148" s="12" t="str">
        <f t="shared" si="53"/>
        <v/>
      </c>
      <c r="L1148" s="12" t="e">
        <f t="shared" si="54"/>
        <v>#VALUE!</v>
      </c>
    </row>
    <row r="1149" spans="1:12" ht="24" customHeight="1" x14ac:dyDescent="0.25">
      <c r="A1149" s="15">
        <v>43343</v>
      </c>
      <c r="B1149" s="15" t="s">
        <v>302</v>
      </c>
      <c r="C1149" s="27">
        <v>9216</v>
      </c>
      <c r="D1149" s="11" t="e">
        <f>VLOOKUP(B1149,#REF!,7,FALSE)</f>
        <v>#REF!</v>
      </c>
      <c r="E1149" s="31">
        <v>0.23549999999999999</v>
      </c>
      <c r="I1149" s="11" t="e">
        <f>+VLOOKUP(B1149,#REF!,7,FALSE)</f>
        <v>#REF!</v>
      </c>
      <c r="J1149" s="12" t="str">
        <f t="shared" si="52"/>
        <v/>
      </c>
      <c r="K1149" s="12" t="str">
        <f t="shared" si="53"/>
        <v/>
      </c>
      <c r="L1149" s="12" t="e">
        <f t="shared" si="54"/>
        <v>#VALUE!</v>
      </c>
    </row>
    <row r="1150" spans="1:12" ht="24" customHeight="1" x14ac:dyDescent="0.25">
      <c r="A1150" s="15">
        <v>43343</v>
      </c>
      <c r="B1150" s="15" t="s">
        <v>340</v>
      </c>
      <c r="C1150" s="27">
        <v>1896</v>
      </c>
      <c r="D1150" s="11" t="e">
        <f>VLOOKUP(B1150,#REF!,7,FALSE)</f>
        <v>#REF!</v>
      </c>
      <c r="E1150" s="31">
        <v>0.71850000000000003</v>
      </c>
      <c r="I1150" s="11" t="e">
        <f>+VLOOKUP(B1150,#REF!,7,FALSE)</f>
        <v>#REF!</v>
      </c>
      <c r="J1150" s="12" t="str">
        <f t="shared" si="52"/>
        <v/>
      </c>
      <c r="K1150" s="12" t="str">
        <f t="shared" si="53"/>
        <v/>
      </c>
      <c r="L1150" s="12" t="e">
        <f t="shared" si="54"/>
        <v>#VALUE!</v>
      </c>
    </row>
    <row r="1151" spans="1:12" ht="24" customHeight="1" x14ac:dyDescent="0.25">
      <c r="A1151" s="15">
        <v>43343</v>
      </c>
      <c r="B1151" s="15" t="s">
        <v>361</v>
      </c>
      <c r="C1151" s="27">
        <v>158</v>
      </c>
      <c r="D1151" s="11" t="e">
        <f>VLOOKUP(B1151,#REF!,7,FALSE)</f>
        <v>#REF!</v>
      </c>
      <c r="E1151" s="31">
        <v>7.0995999999999997</v>
      </c>
      <c r="I1151" s="11" t="e">
        <f>+VLOOKUP(B1151,#REF!,7,FALSE)</f>
        <v>#REF!</v>
      </c>
      <c r="J1151" s="12" t="str">
        <f t="shared" si="52"/>
        <v/>
      </c>
      <c r="K1151" s="12" t="str">
        <f t="shared" si="53"/>
        <v/>
      </c>
      <c r="L1151" s="12" t="e">
        <f t="shared" si="54"/>
        <v>#VALUE!</v>
      </c>
    </row>
    <row r="1152" spans="1:12" ht="24" customHeight="1" x14ac:dyDescent="0.25">
      <c r="A1152" s="15">
        <v>43343</v>
      </c>
      <c r="B1152" s="15" t="s">
        <v>367</v>
      </c>
      <c r="C1152" s="27">
        <v>163</v>
      </c>
      <c r="D1152" s="11" t="e">
        <f>VLOOKUP(B1152,#REF!,7,FALSE)</f>
        <v>#REF!</v>
      </c>
      <c r="E1152" s="31">
        <v>6.1952999999999996</v>
      </c>
      <c r="I1152" s="11" t="e">
        <f>+VLOOKUP(B1152,#REF!,7,FALSE)</f>
        <v>#REF!</v>
      </c>
      <c r="J1152" s="12" t="str">
        <f t="shared" si="52"/>
        <v/>
      </c>
      <c r="K1152" s="12" t="str">
        <f t="shared" si="53"/>
        <v/>
      </c>
      <c r="L1152" s="12" t="e">
        <f t="shared" si="54"/>
        <v>#VALUE!</v>
      </c>
    </row>
    <row r="1153" spans="1:12" ht="24" customHeight="1" x14ac:dyDescent="0.25">
      <c r="A1153" s="15">
        <v>43343</v>
      </c>
      <c r="B1153" s="15" t="s">
        <v>376</v>
      </c>
      <c r="C1153" s="27">
        <v>4716</v>
      </c>
      <c r="D1153" s="11" t="e">
        <f>VLOOKUP(B1153,#REF!,7,FALSE)</f>
        <v>#REF!</v>
      </c>
      <c r="E1153" s="31">
        <v>0.56740000000000002</v>
      </c>
      <c r="I1153" s="11" t="e">
        <f>+VLOOKUP(B1153,#REF!,7,FALSE)</f>
        <v>#REF!</v>
      </c>
      <c r="J1153" s="12" t="str">
        <f t="shared" si="52"/>
        <v/>
      </c>
      <c r="K1153" s="12" t="str">
        <f t="shared" si="53"/>
        <v/>
      </c>
      <c r="L1153" s="12" t="e">
        <f t="shared" si="54"/>
        <v>#VALUE!</v>
      </c>
    </row>
    <row r="1154" spans="1:12" ht="24" customHeight="1" x14ac:dyDescent="0.25">
      <c r="A1154" s="15">
        <v>43343</v>
      </c>
      <c r="B1154" s="15" t="s">
        <v>378</v>
      </c>
      <c r="C1154" s="27">
        <v>5700</v>
      </c>
      <c r="D1154" s="11" t="e">
        <f>VLOOKUP(B1154,#REF!,7,FALSE)</f>
        <v>#REF!</v>
      </c>
      <c r="E1154" s="31">
        <v>0.52600000000000002</v>
      </c>
      <c r="I1154" s="11" t="e">
        <f>+VLOOKUP(B1154,#REF!,7,FALSE)</f>
        <v>#REF!</v>
      </c>
      <c r="J1154" s="12" t="str">
        <f t="shared" si="52"/>
        <v/>
      </c>
      <c r="K1154" s="12" t="str">
        <f t="shared" si="53"/>
        <v/>
      </c>
      <c r="L1154" s="12" t="e">
        <f t="shared" si="54"/>
        <v>#VALUE!</v>
      </c>
    </row>
    <row r="1155" spans="1:12" ht="24" customHeight="1" x14ac:dyDescent="0.25">
      <c r="A1155" s="15">
        <v>43343</v>
      </c>
      <c r="B1155" s="15" t="s">
        <v>170</v>
      </c>
      <c r="C1155" s="27">
        <v>6360</v>
      </c>
      <c r="D1155" s="11" t="e">
        <f>VLOOKUP(B1155,#REF!,7,FALSE)</f>
        <v>#REF!</v>
      </c>
      <c r="E1155" s="31">
        <v>1.0685</v>
      </c>
      <c r="I1155" s="11" t="e">
        <f>+VLOOKUP(B1155,#REF!,7,FALSE)</f>
        <v>#REF!</v>
      </c>
      <c r="J1155" s="12" t="str">
        <f t="shared" si="52"/>
        <v/>
      </c>
      <c r="K1155" s="12" t="str">
        <f t="shared" si="53"/>
        <v/>
      </c>
      <c r="L1155" s="12" t="e">
        <f t="shared" si="54"/>
        <v>#VALUE!</v>
      </c>
    </row>
    <row r="1156" spans="1:12" ht="24" customHeight="1" x14ac:dyDescent="0.25">
      <c r="A1156" s="15">
        <v>43343</v>
      </c>
      <c r="B1156" s="15" t="s">
        <v>400</v>
      </c>
      <c r="C1156" s="27">
        <v>510</v>
      </c>
      <c r="D1156" s="11" t="e">
        <f>VLOOKUP(B1156,#REF!,7,FALSE)</f>
        <v>#REF!</v>
      </c>
      <c r="E1156" s="31">
        <v>2.0287000000000002</v>
      </c>
      <c r="I1156" s="11" t="e">
        <f>+VLOOKUP(B1156,#REF!,7,FALSE)</f>
        <v>#REF!</v>
      </c>
      <c r="J1156" s="12" t="str">
        <f t="shared" ref="J1156:J1219" si="55">IFERROR((I1156-(D1156+F1156))/I1156,"")</f>
        <v/>
      </c>
      <c r="K1156" s="12" t="str">
        <f t="shared" ref="K1156:K1219" si="56">IF(E1156="","",IFERROR((I1156-(E1156+G1156+H1156))/I1156,""))</f>
        <v/>
      </c>
      <c r="L1156" s="12" t="e">
        <f t="shared" si="54"/>
        <v>#VALUE!</v>
      </c>
    </row>
    <row r="1157" spans="1:12" ht="24" customHeight="1" x14ac:dyDescent="0.25">
      <c r="A1157" s="15">
        <v>43343</v>
      </c>
      <c r="B1157" s="15" t="s">
        <v>404</v>
      </c>
      <c r="C1157" s="27">
        <v>5052</v>
      </c>
      <c r="D1157" s="11" t="e">
        <f>VLOOKUP(B1157,#REF!,7,FALSE)</f>
        <v>#REF!</v>
      </c>
      <c r="E1157" s="31">
        <v>0.68289999999999995</v>
      </c>
      <c r="I1157" s="11" t="e">
        <f>+VLOOKUP(B1157,#REF!,7,FALSE)</f>
        <v>#REF!</v>
      </c>
      <c r="J1157" s="12" t="str">
        <f t="shared" si="55"/>
        <v/>
      </c>
      <c r="K1157" s="12" t="str">
        <f t="shared" si="56"/>
        <v/>
      </c>
      <c r="L1157" s="12" t="e">
        <f t="shared" si="54"/>
        <v>#VALUE!</v>
      </c>
    </row>
    <row r="1158" spans="1:12" ht="24" customHeight="1" x14ac:dyDescent="0.25">
      <c r="A1158" s="15">
        <v>43343</v>
      </c>
      <c r="B1158" s="15" t="s">
        <v>410</v>
      </c>
      <c r="C1158" s="27">
        <v>6244</v>
      </c>
      <c r="D1158" s="11">
        <v>0.29980000000000001</v>
      </c>
      <c r="E1158" s="31">
        <v>0.32650000000000001</v>
      </c>
      <c r="I1158" s="11" t="e">
        <f>+VLOOKUP(B1158,#REF!,7,FALSE)</f>
        <v>#REF!</v>
      </c>
      <c r="J1158" s="12" t="str">
        <f t="shared" si="55"/>
        <v/>
      </c>
      <c r="K1158" s="12" t="str">
        <f t="shared" si="56"/>
        <v/>
      </c>
      <c r="L1158" s="12" t="e">
        <f t="shared" si="54"/>
        <v>#VALUE!</v>
      </c>
    </row>
    <row r="1159" spans="1:12" ht="24" customHeight="1" x14ac:dyDescent="0.25">
      <c r="A1159" s="15">
        <v>43343</v>
      </c>
      <c r="B1159" s="15" t="s">
        <v>435</v>
      </c>
      <c r="C1159" s="27">
        <v>3312</v>
      </c>
      <c r="D1159" s="11" t="e">
        <f>VLOOKUP(B1159,#REF!,7,FALSE)</f>
        <v>#REF!</v>
      </c>
      <c r="E1159" s="31">
        <v>4.5278</v>
      </c>
      <c r="I1159" s="11" t="e">
        <f>+VLOOKUP(B1159,#REF!,7,FALSE)</f>
        <v>#REF!</v>
      </c>
      <c r="J1159" s="12" t="str">
        <f t="shared" si="55"/>
        <v/>
      </c>
      <c r="K1159" s="12" t="str">
        <f t="shared" si="56"/>
        <v/>
      </c>
      <c r="L1159" s="12" t="e">
        <f t="shared" si="54"/>
        <v>#VALUE!</v>
      </c>
    </row>
    <row r="1160" spans="1:12" ht="24" customHeight="1" x14ac:dyDescent="0.25">
      <c r="A1160" s="15">
        <v>43343</v>
      </c>
      <c r="B1160" s="15" t="s">
        <v>434</v>
      </c>
      <c r="C1160" s="27">
        <v>7536</v>
      </c>
      <c r="D1160" s="11" t="e">
        <f>VLOOKUP(B1160,#REF!,7,FALSE)</f>
        <v>#REF!</v>
      </c>
      <c r="E1160" s="31">
        <v>0.52010000000000001</v>
      </c>
      <c r="I1160" s="11" t="e">
        <f>+VLOOKUP(B1160,#REF!,7,FALSE)</f>
        <v>#REF!</v>
      </c>
      <c r="J1160" s="12" t="str">
        <f t="shared" si="55"/>
        <v/>
      </c>
      <c r="K1160" s="12" t="str">
        <f t="shared" si="56"/>
        <v/>
      </c>
      <c r="L1160" s="12" t="e">
        <f t="shared" si="54"/>
        <v>#VALUE!</v>
      </c>
    </row>
    <row r="1161" spans="1:12" ht="24" customHeight="1" x14ac:dyDescent="0.25">
      <c r="A1161" s="15">
        <v>43343</v>
      </c>
      <c r="B1161" s="15" t="s">
        <v>493</v>
      </c>
      <c r="C1161" s="27">
        <v>672</v>
      </c>
      <c r="D1161" s="11" t="e">
        <f>VLOOKUP(B1161,#REF!,7,FALSE)</f>
        <v>#REF!</v>
      </c>
      <c r="E1161" s="31">
        <v>0.76910000000000001</v>
      </c>
      <c r="I1161" s="11" t="e">
        <f>+VLOOKUP(B1161,#REF!,7,FALSE)</f>
        <v>#REF!</v>
      </c>
      <c r="J1161" s="12" t="str">
        <f t="shared" si="55"/>
        <v/>
      </c>
      <c r="K1161" s="12" t="str">
        <f t="shared" si="56"/>
        <v/>
      </c>
      <c r="L1161" s="12" t="e">
        <f t="shared" si="54"/>
        <v>#VALUE!</v>
      </c>
    </row>
    <row r="1162" spans="1:12" ht="24" customHeight="1" x14ac:dyDescent="0.25">
      <c r="A1162" s="15">
        <v>43343</v>
      </c>
      <c r="B1162" s="15" t="s">
        <v>494</v>
      </c>
      <c r="C1162" s="27">
        <v>2544</v>
      </c>
      <c r="D1162" s="11" t="e">
        <f>VLOOKUP(B1162,#REF!,7,FALSE)</f>
        <v>#REF!</v>
      </c>
      <c r="E1162" s="31">
        <v>1.7825</v>
      </c>
      <c r="I1162" s="11" t="e">
        <f>+VLOOKUP(B1162,#REF!,7,FALSE)</f>
        <v>#REF!</v>
      </c>
      <c r="J1162" s="12" t="str">
        <f t="shared" si="55"/>
        <v/>
      </c>
      <c r="K1162" s="12" t="str">
        <f t="shared" si="56"/>
        <v/>
      </c>
      <c r="L1162" s="12" t="e">
        <f t="shared" si="54"/>
        <v>#VALUE!</v>
      </c>
    </row>
    <row r="1163" spans="1:12" ht="24" customHeight="1" x14ac:dyDescent="0.25">
      <c r="A1163" s="15">
        <v>43346</v>
      </c>
      <c r="B1163" s="15" t="s">
        <v>294</v>
      </c>
      <c r="C1163" s="27">
        <v>1521</v>
      </c>
      <c r="D1163" s="11" t="e">
        <f>VLOOKUP(B1163,#REF!,7,FALSE)</f>
        <v>#REF!</v>
      </c>
      <c r="E1163" s="31">
        <v>1.6065</v>
      </c>
      <c r="I1163" s="11" t="e">
        <f>+VLOOKUP(B1163,#REF!,7,FALSE)</f>
        <v>#REF!</v>
      </c>
      <c r="J1163" s="12" t="str">
        <f t="shared" si="55"/>
        <v/>
      </c>
      <c r="K1163" s="12" t="str">
        <f t="shared" si="56"/>
        <v/>
      </c>
      <c r="L1163" s="12" t="e">
        <f t="shared" si="54"/>
        <v>#VALUE!</v>
      </c>
    </row>
    <row r="1164" spans="1:12" ht="24" customHeight="1" x14ac:dyDescent="0.25">
      <c r="A1164" s="15">
        <v>43346</v>
      </c>
      <c r="B1164" s="15" t="s">
        <v>91</v>
      </c>
      <c r="C1164" s="27">
        <v>763</v>
      </c>
      <c r="D1164" s="11" t="e">
        <f>VLOOKUP(B1164,#REF!,7,FALSE)</f>
        <v>#REF!</v>
      </c>
      <c r="E1164" s="31">
        <v>3.1989999999999998</v>
      </c>
      <c r="I1164" s="11" t="e">
        <f>+VLOOKUP(B1164,#REF!,7,FALSE)</f>
        <v>#REF!</v>
      </c>
      <c r="J1164" s="12" t="str">
        <f t="shared" si="55"/>
        <v/>
      </c>
      <c r="K1164" s="12" t="str">
        <f t="shared" si="56"/>
        <v/>
      </c>
      <c r="L1164" s="12" t="e">
        <f t="shared" si="54"/>
        <v>#VALUE!</v>
      </c>
    </row>
    <row r="1165" spans="1:12" ht="24" customHeight="1" x14ac:dyDescent="0.25">
      <c r="A1165" s="15">
        <v>43346</v>
      </c>
      <c r="B1165" s="15" t="s">
        <v>92</v>
      </c>
      <c r="C1165" s="27">
        <v>1142</v>
      </c>
      <c r="D1165" s="11" t="e">
        <f>VLOOKUP(B1165,#REF!,7,FALSE)</f>
        <v>#REF!</v>
      </c>
      <c r="E1165" s="31">
        <v>2.5308999999999999</v>
      </c>
      <c r="I1165" s="11" t="e">
        <f>+VLOOKUP(B1165,#REF!,7,FALSE)</f>
        <v>#REF!</v>
      </c>
      <c r="J1165" s="12" t="str">
        <f t="shared" si="55"/>
        <v/>
      </c>
      <c r="K1165" s="12" t="str">
        <f t="shared" si="56"/>
        <v/>
      </c>
      <c r="L1165" s="12" t="e">
        <f t="shared" si="54"/>
        <v>#VALUE!</v>
      </c>
    </row>
    <row r="1166" spans="1:12" ht="24" customHeight="1" x14ac:dyDescent="0.25">
      <c r="A1166" s="15">
        <v>43346</v>
      </c>
      <c r="B1166" s="15" t="s">
        <v>312</v>
      </c>
      <c r="C1166" s="27">
        <v>1201</v>
      </c>
      <c r="D1166" s="11" t="e">
        <f>VLOOKUP(B1166,#REF!,7,FALSE)</f>
        <v>#REF!</v>
      </c>
      <c r="E1166" s="31">
        <v>3.0135000000000001</v>
      </c>
      <c r="I1166" s="11" t="e">
        <f>+VLOOKUP(B1166,#REF!,7,FALSE)</f>
        <v>#REF!</v>
      </c>
      <c r="J1166" s="12" t="str">
        <f t="shared" si="55"/>
        <v/>
      </c>
      <c r="K1166" s="12" t="str">
        <f t="shared" si="56"/>
        <v/>
      </c>
      <c r="L1166" s="12" t="e">
        <f t="shared" si="54"/>
        <v>#VALUE!</v>
      </c>
    </row>
    <row r="1167" spans="1:12" ht="24" customHeight="1" x14ac:dyDescent="0.25">
      <c r="A1167" s="15">
        <v>43346</v>
      </c>
      <c r="B1167" s="15" t="s">
        <v>362</v>
      </c>
      <c r="C1167" s="27">
        <v>3186</v>
      </c>
      <c r="D1167" s="11" t="e">
        <f>VLOOKUP(B1167,#REF!,7,FALSE)</f>
        <v>#REF!</v>
      </c>
      <c r="E1167" s="31">
        <v>3.0792999999999999</v>
      </c>
      <c r="I1167" s="11" t="e">
        <f>+VLOOKUP(B1167,#REF!,7,FALSE)</f>
        <v>#REF!</v>
      </c>
      <c r="J1167" s="12" t="str">
        <f t="shared" si="55"/>
        <v/>
      </c>
      <c r="K1167" s="12" t="str">
        <f t="shared" si="56"/>
        <v/>
      </c>
      <c r="L1167" s="12" t="e">
        <f t="shared" si="54"/>
        <v>#VALUE!</v>
      </c>
    </row>
    <row r="1168" spans="1:12" ht="24" customHeight="1" x14ac:dyDescent="0.25">
      <c r="A1168" s="15">
        <v>43346</v>
      </c>
      <c r="B1168" s="15" t="s">
        <v>170</v>
      </c>
      <c r="C1168" s="27">
        <v>6828</v>
      </c>
      <c r="D1168" s="11" t="e">
        <f>VLOOKUP(B1168,#REF!,7,FALSE)</f>
        <v>#REF!</v>
      </c>
      <c r="E1168" s="31">
        <v>1.0659000000000001</v>
      </c>
      <c r="I1168" s="11" t="e">
        <f>+VLOOKUP(B1168,#REF!,7,FALSE)</f>
        <v>#REF!</v>
      </c>
      <c r="J1168" s="12" t="str">
        <f t="shared" si="55"/>
        <v/>
      </c>
      <c r="K1168" s="12" t="str">
        <f t="shared" si="56"/>
        <v/>
      </c>
      <c r="L1168" s="12" t="e">
        <f t="shared" si="54"/>
        <v>#VALUE!</v>
      </c>
    </row>
    <row r="1169" spans="1:12" ht="24" customHeight="1" x14ac:dyDescent="0.25">
      <c r="A1169" s="15">
        <v>43346</v>
      </c>
      <c r="B1169" s="15" t="s">
        <v>415</v>
      </c>
      <c r="C1169" s="27">
        <v>2358</v>
      </c>
      <c r="D1169" s="11" t="e">
        <f>VLOOKUP(B1169,#REF!,7,FALSE)</f>
        <v>#REF!</v>
      </c>
      <c r="E1169" s="31">
        <v>5.8173000000000004</v>
      </c>
      <c r="I1169" s="11" t="e">
        <f>+VLOOKUP(B1169,#REF!,7,FALSE)</f>
        <v>#REF!</v>
      </c>
      <c r="J1169" s="12" t="str">
        <f t="shared" si="55"/>
        <v/>
      </c>
      <c r="K1169" s="12" t="str">
        <f t="shared" si="56"/>
        <v/>
      </c>
      <c r="L1169" s="12" t="e">
        <f t="shared" si="54"/>
        <v>#VALUE!</v>
      </c>
    </row>
    <row r="1170" spans="1:12" ht="24" customHeight="1" x14ac:dyDescent="0.25">
      <c r="A1170" s="15">
        <v>43346</v>
      </c>
      <c r="B1170" s="15" t="s">
        <v>436</v>
      </c>
      <c r="C1170" s="27">
        <v>2548</v>
      </c>
      <c r="D1170" s="11" t="e">
        <f>VLOOKUP(B1170,#REF!,7,FALSE)</f>
        <v>#REF!</v>
      </c>
      <c r="E1170" s="31">
        <v>2.5954999999999999</v>
      </c>
      <c r="I1170" s="11" t="e">
        <f>+VLOOKUP(B1170,#REF!,7,FALSE)</f>
        <v>#REF!</v>
      </c>
      <c r="J1170" s="12" t="str">
        <f t="shared" si="55"/>
        <v/>
      </c>
      <c r="K1170" s="12" t="str">
        <f t="shared" si="56"/>
        <v/>
      </c>
      <c r="L1170" s="12" t="e">
        <f t="shared" si="54"/>
        <v>#VALUE!</v>
      </c>
    </row>
    <row r="1171" spans="1:12" ht="24" customHeight="1" x14ac:dyDescent="0.25">
      <c r="A1171" s="15">
        <v>43346</v>
      </c>
      <c r="B1171" s="15" t="s">
        <v>491</v>
      </c>
      <c r="C1171" s="27">
        <v>6354</v>
      </c>
      <c r="D1171" s="11" t="e">
        <f>VLOOKUP(B1171,#REF!,7,FALSE)</f>
        <v>#REF!</v>
      </c>
      <c r="E1171" s="31">
        <v>0.53320000000000001</v>
      </c>
      <c r="I1171" s="11" t="e">
        <f>+VLOOKUP(B1171,#REF!,7,FALSE)</f>
        <v>#REF!</v>
      </c>
      <c r="J1171" s="12" t="str">
        <f t="shared" si="55"/>
        <v/>
      </c>
      <c r="K1171" s="12" t="str">
        <f t="shared" si="56"/>
        <v/>
      </c>
      <c r="L1171" s="12" t="e">
        <f t="shared" si="54"/>
        <v>#VALUE!</v>
      </c>
    </row>
    <row r="1172" spans="1:12" ht="24" customHeight="1" x14ac:dyDescent="0.25">
      <c r="A1172" s="15">
        <v>43346</v>
      </c>
      <c r="B1172" s="15" t="s">
        <v>494</v>
      </c>
      <c r="C1172" s="27">
        <v>618</v>
      </c>
      <c r="D1172" s="11" t="e">
        <f>VLOOKUP(B1172,#REF!,7,FALSE)</f>
        <v>#REF!</v>
      </c>
      <c r="E1172" s="31">
        <v>1.9034</v>
      </c>
      <c r="I1172" s="11" t="e">
        <f>+VLOOKUP(B1172,#REF!,7,FALSE)</f>
        <v>#REF!</v>
      </c>
      <c r="J1172" s="12" t="str">
        <f t="shared" si="55"/>
        <v/>
      </c>
      <c r="K1172" s="12" t="str">
        <f t="shared" si="56"/>
        <v/>
      </c>
      <c r="L1172" s="12" t="e">
        <f t="shared" si="54"/>
        <v>#VALUE!</v>
      </c>
    </row>
    <row r="1173" spans="1:12" ht="24" customHeight="1" x14ac:dyDescent="0.25">
      <c r="A1173" s="15">
        <v>43346</v>
      </c>
      <c r="B1173" s="15" t="s">
        <v>495</v>
      </c>
      <c r="C1173" s="27">
        <v>4632</v>
      </c>
      <c r="D1173" s="11" t="e">
        <f>VLOOKUP(B1173,#REF!,7,FALSE)</f>
        <v>#REF!</v>
      </c>
      <c r="E1173" s="31">
        <v>0.97660000000000002</v>
      </c>
      <c r="I1173" s="11" t="e">
        <f>+VLOOKUP(B1173,#REF!,7,FALSE)</f>
        <v>#REF!</v>
      </c>
      <c r="J1173" s="12" t="str">
        <f t="shared" si="55"/>
        <v/>
      </c>
      <c r="K1173" s="12" t="str">
        <f t="shared" si="56"/>
        <v/>
      </c>
      <c r="L1173" s="12" t="e">
        <f t="shared" si="54"/>
        <v>#VALUE!</v>
      </c>
    </row>
    <row r="1174" spans="1:12" ht="24" customHeight="1" x14ac:dyDescent="0.25">
      <c r="A1174" s="15">
        <v>43347</v>
      </c>
      <c r="B1174" s="15" t="s">
        <v>490</v>
      </c>
      <c r="C1174" s="27">
        <v>3422</v>
      </c>
      <c r="D1174" s="11" t="e">
        <f>VLOOKUP(B1174,#REF!,7,FALSE)</f>
        <v>#REF!</v>
      </c>
      <c r="E1174" s="31">
        <v>2.4403000000000001</v>
      </c>
      <c r="I1174" s="11" t="e">
        <f>+VLOOKUP(B1174,#REF!,7,FALSE)</f>
        <v>#REF!</v>
      </c>
      <c r="J1174" s="12" t="str">
        <f t="shared" si="55"/>
        <v/>
      </c>
      <c r="K1174" s="12" t="str">
        <f t="shared" si="56"/>
        <v/>
      </c>
      <c r="L1174" s="12" t="e">
        <f t="shared" si="54"/>
        <v>#VALUE!</v>
      </c>
    </row>
    <row r="1175" spans="1:12" ht="24" customHeight="1" x14ac:dyDescent="0.25">
      <c r="A1175" s="15">
        <v>43347</v>
      </c>
      <c r="B1175" s="15" t="s">
        <v>291</v>
      </c>
      <c r="C1175" s="27">
        <v>2856</v>
      </c>
      <c r="D1175" s="11" t="e">
        <f>VLOOKUP(B1175,#REF!,7,FALSE)</f>
        <v>#REF!</v>
      </c>
      <c r="E1175" s="31">
        <v>0.92779999999999996</v>
      </c>
      <c r="I1175" s="11" t="e">
        <f>+VLOOKUP(B1175,#REF!,7,FALSE)</f>
        <v>#REF!</v>
      </c>
      <c r="J1175" s="12" t="str">
        <f t="shared" si="55"/>
        <v/>
      </c>
      <c r="K1175" s="12" t="str">
        <f t="shared" si="56"/>
        <v/>
      </c>
      <c r="L1175" s="12" t="e">
        <f t="shared" si="54"/>
        <v>#VALUE!</v>
      </c>
    </row>
    <row r="1176" spans="1:12" ht="24" customHeight="1" x14ac:dyDescent="0.25">
      <c r="A1176" s="15">
        <v>43347</v>
      </c>
      <c r="B1176" s="15" t="s">
        <v>301</v>
      </c>
      <c r="C1176" s="27">
        <v>2628</v>
      </c>
      <c r="D1176" s="11" t="e">
        <f>VLOOKUP(B1176,#REF!,7,FALSE)</f>
        <v>#REF!</v>
      </c>
      <c r="E1176" s="31">
        <v>0.31540000000000001</v>
      </c>
      <c r="I1176" s="11" t="e">
        <f>+VLOOKUP(B1176,#REF!,7,FALSE)</f>
        <v>#REF!</v>
      </c>
      <c r="J1176" s="12" t="str">
        <f t="shared" si="55"/>
        <v/>
      </c>
      <c r="K1176" s="12" t="str">
        <f t="shared" si="56"/>
        <v/>
      </c>
      <c r="L1176" s="12" t="e">
        <f t="shared" si="54"/>
        <v>#VALUE!</v>
      </c>
    </row>
    <row r="1177" spans="1:12" ht="24" customHeight="1" x14ac:dyDescent="0.25">
      <c r="A1177" s="15">
        <v>43347</v>
      </c>
      <c r="B1177" s="15" t="s">
        <v>322</v>
      </c>
      <c r="C1177" s="27">
        <v>15222</v>
      </c>
      <c r="D1177" s="11" t="e">
        <f>VLOOKUP(B1177,#REF!,7,FALSE)</f>
        <v>#REF!</v>
      </c>
      <c r="E1177" s="31">
        <v>1.3246</v>
      </c>
      <c r="I1177" s="11" t="e">
        <f>+VLOOKUP(B1177,#REF!,7,FALSE)</f>
        <v>#REF!</v>
      </c>
      <c r="J1177" s="12" t="str">
        <f t="shared" si="55"/>
        <v/>
      </c>
      <c r="K1177" s="12" t="str">
        <f t="shared" si="56"/>
        <v/>
      </c>
      <c r="L1177" s="12" t="e">
        <f t="shared" si="54"/>
        <v>#VALUE!</v>
      </c>
    </row>
    <row r="1178" spans="1:12" ht="24" customHeight="1" x14ac:dyDescent="0.25">
      <c r="A1178" s="15">
        <v>43347</v>
      </c>
      <c r="B1178" s="15" t="s">
        <v>129</v>
      </c>
      <c r="C1178" s="27">
        <v>1116</v>
      </c>
      <c r="D1178" s="11" t="e">
        <f>VLOOKUP(B1178,#REF!,7,FALSE)</f>
        <v>#REF!</v>
      </c>
      <c r="E1178" s="31">
        <v>0.2681</v>
      </c>
      <c r="I1178" s="11" t="e">
        <f>+VLOOKUP(B1178,#REF!,7,FALSE)</f>
        <v>#REF!</v>
      </c>
      <c r="J1178" s="12" t="str">
        <f t="shared" si="55"/>
        <v/>
      </c>
      <c r="K1178" s="12" t="str">
        <f t="shared" si="56"/>
        <v/>
      </c>
      <c r="L1178" s="12" t="e">
        <f t="shared" si="54"/>
        <v>#VALUE!</v>
      </c>
    </row>
    <row r="1179" spans="1:12" ht="24" customHeight="1" x14ac:dyDescent="0.25">
      <c r="A1179" s="15">
        <v>43347</v>
      </c>
      <c r="B1179" s="15" t="s">
        <v>170</v>
      </c>
      <c r="C1179" s="27">
        <v>1452</v>
      </c>
      <c r="D1179" s="11">
        <v>1.4657</v>
      </c>
      <c r="E1179" s="31">
        <v>1.0604</v>
      </c>
      <c r="I1179" s="11" t="e">
        <f>+VLOOKUP(B1179,#REF!,7,FALSE)</f>
        <v>#REF!</v>
      </c>
      <c r="J1179" s="12" t="str">
        <f t="shared" si="55"/>
        <v/>
      </c>
      <c r="K1179" s="12" t="str">
        <f t="shared" si="56"/>
        <v/>
      </c>
      <c r="L1179" s="12" t="e">
        <f t="shared" si="54"/>
        <v>#VALUE!</v>
      </c>
    </row>
    <row r="1180" spans="1:12" ht="24" customHeight="1" x14ac:dyDescent="0.25">
      <c r="A1180" s="15">
        <v>43347</v>
      </c>
      <c r="B1180" s="15" t="s">
        <v>390</v>
      </c>
      <c r="C1180" s="27">
        <v>936</v>
      </c>
      <c r="D1180" s="11" t="e">
        <f>VLOOKUP(B1180,#REF!,7,FALSE)</f>
        <v>#REF!</v>
      </c>
      <c r="E1180" s="31">
        <v>2.4477000000000002</v>
      </c>
      <c r="I1180" s="11" t="e">
        <f>+VLOOKUP(B1180,#REF!,7,FALSE)</f>
        <v>#REF!</v>
      </c>
      <c r="J1180" s="12" t="str">
        <f t="shared" si="55"/>
        <v/>
      </c>
      <c r="K1180" s="12" t="str">
        <f t="shared" si="56"/>
        <v/>
      </c>
      <c r="L1180" s="12" t="e">
        <f t="shared" si="54"/>
        <v>#VALUE!</v>
      </c>
    </row>
    <row r="1181" spans="1:12" ht="24" customHeight="1" x14ac:dyDescent="0.25">
      <c r="A1181" s="15">
        <v>43347</v>
      </c>
      <c r="B1181" s="15" t="s">
        <v>496</v>
      </c>
      <c r="C1181" s="27">
        <v>402</v>
      </c>
      <c r="D1181" s="11" t="e">
        <f>VLOOKUP(B1181,#REF!,7,FALSE)</f>
        <v>#REF!</v>
      </c>
      <c r="E1181" s="31">
        <v>5.1567999999999996</v>
      </c>
      <c r="I1181" s="11" t="e">
        <f>+VLOOKUP(B1181,#REF!,7,FALSE)</f>
        <v>#REF!</v>
      </c>
      <c r="J1181" s="12" t="str">
        <f t="shared" si="55"/>
        <v/>
      </c>
      <c r="K1181" s="12" t="str">
        <f t="shared" si="56"/>
        <v/>
      </c>
      <c r="L1181" s="12" t="e">
        <f t="shared" si="54"/>
        <v>#VALUE!</v>
      </c>
    </row>
    <row r="1182" spans="1:12" ht="24" customHeight="1" x14ac:dyDescent="0.25">
      <c r="A1182" s="15">
        <v>43348</v>
      </c>
      <c r="B1182" s="15" t="s">
        <v>293</v>
      </c>
      <c r="C1182" s="27">
        <v>2190</v>
      </c>
      <c r="D1182" s="11" t="e">
        <f>VLOOKUP(B1182,#REF!,7,FALSE)</f>
        <v>#REF!</v>
      </c>
      <c r="E1182" s="31">
        <v>2.3363999999999998</v>
      </c>
      <c r="I1182" s="11" t="e">
        <f>+VLOOKUP(B1182,#REF!,7,FALSE)</f>
        <v>#REF!</v>
      </c>
      <c r="J1182" s="12" t="str">
        <f t="shared" si="55"/>
        <v/>
      </c>
      <c r="K1182" s="12" t="str">
        <f t="shared" si="56"/>
        <v/>
      </c>
      <c r="L1182" s="12" t="e">
        <f t="shared" si="54"/>
        <v>#VALUE!</v>
      </c>
    </row>
    <row r="1183" spans="1:12" ht="24" customHeight="1" x14ac:dyDescent="0.25">
      <c r="A1183" s="15">
        <v>43348</v>
      </c>
      <c r="B1183" s="15" t="s">
        <v>309</v>
      </c>
      <c r="C1183" s="27">
        <v>14652</v>
      </c>
      <c r="D1183" s="11" t="e">
        <f>VLOOKUP(B1183,#REF!,7,FALSE)</f>
        <v>#REF!</v>
      </c>
      <c r="E1183" s="31">
        <v>1.5798000000000001</v>
      </c>
      <c r="I1183" s="11" t="e">
        <f>+VLOOKUP(B1183,#REF!,7,FALSE)</f>
        <v>#REF!</v>
      </c>
      <c r="J1183" s="12" t="str">
        <f t="shared" si="55"/>
        <v/>
      </c>
      <c r="K1183" s="12" t="str">
        <f t="shared" si="56"/>
        <v/>
      </c>
      <c r="L1183" s="12" t="e">
        <f t="shared" si="54"/>
        <v>#VALUE!</v>
      </c>
    </row>
    <row r="1184" spans="1:12" ht="24" customHeight="1" x14ac:dyDescent="0.25">
      <c r="A1184" s="15">
        <v>43348</v>
      </c>
      <c r="B1184" s="15" t="s">
        <v>339</v>
      </c>
      <c r="C1184" s="27">
        <v>1392</v>
      </c>
      <c r="D1184" s="11" t="e">
        <f>VLOOKUP(B1184,#REF!,7,FALSE)</f>
        <v>#REF!</v>
      </c>
      <c r="E1184" s="31" t="s">
        <v>11</v>
      </c>
      <c r="I1184" s="11" t="e">
        <f>+VLOOKUP(B1184,#REF!,7,FALSE)</f>
        <v>#REF!</v>
      </c>
      <c r="J1184" s="12" t="str">
        <f t="shared" si="55"/>
        <v/>
      </c>
      <c r="K1184" s="12" t="str">
        <f t="shared" si="56"/>
        <v/>
      </c>
      <c r="L1184" s="12" t="e">
        <f t="shared" si="54"/>
        <v>#VALUE!</v>
      </c>
    </row>
    <row r="1185" spans="1:12" ht="24" customHeight="1" x14ac:dyDescent="0.25">
      <c r="A1185" s="15">
        <v>43348</v>
      </c>
      <c r="B1185" s="15" t="s">
        <v>170</v>
      </c>
      <c r="C1185" s="27">
        <v>3168</v>
      </c>
      <c r="D1185" s="11" t="e">
        <f>VLOOKUP(B1185,#REF!,7,FALSE)</f>
        <v>#REF!</v>
      </c>
      <c r="E1185" s="31">
        <v>1.0673999999999999</v>
      </c>
      <c r="I1185" s="11" t="e">
        <f>+VLOOKUP(B1185,#REF!,7,FALSE)</f>
        <v>#REF!</v>
      </c>
      <c r="J1185" s="12" t="str">
        <f t="shared" si="55"/>
        <v/>
      </c>
      <c r="K1185" s="12" t="str">
        <f t="shared" si="56"/>
        <v/>
      </c>
      <c r="L1185" s="12" t="e">
        <f t="shared" si="54"/>
        <v>#VALUE!</v>
      </c>
    </row>
    <row r="1186" spans="1:12" ht="24" customHeight="1" x14ac:dyDescent="0.25">
      <c r="A1186" s="15">
        <v>43348</v>
      </c>
      <c r="B1186" s="15" t="s">
        <v>390</v>
      </c>
      <c r="C1186" s="27">
        <v>2010</v>
      </c>
      <c r="D1186" s="11" t="e">
        <f>VLOOKUP(B1186,#REF!,7,FALSE)</f>
        <v>#REF!</v>
      </c>
      <c r="E1186" s="31">
        <v>2.4773999999999998</v>
      </c>
      <c r="I1186" s="11" t="e">
        <f>+VLOOKUP(B1186,#REF!,7,FALSE)</f>
        <v>#REF!</v>
      </c>
      <c r="J1186" s="12" t="str">
        <f t="shared" si="55"/>
        <v/>
      </c>
      <c r="K1186" s="12" t="str">
        <f t="shared" si="56"/>
        <v/>
      </c>
      <c r="L1186" s="12" t="e">
        <f t="shared" si="54"/>
        <v>#VALUE!</v>
      </c>
    </row>
    <row r="1187" spans="1:12" ht="24" customHeight="1" x14ac:dyDescent="0.25">
      <c r="A1187" s="15">
        <v>43348</v>
      </c>
      <c r="B1187" s="15" t="s">
        <v>442</v>
      </c>
      <c r="C1187" s="27">
        <v>552</v>
      </c>
      <c r="D1187" s="11" t="e">
        <f>VLOOKUP(B1187,#REF!,7,FALSE)</f>
        <v>#REF!</v>
      </c>
      <c r="E1187" s="31">
        <v>0.61739999999999995</v>
      </c>
      <c r="I1187" s="11" t="e">
        <f>+VLOOKUP(B1187,#REF!,7,FALSE)</f>
        <v>#REF!</v>
      </c>
      <c r="J1187" s="12" t="str">
        <f t="shared" si="55"/>
        <v/>
      </c>
      <c r="K1187" s="12" t="str">
        <f t="shared" si="56"/>
        <v/>
      </c>
      <c r="L1187" s="12" t="e">
        <f t="shared" si="54"/>
        <v>#VALUE!</v>
      </c>
    </row>
    <row r="1188" spans="1:12" ht="24" customHeight="1" x14ac:dyDescent="0.25">
      <c r="A1188" s="15">
        <v>43348</v>
      </c>
      <c r="B1188" s="15" t="s">
        <v>497</v>
      </c>
      <c r="C1188" s="27">
        <v>2823</v>
      </c>
      <c r="D1188" s="11" t="e">
        <f>VLOOKUP(B1188,#REF!,7,FALSE)</f>
        <v>#REF!</v>
      </c>
      <c r="E1188" s="31">
        <v>4.8029000000000002</v>
      </c>
      <c r="I1188" s="11" t="e">
        <f>+VLOOKUP(B1188,#REF!,7,FALSE)</f>
        <v>#REF!</v>
      </c>
      <c r="J1188" s="12" t="str">
        <f t="shared" si="55"/>
        <v/>
      </c>
      <c r="K1188" s="12" t="str">
        <f t="shared" si="56"/>
        <v/>
      </c>
      <c r="L1188" s="12" t="e">
        <f t="shared" si="54"/>
        <v>#VALUE!</v>
      </c>
    </row>
    <row r="1189" spans="1:12" ht="24" customHeight="1" x14ac:dyDescent="0.25">
      <c r="A1189" s="15">
        <v>43348</v>
      </c>
      <c r="B1189" s="15" t="s">
        <v>498</v>
      </c>
      <c r="C1189" s="27">
        <v>1170</v>
      </c>
      <c r="D1189" s="11" t="e">
        <f>VLOOKUP(B1189,#REF!,7,FALSE)</f>
        <v>#REF!</v>
      </c>
      <c r="E1189" s="31">
        <v>4.7150999999999996</v>
      </c>
      <c r="I1189" s="11" t="e">
        <f>+VLOOKUP(B1189,#REF!,7,FALSE)</f>
        <v>#REF!</v>
      </c>
      <c r="J1189" s="12" t="str">
        <f t="shared" si="55"/>
        <v/>
      </c>
      <c r="K1189" s="12" t="str">
        <f t="shared" si="56"/>
        <v/>
      </c>
      <c r="L1189" s="12" t="e">
        <f t="shared" si="54"/>
        <v>#VALUE!</v>
      </c>
    </row>
    <row r="1190" spans="1:12" ht="24" customHeight="1" x14ac:dyDescent="0.25">
      <c r="A1190" s="15">
        <v>43348</v>
      </c>
      <c r="B1190" s="15" t="s">
        <v>499</v>
      </c>
      <c r="C1190" s="27">
        <v>2476</v>
      </c>
      <c r="D1190" s="11" t="e">
        <f>VLOOKUP(B1190,#REF!,7,FALSE)</f>
        <v>#REF!</v>
      </c>
      <c r="E1190" s="31">
        <v>2.8026</v>
      </c>
      <c r="I1190" s="11" t="e">
        <f>+VLOOKUP(B1190,#REF!,7,FALSE)</f>
        <v>#REF!</v>
      </c>
      <c r="J1190" s="12" t="str">
        <f t="shared" si="55"/>
        <v/>
      </c>
      <c r="K1190" s="12" t="str">
        <f t="shared" si="56"/>
        <v/>
      </c>
      <c r="L1190" s="12" t="e">
        <f t="shared" si="54"/>
        <v>#VALUE!</v>
      </c>
    </row>
    <row r="1191" spans="1:12" ht="24" customHeight="1" x14ac:dyDescent="0.25">
      <c r="A1191" s="15">
        <v>43348</v>
      </c>
      <c r="B1191" s="15" t="s">
        <v>500</v>
      </c>
      <c r="C1191" s="27">
        <v>2610</v>
      </c>
      <c r="D1191" s="11" t="e">
        <f>VLOOKUP(B1191,#REF!,7,FALSE)</f>
        <v>#REF!</v>
      </c>
      <c r="E1191" s="31">
        <v>1.9218999999999999</v>
      </c>
      <c r="I1191" s="11" t="e">
        <f>+VLOOKUP(B1191,#REF!,7,FALSE)</f>
        <v>#REF!</v>
      </c>
      <c r="J1191" s="12" t="str">
        <f t="shared" si="55"/>
        <v/>
      </c>
      <c r="K1191" s="12" t="str">
        <f t="shared" si="56"/>
        <v/>
      </c>
      <c r="L1191" s="12" t="e">
        <f t="shared" si="54"/>
        <v>#VALUE!</v>
      </c>
    </row>
    <row r="1192" spans="1:12" ht="24" customHeight="1" x14ac:dyDescent="0.25">
      <c r="A1192" s="15">
        <v>43349</v>
      </c>
      <c r="B1192" s="15" t="s">
        <v>259</v>
      </c>
      <c r="C1192" s="27">
        <v>570</v>
      </c>
      <c r="D1192" s="11" t="e">
        <f>VLOOKUP(B1192,#REF!,7,FALSE)</f>
        <v>#REF!</v>
      </c>
      <c r="E1192" s="31" t="s">
        <v>11</v>
      </c>
      <c r="I1192" s="11" t="e">
        <f>+VLOOKUP(B1192,#REF!,7,FALSE)</f>
        <v>#REF!</v>
      </c>
      <c r="J1192" s="12" t="str">
        <f t="shared" si="55"/>
        <v/>
      </c>
      <c r="K1192" s="12" t="str">
        <f t="shared" si="56"/>
        <v/>
      </c>
      <c r="L1192" s="12" t="e">
        <f t="shared" si="54"/>
        <v>#VALUE!</v>
      </c>
    </row>
    <row r="1193" spans="1:12" ht="24" customHeight="1" x14ac:dyDescent="0.25">
      <c r="A1193" s="15">
        <v>43349</v>
      </c>
      <c r="B1193" s="15" t="s">
        <v>433</v>
      </c>
      <c r="C1193" s="27">
        <v>264</v>
      </c>
      <c r="D1193" s="11" t="e">
        <f>VLOOKUP(B1193,#REF!,7,FALSE)</f>
        <v>#REF!</v>
      </c>
      <c r="E1193" s="31">
        <v>2.9519000000000002</v>
      </c>
      <c r="I1193" s="11" t="e">
        <f>+VLOOKUP(B1193,#REF!,7,FALSE)</f>
        <v>#REF!</v>
      </c>
      <c r="J1193" s="12" t="str">
        <f t="shared" si="55"/>
        <v/>
      </c>
      <c r="K1193" s="12" t="str">
        <f t="shared" si="56"/>
        <v/>
      </c>
      <c r="L1193" s="12" t="e">
        <f t="shared" si="54"/>
        <v>#VALUE!</v>
      </c>
    </row>
    <row r="1194" spans="1:12" ht="24" customHeight="1" x14ac:dyDescent="0.25">
      <c r="A1194" s="15">
        <v>43349</v>
      </c>
      <c r="B1194" s="15" t="s">
        <v>292</v>
      </c>
      <c r="C1194" s="27">
        <v>2124</v>
      </c>
      <c r="D1194" s="11" t="e">
        <f>VLOOKUP(B1194,#REF!,7,FALSE)</f>
        <v>#REF!</v>
      </c>
      <c r="E1194" s="31">
        <v>0.87260000000000004</v>
      </c>
      <c r="I1194" s="11" t="e">
        <f>+VLOOKUP(B1194,#REF!,7,FALSE)</f>
        <v>#REF!</v>
      </c>
      <c r="J1194" s="12" t="str">
        <f t="shared" si="55"/>
        <v/>
      </c>
      <c r="K1194" s="12" t="str">
        <f t="shared" si="56"/>
        <v/>
      </c>
      <c r="L1194" s="12" t="e">
        <f t="shared" si="54"/>
        <v>#VALUE!</v>
      </c>
    </row>
    <row r="1195" spans="1:12" ht="24" customHeight="1" x14ac:dyDescent="0.25">
      <c r="A1195" s="15">
        <v>43349</v>
      </c>
      <c r="B1195" s="15" t="s">
        <v>310</v>
      </c>
      <c r="C1195" s="27">
        <v>16236</v>
      </c>
      <c r="D1195" s="11" t="e">
        <f>VLOOKUP(B1195,#REF!,7,FALSE)</f>
        <v>#REF!</v>
      </c>
      <c r="E1195" s="31">
        <v>1.4991000000000001</v>
      </c>
      <c r="I1195" s="11" t="e">
        <f>+VLOOKUP(B1195,#REF!,7,FALSE)</f>
        <v>#REF!</v>
      </c>
      <c r="J1195" s="12" t="str">
        <f t="shared" si="55"/>
        <v/>
      </c>
      <c r="K1195" s="12" t="str">
        <f t="shared" si="56"/>
        <v/>
      </c>
      <c r="L1195" s="12" t="e">
        <f t="shared" si="54"/>
        <v>#VALUE!</v>
      </c>
    </row>
    <row r="1196" spans="1:12" ht="24" customHeight="1" x14ac:dyDescent="0.25">
      <c r="A1196" s="15">
        <v>43349</v>
      </c>
      <c r="B1196" s="15" t="s">
        <v>335</v>
      </c>
      <c r="C1196" s="27">
        <v>2706</v>
      </c>
      <c r="D1196" s="11" t="e">
        <f>VLOOKUP(B1196,#REF!,7,FALSE)</f>
        <v>#REF!</v>
      </c>
      <c r="E1196" s="31">
        <v>5.0011999999999999</v>
      </c>
      <c r="I1196" s="11" t="e">
        <f>+VLOOKUP(B1196,#REF!,7,FALSE)</f>
        <v>#REF!</v>
      </c>
      <c r="J1196" s="12" t="str">
        <f t="shared" si="55"/>
        <v/>
      </c>
      <c r="K1196" s="12" t="str">
        <f t="shared" si="56"/>
        <v/>
      </c>
      <c r="L1196" s="12" t="e">
        <f t="shared" si="54"/>
        <v>#VALUE!</v>
      </c>
    </row>
    <row r="1197" spans="1:12" ht="24" customHeight="1" x14ac:dyDescent="0.25">
      <c r="A1197" s="15">
        <v>43349</v>
      </c>
      <c r="B1197" s="15" t="s">
        <v>211</v>
      </c>
      <c r="C1197" s="27">
        <v>510</v>
      </c>
      <c r="D1197" s="11" t="e">
        <f>VLOOKUP(B1197,#REF!,7,FALSE)</f>
        <v>#REF!</v>
      </c>
      <c r="E1197" s="31">
        <v>1.5208999999999999</v>
      </c>
      <c r="I1197" s="11" t="e">
        <f>+VLOOKUP(B1197,#REF!,7,FALSE)</f>
        <v>#REF!</v>
      </c>
      <c r="J1197" s="12" t="str">
        <f t="shared" si="55"/>
        <v/>
      </c>
      <c r="K1197" s="12" t="str">
        <f t="shared" si="56"/>
        <v/>
      </c>
      <c r="L1197" s="12" t="e">
        <f t="shared" si="54"/>
        <v>#VALUE!</v>
      </c>
    </row>
    <row r="1198" spans="1:12" ht="24" customHeight="1" x14ac:dyDescent="0.25">
      <c r="A1198" s="15">
        <v>43349</v>
      </c>
      <c r="B1198" s="15" t="s">
        <v>501</v>
      </c>
      <c r="C1198" s="27">
        <v>2308</v>
      </c>
      <c r="D1198" s="11" t="e">
        <f>VLOOKUP(B1198,#REF!,7,FALSE)</f>
        <v>#REF!</v>
      </c>
      <c r="E1198" s="31">
        <v>3.0295000000000001</v>
      </c>
      <c r="I1198" s="11" t="e">
        <f>+VLOOKUP(B1198,#REF!,7,FALSE)</f>
        <v>#REF!</v>
      </c>
      <c r="J1198" s="12" t="str">
        <f t="shared" si="55"/>
        <v/>
      </c>
      <c r="K1198" s="12" t="str">
        <f t="shared" si="56"/>
        <v/>
      </c>
      <c r="L1198" s="12" t="e">
        <f t="shared" ref="L1198:L1261" si="57">J1198-K1198</f>
        <v>#VALUE!</v>
      </c>
    </row>
    <row r="1199" spans="1:12" ht="24" customHeight="1" x14ac:dyDescent="0.25">
      <c r="A1199" s="15">
        <v>43349</v>
      </c>
      <c r="B1199" s="15" t="s">
        <v>502</v>
      </c>
      <c r="C1199" s="27">
        <v>960</v>
      </c>
      <c r="D1199" s="11" t="e">
        <f>VLOOKUP(B1199,#REF!,7,FALSE)</f>
        <v>#REF!</v>
      </c>
      <c r="E1199" s="31">
        <v>2.5486</v>
      </c>
      <c r="I1199" s="11" t="e">
        <f>+VLOOKUP(B1199,#REF!,7,FALSE)</f>
        <v>#REF!</v>
      </c>
      <c r="J1199" s="12" t="str">
        <f t="shared" si="55"/>
        <v/>
      </c>
      <c r="K1199" s="12" t="str">
        <f t="shared" si="56"/>
        <v/>
      </c>
      <c r="L1199" s="12" t="e">
        <f t="shared" si="57"/>
        <v>#VALUE!</v>
      </c>
    </row>
    <row r="1200" spans="1:12" ht="24" customHeight="1" x14ac:dyDescent="0.25">
      <c r="A1200" s="15">
        <v>43349</v>
      </c>
      <c r="B1200" s="15" t="s">
        <v>503</v>
      </c>
      <c r="C1200" s="27">
        <v>2982</v>
      </c>
      <c r="D1200" s="11" t="e">
        <f>VLOOKUP(B1200,#REF!,7,FALSE)</f>
        <v>#REF!</v>
      </c>
      <c r="E1200" s="31">
        <v>2.0249999999999999</v>
      </c>
      <c r="I1200" s="11" t="e">
        <f>+VLOOKUP(B1200,#REF!,7,FALSE)</f>
        <v>#REF!</v>
      </c>
      <c r="J1200" s="12" t="str">
        <f t="shared" si="55"/>
        <v/>
      </c>
      <c r="K1200" s="12" t="str">
        <f t="shared" si="56"/>
        <v/>
      </c>
      <c r="L1200" s="12" t="e">
        <f t="shared" si="57"/>
        <v>#VALUE!</v>
      </c>
    </row>
    <row r="1201" spans="1:12" ht="24" customHeight="1" x14ac:dyDescent="0.25">
      <c r="A1201" s="15">
        <v>43349</v>
      </c>
      <c r="B1201" s="15" t="s">
        <v>504</v>
      </c>
      <c r="C1201" s="27">
        <v>2916</v>
      </c>
      <c r="D1201" s="11" t="e">
        <f>VLOOKUP(B1201,#REF!,7,FALSE)</f>
        <v>#REF!</v>
      </c>
      <c r="E1201" s="31">
        <v>1.0569</v>
      </c>
      <c r="I1201" s="11" t="e">
        <f>+VLOOKUP(B1201,#REF!,7,FALSE)</f>
        <v>#REF!</v>
      </c>
      <c r="J1201" s="12" t="str">
        <f t="shared" si="55"/>
        <v/>
      </c>
      <c r="K1201" s="12" t="str">
        <f t="shared" si="56"/>
        <v/>
      </c>
      <c r="L1201" s="12" t="e">
        <f t="shared" si="57"/>
        <v>#VALUE!</v>
      </c>
    </row>
    <row r="1202" spans="1:12" ht="24" customHeight="1" x14ac:dyDescent="0.25">
      <c r="A1202" s="15">
        <v>43349</v>
      </c>
      <c r="B1202" s="15" t="s">
        <v>227</v>
      </c>
      <c r="C1202" s="27">
        <v>148</v>
      </c>
      <c r="D1202" s="11" t="e">
        <f>VLOOKUP(B1202,#REF!,7,FALSE)</f>
        <v>#REF!</v>
      </c>
      <c r="E1202" s="31">
        <v>2.3428</v>
      </c>
      <c r="I1202" s="11" t="e">
        <f>+VLOOKUP(B1202,#REF!,7,FALSE)</f>
        <v>#REF!</v>
      </c>
      <c r="J1202" s="12" t="str">
        <f t="shared" si="55"/>
        <v/>
      </c>
      <c r="K1202" s="12" t="str">
        <f t="shared" si="56"/>
        <v/>
      </c>
      <c r="L1202" s="12" t="e">
        <f t="shared" si="57"/>
        <v>#VALUE!</v>
      </c>
    </row>
    <row r="1203" spans="1:12" ht="24" customHeight="1" x14ac:dyDescent="0.25">
      <c r="A1203" s="15">
        <v>43350</v>
      </c>
      <c r="B1203" s="15" t="s">
        <v>19</v>
      </c>
      <c r="C1203" s="27">
        <v>456</v>
      </c>
      <c r="D1203" s="11" t="e">
        <f>VLOOKUP(B1203,#REF!,7,FALSE)</f>
        <v>#REF!</v>
      </c>
      <c r="E1203" s="31">
        <v>2.0369999999999999</v>
      </c>
      <c r="I1203" s="11" t="e">
        <f>+VLOOKUP(B1203,#REF!,7,FALSE)</f>
        <v>#REF!</v>
      </c>
      <c r="J1203" s="12" t="str">
        <f t="shared" si="55"/>
        <v/>
      </c>
      <c r="K1203" s="12" t="str">
        <f t="shared" si="56"/>
        <v/>
      </c>
      <c r="L1203" s="12" t="e">
        <f t="shared" si="57"/>
        <v>#VALUE!</v>
      </c>
    </row>
    <row r="1204" spans="1:12" ht="24" customHeight="1" x14ac:dyDescent="0.25">
      <c r="A1204" s="15">
        <v>43350</v>
      </c>
      <c r="B1204" s="15" t="s">
        <v>22</v>
      </c>
      <c r="C1204" s="27">
        <v>468</v>
      </c>
      <c r="D1204" s="11" t="e">
        <f>VLOOKUP(B1204,#REF!,7,FALSE)</f>
        <v>#REF!</v>
      </c>
      <c r="E1204" s="31">
        <v>2.0369999999999999</v>
      </c>
      <c r="I1204" s="11" t="e">
        <f>+VLOOKUP(B1204,#REF!,7,FALSE)</f>
        <v>#REF!</v>
      </c>
      <c r="J1204" s="12" t="str">
        <f t="shared" si="55"/>
        <v/>
      </c>
      <c r="K1204" s="12" t="str">
        <f t="shared" si="56"/>
        <v/>
      </c>
      <c r="L1204" s="12" t="e">
        <f t="shared" si="57"/>
        <v>#VALUE!</v>
      </c>
    </row>
    <row r="1205" spans="1:12" ht="24" customHeight="1" x14ac:dyDescent="0.25">
      <c r="A1205" s="15">
        <v>43350</v>
      </c>
      <c r="B1205" s="15" t="s">
        <v>311</v>
      </c>
      <c r="C1205" s="27">
        <v>14520</v>
      </c>
      <c r="D1205" s="11" t="e">
        <f>VLOOKUP(B1205,#REF!,7,FALSE)</f>
        <v>#REF!</v>
      </c>
      <c r="E1205" s="31">
        <v>1.4450000000000001</v>
      </c>
      <c r="I1205" s="11" t="e">
        <f>+VLOOKUP(B1205,#REF!,7,FALSE)</f>
        <v>#REF!</v>
      </c>
      <c r="J1205" s="12" t="str">
        <f t="shared" si="55"/>
        <v/>
      </c>
      <c r="K1205" s="12" t="str">
        <f t="shared" si="56"/>
        <v/>
      </c>
      <c r="L1205" s="12" t="e">
        <f t="shared" si="57"/>
        <v>#VALUE!</v>
      </c>
    </row>
    <row r="1206" spans="1:12" ht="24" customHeight="1" x14ac:dyDescent="0.25">
      <c r="A1206" s="15">
        <v>43350</v>
      </c>
      <c r="B1206" s="15" t="s">
        <v>117</v>
      </c>
      <c r="C1206" s="27">
        <v>1704</v>
      </c>
      <c r="D1206" s="11" t="e">
        <f>VLOOKUP(B1206,#REF!,7,FALSE)</f>
        <v>#REF!</v>
      </c>
      <c r="E1206" s="31" t="s">
        <v>11</v>
      </c>
      <c r="I1206" s="11" t="e">
        <f>+VLOOKUP(B1206,#REF!,7,FALSE)</f>
        <v>#REF!</v>
      </c>
      <c r="J1206" s="12" t="str">
        <f t="shared" si="55"/>
        <v/>
      </c>
      <c r="K1206" s="12" t="str">
        <f t="shared" si="56"/>
        <v/>
      </c>
      <c r="L1206" s="12" t="e">
        <f t="shared" si="57"/>
        <v>#VALUE!</v>
      </c>
    </row>
    <row r="1207" spans="1:12" ht="24" customHeight="1" x14ac:dyDescent="0.25">
      <c r="A1207" s="15">
        <v>43350</v>
      </c>
      <c r="B1207" s="15" t="s">
        <v>167</v>
      </c>
      <c r="C1207" s="27">
        <v>540</v>
      </c>
      <c r="D1207" s="11" t="e">
        <f>VLOOKUP(B1207,#REF!,7,FALSE)</f>
        <v>#REF!</v>
      </c>
      <c r="E1207" s="31">
        <v>8.5760000000000005</v>
      </c>
      <c r="I1207" s="11" t="e">
        <f>+VLOOKUP(B1207,#REF!,7,FALSE)</f>
        <v>#REF!</v>
      </c>
      <c r="J1207" s="12" t="str">
        <f t="shared" si="55"/>
        <v/>
      </c>
      <c r="K1207" s="12" t="str">
        <f t="shared" si="56"/>
        <v/>
      </c>
      <c r="L1207" s="12" t="e">
        <f t="shared" si="57"/>
        <v>#VALUE!</v>
      </c>
    </row>
    <row r="1208" spans="1:12" ht="24" customHeight="1" x14ac:dyDescent="0.25">
      <c r="A1208" s="15">
        <v>43350</v>
      </c>
      <c r="B1208" s="15" t="s">
        <v>419</v>
      </c>
      <c r="C1208" s="27">
        <v>1080</v>
      </c>
      <c r="D1208" s="11" t="e">
        <f>VLOOKUP(B1208,#REF!,7,FALSE)</f>
        <v>#REF!</v>
      </c>
      <c r="E1208" s="31">
        <v>2.9159000000000002</v>
      </c>
      <c r="I1208" s="11" t="e">
        <f>+VLOOKUP(B1208,#REF!,7,FALSE)</f>
        <v>#REF!</v>
      </c>
      <c r="J1208" s="12" t="str">
        <f t="shared" si="55"/>
        <v/>
      </c>
      <c r="K1208" s="12" t="str">
        <f t="shared" si="56"/>
        <v/>
      </c>
      <c r="L1208" s="12" t="e">
        <f t="shared" si="57"/>
        <v>#VALUE!</v>
      </c>
    </row>
    <row r="1209" spans="1:12" ht="24" customHeight="1" x14ac:dyDescent="0.25">
      <c r="A1209" s="15">
        <v>43350</v>
      </c>
      <c r="B1209" s="15" t="s">
        <v>444</v>
      </c>
      <c r="C1209" s="27">
        <v>3504</v>
      </c>
      <c r="D1209" s="11" t="e">
        <f>VLOOKUP(B1209,#REF!,7,FALSE)</f>
        <v>#REF!</v>
      </c>
      <c r="E1209" s="31" t="s">
        <v>11</v>
      </c>
      <c r="I1209" s="11" t="e">
        <f>+VLOOKUP(B1209,#REF!,7,FALSE)</f>
        <v>#REF!</v>
      </c>
      <c r="J1209" s="12" t="str">
        <f t="shared" si="55"/>
        <v/>
      </c>
      <c r="K1209" s="12" t="str">
        <f t="shared" si="56"/>
        <v/>
      </c>
      <c r="L1209" s="12" t="e">
        <f t="shared" si="57"/>
        <v>#VALUE!</v>
      </c>
    </row>
    <row r="1210" spans="1:12" ht="24" customHeight="1" x14ac:dyDescent="0.25">
      <c r="A1210" s="15">
        <v>43350</v>
      </c>
      <c r="B1210" s="15" t="s">
        <v>498</v>
      </c>
      <c r="C1210" s="27">
        <v>1827</v>
      </c>
      <c r="D1210" s="11" t="e">
        <f>VLOOKUP(B1210,#REF!,7,FALSE)</f>
        <v>#REF!</v>
      </c>
      <c r="E1210" s="31">
        <v>5.6741999999999999</v>
      </c>
      <c r="I1210" s="11" t="e">
        <f>+VLOOKUP(B1210,#REF!,7,FALSE)</f>
        <v>#REF!</v>
      </c>
      <c r="J1210" s="12" t="str">
        <f t="shared" si="55"/>
        <v/>
      </c>
      <c r="K1210" s="12" t="str">
        <f t="shared" si="56"/>
        <v/>
      </c>
      <c r="L1210" s="12" t="e">
        <f t="shared" si="57"/>
        <v>#VALUE!</v>
      </c>
    </row>
    <row r="1211" spans="1:12" ht="24" customHeight="1" x14ac:dyDescent="0.25">
      <c r="A1211" s="15">
        <v>43350</v>
      </c>
      <c r="B1211" s="15" t="s">
        <v>505</v>
      </c>
      <c r="C1211" s="27">
        <v>1968</v>
      </c>
      <c r="D1211" s="11" t="e">
        <f>VLOOKUP(B1211,#REF!,7,FALSE)</f>
        <v>#REF!</v>
      </c>
      <c r="E1211" s="31">
        <v>4.7560000000000002</v>
      </c>
      <c r="I1211" s="11" t="e">
        <f>+VLOOKUP(B1211,#REF!,7,FALSE)</f>
        <v>#REF!</v>
      </c>
      <c r="J1211" s="12" t="str">
        <f t="shared" si="55"/>
        <v/>
      </c>
      <c r="K1211" s="12" t="str">
        <f t="shared" si="56"/>
        <v/>
      </c>
      <c r="L1211" s="12" t="e">
        <f t="shared" si="57"/>
        <v>#VALUE!</v>
      </c>
    </row>
    <row r="1212" spans="1:12" ht="24" customHeight="1" x14ac:dyDescent="0.25">
      <c r="A1212" s="15">
        <v>43350</v>
      </c>
      <c r="B1212" s="15" t="s">
        <v>506</v>
      </c>
      <c r="C1212" s="27">
        <v>372</v>
      </c>
      <c r="D1212" s="11" t="e">
        <f>VLOOKUP(B1212,#REF!,7,FALSE)</f>
        <v>#REF!</v>
      </c>
      <c r="E1212" s="31">
        <v>2.9207999999999998</v>
      </c>
      <c r="I1212" s="11" t="e">
        <f>+VLOOKUP(B1212,#REF!,7,FALSE)</f>
        <v>#REF!</v>
      </c>
      <c r="J1212" s="12" t="str">
        <f t="shared" si="55"/>
        <v/>
      </c>
      <c r="K1212" s="12" t="str">
        <f t="shared" si="56"/>
        <v/>
      </c>
      <c r="L1212" s="12" t="e">
        <f t="shared" si="57"/>
        <v>#VALUE!</v>
      </c>
    </row>
    <row r="1213" spans="1:12" ht="24" customHeight="1" x14ac:dyDescent="0.25">
      <c r="A1213" s="15">
        <v>43350</v>
      </c>
      <c r="B1213" s="15" t="s">
        <v>502</v>
      </c>
      <c r="C1213" s="27">
        <v>472</v>
      </c>
      <c r="D1213" s="11" t="e">
        <f>VLOOKUP(B1213,#REF!,7,FALSE)</f>
        <v>#REF!</v>
      </c>
      <c r="E1213" s="31">
        <v>2.5486</v>
      </c>
      <c r="I1213" s="11" t="e">
        <f>+VLOOKUP(B1213,#REF!,7,FALSE)</f>
        <v>#REF!</v>
      </c>
      <c r="J1213" s="12" t="str">
        <f t="shared" si="55"/>
        <v/>
      </c>
      <c r="K1213" s="12" t="str">
        <f t="shared" si="56"/>
        <v/>
      </c>
      <c r="L1213" s="12" t="e">
        <f t="shared" si="57"/>
        <v>#VALUE!</v>
      </c>
    </row>
    <row r="1214" spans="1:12" ht="24" customHeight="1" x14ac:dyDescent="0.25">
      <c r="A1214" s="15">
        <v>43350</v>
      </c>
      <c r="B1214" s="15" t="s">
        <v>507</v>
      </c>
      <c r="C1214" s="27">
        <v>996</v>
      </c>
      <c r="D1214" s="11" t="e">
        <f>VLOOKUP(B1214,#REF!,7,FALSE)</f>
        <v>#REF!</v>
      </c>
      <c r="E1214" s="31">
        <v>2.2648999999999999</v>
      </c>
      <c r="I1214" s="11" t="e">
        <f>+VLOOKUP(B1214,#REF!,7,FALSE)</f>
        <v>#REF!</v>
      </c>
      <c r="J1214" s="12" t="str">
        <f t="shared" si="55"/>
        <v/>
      </c>
      <c r="K1214" s="12" t="str">
        <f t="shared" si="56"/>
        <v/>
      </c>
      <c r="L1214" s="12" t="e">
        <f t="shared" si="57"/>
        <v>#VALUE!</v>
      </c>
    </row>
    <row r="1215" spans="1:12" ht="24" customHeight="1" x14ac:dyDescent="0.25">
      <c r="A1215" s="15">
        <v>43350</v>
      </c>
      <c r="B1215" s="15" t="s">
        <v>508</v>
      </c>
      <c r="C1215" s="27">
        <v>1404</v>
      </c>
      <c r="D1215" s="11" t="e">
        <f>VLOOKUP(B1215,#REF!,7,FALSE)</f>
        <v>#REF!</v>
      </c>
      <c r="E1215" s="31">
        <v>1.2013</v>
      </c>
      <c r="I1215" s="11" t="e">
        <f>+VLOOKUP(B1215,#REF!,7,FALSE)</f>
        <v>#REF!</v>
      </c>
      <c r="J1215" s="12" t="str">
        <f t="shared" si="55"/>
        <v/>
      </c>
      <c r="K1215" s="12" t="str">
        <f t="shared" si="56"/>
        <v/>
      </c>
      <c r="L1215" s="12" t="e">
        <f t="shared" si="57"/>
        <v>#VALUE!</v>
      </c>
    </row>
    <row r="1216" spans="1:12" ht="24" customHeight="1" x14ac:dyDescent="0.25">
      <c r="A1216" s="15">
        <v>43350</v>
      </c>
      <c r="B1216" s="15" t="s">
        <v>496</v>
      </c>
      <c r="C1216" s="27">
        <v>462</v>
      </c>
      <c r="D1216" s="11" t="e">
        <f>VLOOKUP(B1216,#REF!,7,FALSE)</f>
        <v>#REF!</v>
      </c>
      <c r="E1216" s="31">
        <v>4.3887</v>
      </c>
      <c r="I1216" s="11" t="e">
        <f>+VLOOKUP(B1216,#REF!,7,FALSE)</f>
        <v>#REF!</v>
      </c>
      <c r="J1216" s="12" t="str">
        <f t="shared" si="55"/>
        <v/>
      </c>
      <c r="K1216" s="12" t="str">
        <f t="shared" si="56"/>
        <v/>
      </c>
      <c r="L1216" s="12" t="e">
        <f t="shared" si="57"/>
        <v>#VALUE!</v>
      </c>
    </row>
    <row r="1217" spans="1:12" ht="24" customHeight="1" x14ac:dyDescent="0.25">
      <c r="A1217" s="15">
        <v>43351</v>
      </c>
      <c r="B1217" s="15" t="s">
        <v>321</v>
      </c>
      <c r="C1217" s="27">
        <v>5948</v>
      </c>
      <c r="D1217" s="11" t="e">
        <f>VLOOKUP(B1217,#REF!,7,FALSE)</f>
        <v>#REF!</v>
      </c>
      <c r="E1217" s="31">
        <v>2.1393</v>
      </c>
      <c r="I1217" s="11" t="e">
        <f>+VLOOKUP(B1217,#REF!,7,FALSE)</f>
        <v>#REF!</v>
      </c>
      <c r="J1217" s="12" t="str">
        <f t="shared" si="55"/>
        <v/>
      </c>
      <c r="K1217" s="12" t="str">
        <f t="shared" si="56"/>
        <v/>
      </c>
      <c r="L1217" s="12" t="e">
        <f t="shared" si="57"/>
        <v>#VALUE!</v>
      </c>
    </row>
    <row r="1218" spans="1:12" ht="24" customHeight="1" x14ac:dyDescent="0.25">
      <c r="A1218" s="15">
        <v>43351</v>
      </c>
      <c r="B1218" s="15" t="s">
        <v>179</v>
      </c>
      <c r="C1218" s="27">
        <v>4836</v>
      </c>
      <c r="D1218" s="11" t="e">
        <f>VLOOKUP(B1218,#REF!,7,FALSE)</f>
        <v>#REF!</v>
      </c>
      <c r="E1218" s="31">
        <v>2.6675</v>
      </c>
      <c r="I1218" s="11" t="e">
        <f>+VLOOKUP(B1218,#REF!,7,FALSE)</f>
        <v>#REF!</v>
      </c>
      <c r="J1218" s="12" t="str">
        <f t="shared" si="55"/>
        <v/>
      </c>
      <c r="K1218" s="12" t="str">
        <f t="shared" si="56"/>
        <v/>
      </c>
      <c r="L1218" s="12" t="e">
        <f t="shared" si="57"/>
        <v>#VALUE!</v>
      </c>
    </row>
    <row r="1219" spans="1:12" ht="24" customHeight="1" x14ac:dyDescent="0.25">
      <c r="A1219" s="15">
        <v>43351</v>
      </c>
      <c r="B1219" s="15" t="s">
        <v>386</v>
      </c>
      <c r="C1219" s="27">
        <v>2010</v>
      </c>
      <c r="D1219" s="11" t="e">
        <f>VLOOKUP(B1219,#REF!,7,FALSE)</f>
        <v>#REF!</v>
      </c>
      <c r="E1219" s="31">
        <v>2.2799999999999998</v>
      </c>
      <c r="I1219" s="11" t="e">
        <f>+VLOOKUP(B1219,#REF!,7,FALSE)</f>
        <v>#REF!</v>
      </c>
      <c r="J1219" s="12" t="str">
        <f t="shared" si="55"/>
        <v/>
      </c>
      <c r="K1219" s="12" t="str">
        <f t="shared" si="56"/>
        <v/>
      </c>
      <c r="L1219" s="12" t="e">
        <f t="shared" si="57"/>
        <v>#VALUE!</v>
      </c>
    </row>
    <row r="1220" spans="1:12" ht="24" customHeight="1" x14ac:dyDescent="0.25">
      <c r="A1220" s="15">
        <v>43351</v>
      </c>
      <c r="B1220" s="15" t="s">
        <v>387</v>
      </c>
      <c r="C1220" s="27">
        <v>1380</v>
      </c>
      <c r="D1220" s="11" t="e">
        <f>VLOOKUP(B1220,#REF!,7,FALSE)</f>
        <v>#REF!</v>
      </c>
      <c r="E1220" s="31">
        <v>3.2869999999999999</v>
      </c>
      <c r="I1220" s="11" t="e">
        <f>+VLOOKUP(B1220,#REF!,7,FALSE)</f>
        <v>#REF!</v>
      </c>
      <c r="J1220" s="12" t="str">
        <f t="shared" ref="J1220:J1283" si="58">IFERROR((I1220-(D1220+F1220))/I1220,"")</f>
        <v/>
      </c>
      <c r="K1220" s="12" t="str">
        <f t="shared" ref="K1220:K1283" si="59">IF(E1220="","",IFERROR((I1220-(E1220+G1220+H1220))/I1220,""))</f>
        <v/>
      </c>
      <c r="L1220" s="12" t="e">
        <f t="shared" si="57"/>
        <v>#VALUE!</v>
      </c>
    </row>
    <row r="1221" spans="1:12" ht="24" customHeight="1" x14ac:dyDescent="0.25">
      <c r="A1221" s="15">
        <v>43351</v>
      </c>
      <c r="B1221" s="15" t="s">
        <v>506</v>
      </c>
      <c r="C1221" s="27">
        <v>1892</v>
      </c>
      <c r="D1221" s="11" t="e">
        <f>VLOOKUP(B1221,#REF!,7,FALSE)</f>
        <v>#REF!</v>
      </c>
      <c r="E1221" s="31">
        <v>2.8199000000000001</v>
      </c>
      <c r="I1221" s="11" t="e">
        <f>+VLOOKUP(B1221,#REF!,7,FALSE)</f>
        <v>#REF!</v>
      </c>
      <c r="J1221" s="12" t="str">
        <f t="shared" si="58"/>
        <v/>
      </c>
      <c r="K1221" s="12" t="str">
        <f t="shared" si="59"/>
        <v/>
      </c>
      <c r="L1221" s="12" t="e">
        <f t="shared" si="57"/>
        <v>#VALUE!</v>
      </c>
    </row>
    <row r="1222" spans="1:12" ht="24" customHeight="1" x14ac:dyDescent="0.25">
      <c r="A1222" s="15">
        <v>43351</v>
      </c>
      <c r="B1222" s="15" t="s">
        <v>496</v>
      </c>
      <c r="C1222" s="27">
        <v>582</v>
      </c>
      <c r="D1222" s="11" t="e">
        <f>VLOOKUP(B1222,#REF!,7,FALSE)</f>
        <v>#REF!</v>
      </c>
      <c r="E1222" s="31">
        <v>4.2305000000000001</v>
      </c>
      <c r="I1222" s="11" t="e">
        <f>+VLOOKUP(B1222,#REF!,7,FALSE)</f>
        <v>#REF!</v>
      </c>
      <c r="J1222" s="12" t="str">
        <f t="shared" si="58"/>
        <v/>
      </c>
      <c r="K1222" s="12" t="str">
        <f t="shared" si="59"/>
        <v/>
      </c>
      <c r="L1222" s="12" t="e">
        <f t="shared" si="57"/>
        <v>#VALUE!</v>
      </c>
    </row>
    <row r="1223" spans="1:12" ht="24" customHeight="1" x14ac:dyDescent="0.25">
      <c r="A1223" s="15">
        <v>43353</v>
      </c>
      <c r="B1223" s="15" t="s">
        <v>509</v>
      </c>
      <c r="C1223" s="27">
        <v>1145</v>
      </c>
      <c r="D1223" s="11" t="e">
        <f>VLOOKUP(B1223,#REF!,7,FALSE)</f>
        <v>#REF!</v>
      </c>
      <c r="E1223" s="31" t="s">
        <v>11</v>
      </c>
      <c r="I1223" s="11" t="e">
        <f>+VLOOKUP(B1223,#REF!,7,FALSE)</f>
        <v>#REF!</v>
      </c>
      <c r="J1223" s="12" t="str">
        <f t="shared" si="58"/>
        <v/>
      </c>
      <c r="K1223" s="12" t="str">
        <f t="shared" si="59"/>
        <v/>
      </c>
      <c r="L1223" s="12" t="e">
        <f t="shared" si="57"/>
        <v>#VALUE!</v>
      </c>
    </row>
    <row r="1224" spans="1:12" ht="24" customHeight="1" x14ac:dyDescent="0.25">
      <c r="A1224" s="15">
        <v>43353</v>
      </c>
      <c r="B1224" s="15" t="s">
        <v>331</v>
      </c>
      <c r="C1224" s="27">
        <v>807</v>
      </c>
      <c r="D1224" s="11" t="e">
        <f>VLOOKUP(B1224,#REF!,7,FALSE)</f>
        <v>#REF!</v>
      </c>
      <c r="E1224" s="31">
        <v>2.8140999999999998</v>
      </c>
      <c r="I1224" s="11" t="e">
        <f>+VLOOKUP(B1224,#REF!,7,FALSE)</f>
        <v>#REF!</v>
      </c>
      <c r="J1224" s="12" t="str">
        <f t="shared" si="58"/>
        <v/>
      </c>
      <c r="K1224" s="12" t="str">
        <f t="shared" si="59"/>
        <v/>
      </c>
      <c r="L1224" s="12" t="e">
        <f t="shared" si="57"/>
        <v>#VALUE!</v>
      </c>
    </row>
    <row r="1225" spans="1:12" ht="24" customHeight="1" x14ac:dyDescent="0.25">
      <c r="A1225" s="15">
        <v>43353</v>
      </c>
      <c r="B1225" s="15" t="s">
        <v>332</v>
      </c>
      <c r="C1225" s="27">
        <v>4860</v>
      </c>
      <c r="D1225" s="11" t="e">
        <f>VLOOKUP(B1225,#REF!,7,FALSE)</f>
        <v>#REF!</v>
      </c>
      <c r="E1225" s="31">
        <v>1.7351000000000001</v>
      </c>
      <c r="I1225" s="11" t="e">
        <f>+VLOOKUP(B1225,#REF!,7,FALSE)</f>
        <v>#REF!</v>
      </c>
      <c r="J1225" s="12" t="str">
        <f t="shared" si="58"/>
        <v/>
      </c>
      <c r="K1225" s="12" t="str">
        <f t="shared" si="59"/>
        <v/>
      </c>
      <c r="L1225" s="12" t="e">
        <f t="shared" si="57"/>
        <v>#VALUE!</v>
      </c>
    </row>
    <row r="1226" spans="1:12" ht="24" customHeight="1" x14ac:dyDescent="0.25">
      <c r="A1226" s="15">
        <v>43353</v>
      </c>
      <c r="B1226" s="15" t="s">
        <v>341</v>
      </c>
      <c r="C1226" s="27">
        <v>8400</v>
      </c>
      <c r="D1226" s="11" t="e">
        <f>VLOOKUP(B1226,#REF!,7,FALSE)</f>
        <v>#REF!</v>
      </c>
      <c r="E1226" s="31">
        <v>1.5249999999999999</v>
      </c>
      <c r="I1226" s="11" t="e">
        <f>+VLOOKUP(B1226,#REF!,7,FALSE)</f>
        <v>#REF!</v>
      </c>
      <c r="J1226" s="12" t="str">
        <f t="shared" si="58"/>
        <v/>
      </c>
      <c r="K1226" s="12" t="str">
        <f t="shared" si="59"/>
        <v/>
      </c>
      <c r="L1226" s="12" t="e">
        <f t="shared" si="57"/>
        <v>#VALUE!</v>
      </c>
    </row>
    <row r="1227" spans="1:12" ht="24" customHeight="1" x14ac:dyDescent="0.25">
      <c r="A1227" s="15">
        <v>43353</v>
      </c>
      <c r="B1227" s="15" t="s">
        <v>179</v>
      </c>
      <c r="C1227" s="27">
        <v>10734</v>
      </c>
      <c r="D1227" s="11" t="e">
        <f>VLOOKUP(B1227,#REF!,7,FALSE)</f>
        <v>#REF!</v>
      </c>
      <c r="E1227" s="31">
        <v>2.6074999999999999</v>
      </c>
      <c r="I1227" s="11" t="e">
        <f>+VLOOKUP(B1227,#REF!,7,FALSE)</f>
        <v>#REF!</v>
      </c>
      <c r="J1227" s="12" t="str">
        <f t="shared" si="58"/>
        <v/>
      </c>
      <c r="K1227" s="12" t="str">
        <f t="shared" si="59"/>
        <v/>
      </c>
      <c r="L1227" s="12" t="e">
        <f t="shared" si="57"/>
        <v>#VALUE!</v>
      </c>
    </row>
    <row r="1228" spans="1:12" ht="24" customHeight="1" x14ac:dyDescent="0.25">
      <c r="A1228" s="15">
        <v>43353</v>
      </c>
      <c r="B1228" s="15" t="s">
        <v>511</v>
      </c>
      <c r="C1228" s="27">
        <v>1179</v>
      </c>
      <c r="D1228" s="11" t="e">
        <f>VLOOKUP(B1228,#REF!,7,FALSE)</f>
        <v>#REF!</v>
      </c>
      <c r="E1228" s="31">
        <v>2.9685999999999999</v>
      </c>
      <c r="I1228" s="11" t="e">
        <f>+VLOOKUP(B1228,#REF!,7,FALSE)</f>
        <v>#REF!</v>
      </c>
      <c r="J1228" s="12" t="str">
        <f t="shared" si="58"/>
        <v/>
      </c>
      <c r="K1228" s="12" t="str">
        <f t="shared" si="59"/>
        <v/>
      </c>
      <c r="L1228" s="12" t="e">
        <f t="shared" si="57"/>
        <v>#VALUE!</v>
      </c>
    </row>
    <row r="1229" spans="1:12" ht="24" customHeight="1" x14ac:dyDescent="0.25">
      <c r="A1229" s="15">
        <v>43354</v>
      </c>
      <c r="B1229" s="15" t="s">
        <v>47</v>
      </c>
      <c r="C1229" s="27">
        <v>82</v>
      </c>
      <c r="D1229" s="11" t="e">
        <f>VLOOKUP(B1229,#REF!,7,FALSE)</f>
        <v>#REF!</v>
      </c>
      <c r="E1229" s="31">
        <v>8.9321999999999999</v>
      </c>
      <c r="I1229" s="11" t="e">
        <f>+VLOOKUP(B1229,#REF!,7,FALSE)</f>
        <v>#REF!</v>
      </c>
      <c r="J1229" s="12" t="str">
        <f t="shared" si="58"/>
        <v/>
      </c>
      <c r="K1229" s="12" t="str">
        <f t="shared" si="59"/>
        <v/>
      </c>
      <c r="L1229" s="12" t="e">
        <f t="shared" si="57"/>
        <v>#VALUE!</v>
      </c>
    </row>
    <row r="1230" spans="1:12" ht="24" customHeight="1" x14ac:dyDescent="0.25">
      <c r="A1230" s="15">
        <v>43354</v>
      </c>
      <c r="B1230" s="15" t="s">
        <v>82</v>
      </c>
      <c r="C1230" s="27">
        <v>762</v>
      </c>
      <c r="D1230" s="11">
        <v>1.2810999999999999</v>
      </c>
      <c r="E1230" s="31">
        <v>1.3411999999999999</v>
      </c>
      <c r="I1230" s="11" t="e">
        <f>+VLOOKUP(B1230,#REF!,7,FALSE)</f>
        <v>#REF!</v>
      </c>
      <c r="J1230" s="12" t="str">
        <f t="shared" si="58"/>
        <v/>
      </c>
      <c r="K1230" s="12" t="str">
        <f t="shared" si="59"/>
        <v/>
      </c>
      <c r="L1230" s="12" t="e">
        <f t="shared" si="57"/>
        <v>#VALUE!</v>
      </c>
    </row>
    <row r="1231" spans="1:12" ht="24" customHeight="1" x14ac:dyDescent="0.25">
      <c r="A1231" s="15">
        <v>43354</v>
      </c>
      <c r="B1231" s="15" t="s">
        <v>83</v>
      </c>
      <c r="C1231" s="27">
        <v>858</v>
      </c>
      <c r="D1231" s="11" t="e">
        <f>VLOOKUP(B1231,#REF!,7,FALSE)</f>
        <v>#REF!</v>
      </c>
      <c r="E1231" s="31">
        <v>1.611</v>
      </c>
      <c r="I1231" s="11" t="e">
        <f>+VLOOKUP(B1231,#REF!,7,FALSE)</f>
        <v>#REF!</v>
      </c>
      <c r="J1231" s="12" t="str">
        <f t="shared" si="58"/>
        <v/>
      </c>
      <c r="K1231" s="12" t="str">
        <f t="shared" si="59"/>
        <v/>
      </c>
      <c r="L1231" s="12" t="e">
        <f t="shared" si="57"/>
        <v>#VALUE!</v>
      </c>
    </row>
    <row r="1232" spans="1:12" ht="24" customHeight="1" x14ac:dyDescent="0.25">
      <c r="A1232" s="15">
        <v>43354</v>
      </c>
      <c r="B1232" s="15" t="s">
        <v>244</v>
      </c>
      <c r="C1232" s="27">
        <v>546</v>
      </c>
      <c r="D1232" s="11" t="e">
        <f>VLOOKUP(B1232,#REF!,7,FALSE)</f>
        <v>#REF!</v>
      </c>
      <c r="E1232" s="31">
        <v>1.2565999999999999</v>
      </c>
      <c r="I1232" s="11" t="e">
        <f>+VLOOKUP(B1232,#REF!,7,FALSE)</f>
        <v>#REF!</v>
      </c>
      <c r="J1232" s="12" t="str">
        <f t="shared" si="58"/>
        <v/>
      </c>
      <c r="K1232" s="12" t="str">
        <f t="shared" si="59"/>
        <v/>
      </c>
      <c r="L1232" s="12" t="e">
        <f t="shared" si="57"/>
        <v>#VALUE!</v>
      </c>
    </row>
    <row r="1233" spans="1:12" ht="24" customHeight="1" x14ac:dyDescent="0.25">
      <c r="A1233" s="15">
        <v>43354</v>
      </c>
      <c r="B1233" s="15" t="s">
        <v>314</v>
      </c>
      <c r="C1233" s="27">
        <v>13308</v>
      </c>
      <c r="D1233" s="11" t="e">
        <f>VLOOKUP(B1233,#REF!,7,FALSE)</f>
        <v>#REF!</v>
      </c>
      <c r="E1233" s="31">
        <v>2.4386999999999999</v>
      </c>
      <c r="I1233" s="11" t="e">
        <f>+VLOOKUP(B1233,#REF!,7,FALSE)</f>
        <v>#REF!</v>
      </c>
      <c r="J1233" s="12" t="str">
        <f t="shared" si="58"/>
        <v/>
      </c>
      <c r="K1233" s="12" t="str">
        <f t="shared" si="59"/>
        <v/>
      </c>
      <c r="L1233" s="12" t="e">
        <f t="shared" si="57"/>
        <v>#VALUE!</v>
      </c>
    </row>
    <row r="1234" spans="1:12" ht="24" customHeight="1" x14ac:dyDescent="0.25">
      <c r="A1234" s="15">
        <v>43354</v>
      </c>
      <c r="B1234" s="15" t="s">
        <v>355</v>
      </c>
      <c r="C1234" s="27">
        <v>9054</v>
      </c>
      <c r="D1234" s="11" t="e">
        <f>VLOOKUP(B1234,#REF!,7,FALSE)</f>
        <v>#REF!</v>
      </c>
      <c r="E1234" s="31">
        <v>1.4353</v>
      </c>
      <c r="I1234" s="11" t="e">
        <f>+VLOOKUP(B1234,#REF!,7,FALSE)</f>
        <v>#REF!</v>
      </c>
      <c r="J1234" s="12" t="str">
        <f t="shared" si="58"/>
        <v/>
      </c>
      <c r="K1234" s="12" t="str">
        <f t="shared" si="59"/>
        <v/>
      </c>
      <c r="L1234" s="12" t="e">
        <f t="shared" si="57"/>
        <v>#VALUE!</v>
      </c>
    </row>
    <row r="1235" spans="1:12" ht="24" customHeight="1" x14ac:dyDescent="0.25">
      <c r="A1235" s="15">
        <v>43354</v>
      </c>
      <c r="B1235" s="15" t="s">
        <v>356</v>
      </c>
      <c r="C1235" s="27">
        <v>2020</v>
      </c>
      <c r="D1235" s="11" t="e">
        <f>VLOOKUP(B1235,#REF!,7,FALSE)</f>
        <v>#REF!</v>
      </c>
      <c r="E1235" s="31">
        <v>2.5270000000000001</v>
      </c>
      <c r="I1235" s="11" t="e">
        <f>+VLOOKUP(B1235,#REF!,7,FALSE)</f>
        <v>#REF!</v>
      </c>
      <c r="J1235" s="12" t="str">
        <f t="shared" si="58"/>
        <v/>
      </c>
      <c r="K1235" s="12" t="str">
        <f t="shared" si="59"/>
        <v/>
      </c>
      <c r="L1235" s="12" t="e">
        <f t="shared" si="57"/>
        <v>#VALUE!</v>
      </c>
    </row>
    <row r="1236" spans="1:12" ht="24" customHeight="1" x14ac:dyDescent="0.25">
      <c r="A1236" s="15">
        <v>43354</v>
      </c>
      <c r="B1236" s="15" t="s">
        <v>388</v>
      </c>
      <c r="C1236" s="27">
        <v>1480</v>
      </c>
      <c r="D1236" s="11" t="e">
        <f>VLOOKUP(B1236,#REF!,7,FALSE)</f>
        <v>#REF!</v>
      </c>
      <c r="E1236" s="31">
        <v>0.87760000000000005</v>
      </c>
      <c r="I1236" s="11" t="e">
        <f>+VLOOKUP(B1236,#REF!,7,FALSE)</f>
        <v>#REF!</v>
      </c>
      <c r="J1236" s="12" t="str">
        <f t="shared" si="58"/>
        <v/>
      </c>
      <c r="K1236" s="12" t="str">
        <f t="shared" si="59"/>
        <v/>
      </c>
      <c r="L1236" s="12" t="e">
        <f t="shared" si="57"/>
        <v>#VALUE!</v>
      </c>
    </row>
    <row r="1237" spans="1:12" ht="24" customHeight="1" x14ac:dyDescent="0.25">
      <c r="A1237" s="15">
        <v>43354</v>
      </c>
      <c r="B1237" s="15" t="s">
        <v>417</v>
      </c>
      <c r="C1237" s="27">
        <v>2574</v>
      </c>
      <c r="D1237" s="11" t="e">
        <f>VLOOKUP(B1237,#REF!,7,FALSE)</f>
        <v>#REF!</v>
      </c>
      <c r="E1237" s="31">
        <v>2.3098999999999998</v>
      </c>
      <c r="I1237" s="11" t="e">
        <f>+VLOOKUP(B1237,#REF!,7,FALSE)</f>
        <v>#REF!</v>
      </c>
      <c r="J1237" s="12" t="str">
        <f t="shared" si="58"/>
        <v/>
      </c>
      <c r="K1237" s="12" t="str">
        <f t="shared" si="59"/>
        <v/>
      </c>
      <c r="L1237" s="12" t="e">
        <f t="shared" si="57"/>
        <v>#VALUE!</v>
      </c>
    </row>
    <row r="1238" spans="1:12" ht="24" customHeight="1" x14ac:dyDescent="0.25">
      <c r="A1238" s="15">
        <v>43354</v>
      </c>
      <c r="B1238" s="15" t="s">
        <v>510</v>
      </c>
      <c r="C1238" s="27">
        <v>402</v>
      </c>
      <c r="D1238" s="11" t="e">
        <f>VLOOKUP(B1238,#REF!,7,FALSE)</f>
        <v>#REF!</v>
      </c>
      <c r="E1238" s="31">
        <v>6.6748000000000003</v>
      </c>
      <c r="I1238" s="11" t="e">
        <f>+VLOOKUP(B1238,#REF!,7,FALSE)</f>
        <v>#REF!</v>
      </c>
      <c r="J1238" s="12" t="str">
        <f t="shared" si="58"/>
        <v/>
      </c>
      <c r="K1238" s="12" t="str">
        <f t="shared" si="59"/>
        <v/>
      </c>
      <c r="L1238" s="12" t="e">
        <f t="shared" si="57"/>
        <v>#VALUE!</v>
      </c>
    </row>
    <row r="1239" spans="1:12" ht="24" customHeight="1" x14ac:dyDescent="0.25">
      <c r="A1239" s="15">
        <v>43354</v>
      </c>
      <c r="B1239" s="15" t="s">
        <v>496</v>
      </c>
      <c r="C1239" s="27">
        <v>429</v>
      </c>
      <c r="D1239" s="11" t="e">
        <f>VLOOKUP(B1239,#REF!,7,FALSE)</f>
        <v>#REF!</v>
      </c>
      <c r="E1239" s="31">
        <v>3.6212</v>
      </c>
      <c r="I1239" s="11" t="e">
        <f>+VLOOKUP(B1239,#REF!,7,FALSE)</f>
        <v>#REF!</v>
      </c>
      <c r="J1239" s="12" t="str">
        <f t="shared" si="58"/>
        <v/>
      </c>
      <c r="K1239" s="12" t="str">
        <f t="shared" si="59"/>
        <v/>
      </c>
      <c r="L1239" s="12" t="e">
        <f t="shared" si="57"/>
        <v>#VALUE!</v>
      </c>
    </row>
    <row r="1240" spans="1:12" ht="24" customHeight="1" x14ac:dyDescent="0.25">
      <c r="A1240" s="15">
        <v>43355</v>
      </c>
      <c r="B1240" s="15" t="s">
        <v>262</v>
      </c>
      <c r="C1240" s="27">
        <v>252</v>
      </c>
      <c r="D1240" s="11" t="e">
        <f>VLOOKUP(B1240,#REF!,7,FALSE)</f>
        <v>#REF!</v>
      </c>
      <c r="E1240" s="31">
        <v>3.6739999999999999</v>
      </c>
      <c r="I1240" s="11" t="e">
        <f>+VLOOKUP(B1240,#REF!,7,FALSE)</f>
        <v>#REF!</v>
      </c>
      <c r="J1240" s="12" t="str">
        <f t="shared" si="58"/>
        <v/>
      </c>
      <c r="K1240" s="12" t="str">
        <f t="shared" si="59"/>
        <v/>
      </c>
      <c r="L1240" s="12" t="e">
        <f t="shared" si="57"/>
        <v>#VALUE!</v>
      </c>
    </row>
    <row r="1241" spans="1:12" ht="24" customHeight="1" x14ac:dyDescent="0.25">
      <c r="A1241" s="15">
        <v>43355</v>
      </c>
      <c r="B1241" s="15" t="s">
        <v>314</v>
      </c>
      <c r="C1241" s="27">
        <v>2250</v>
      </c>
      <c r="D1241" s="11" t="e">
        <f>VLOOKUP(B1241,#REF!,7,FALSE)</f>
        <v>#REF!</v>
      </c>
      <c r="E1241" s="31">
        <v>2.2583000000000002</v>
      </c>
      <c r="I1241" s="11" t="e">
        <f>+VLOOKUP(B1241,#REF!,7,FALSE)</f>
        <v>#REF!</v>
      </c>
      <c r="J1241" s="12" t="str">
        <f t="shared" si="58"/>
        <v/>
      </c>
      <c r="K1241" s="12" t="str">
        <f t="shared" si="59"/>
        <v/>
      </c>
      <c r="L1241" s="12" t="e">
        <f t="shared" si="57"/>
        <v>#VALUE!</v>
      </c>
    </row>
    <row r="1242" spans="1:12" ht="24" customHeight="1" x14ac:dyDescent="0.25">
      <c r="A1242" s="15">
        <v>43355</v>
      </c>
      <c r="B1242" s="15" t="s">
        <v>115</v>
      </c>
      <c r="C1242" s="27">
        <v>6288</v>
      </c>
      <c r="D1242" s="11" t="e">
        <f>VLOOKUP(B1242,#REF!,7,FALSE)</f>
        <v>#REF!</v>
      </c>
      <c r="E1242" s="31">
        <v>3.1919</v>
      </c>
      <c r="I1242" s="11" t="e">
        <f>+VLOOKUP(B1242,#REF!,7,FALSE)</f>
        <v>#REF!</v>
      </c>
      <c r="J1242" s="12" t="str">
        <f t="shared" si="58"/>
        <v/>
      </c>
      <c r="K1242" s="12" t="str">
        <f t="shared" si="59"/>
        <v/>
      </c>
      <c r="L1242" s="12" t="e">
        <f t="shared" si="57"/>
        <v>#VALUE!</v>
      </c>
    </row>
    <row r="1243" spans="1:12" ht="24" customHeight="1" x14ac:dyDescent="0.25">
      <c r="A1243" s="15">
        <v>43355</v>
      </c>
      <c r="B1243" s="15" t="s">
        <v>324</v>
      </c>
      <c r="C1243" s="27">
        <v>2912</v>
      </c>
      <c r="D1243" s="11" t="e">
        <f>VLOOKUP(B1243,#REF!,7,FALSE)</f>
        <v>#REF!</v>
      </c>
      <c r="E1243" s="31">
        <v>2.1974999999999998</v>
      </c>
      <c r="I1243" s="11" t="e">
        <f>+VLOOKUP(B1243,#REF!,7,FALSE)</f>
        <v>#REF!</v>
      </c>
      <c r="J1243" s="12" t="str">
        <f t="shared" si="58"/>
        <v/>
      </c>
      <c r="K1243" s="12" t="str">
        <f t="shared" si="59"/>
        <v/>
      </c>
      <c r="L1243" s="12" t="e">
        <f t="shared" si="57"/>
        <v>#VALUE!</v>
      </c>
    </row>
    <row r="1244" spans="1:12" ht="24" customHeight="1" x14ac:dyDescent="0.25">
      <c r="A1244" s="15">
        <v>43355</v>
      </c>
      <c r="B1244" s="15" t="s">
        <v>328</v>
      </c>
      <c r="C1244" s="27">
        <v>5164</v>
      </c>
      <c r="D1244" s="11" t="e">
        <f>VLOOKUP(B1244,#REF!,7,FALSE)</f>
        <v>#REF!</v>
      </c>
      <c r="E1244" s="31">
        <v>1.8374999999999999</v>
      </c>
      <c r="I1244" s="11" t="e">
        <f>+VLOOKUP(B1244,#REF!,7,FALSE)</f>
        <v>#REF!</v>
      </c>
      <c r="J1244" s="12" t="str">
        <f t="shared" si="58"/>
        <v/>
      </c>
      <c r="K1244" s="12" t="str">
        <f t="shared" si="59"/>
        <v/>
      </c>
      <c r="L1244" s="12" t="e">
        <f t="shared" si="57"/>
        <v>#VALUE!</v>
      </c>
    </row>
    <row r="1245" spans="1:12" ht="24" customHeight="1" x14ac:dyDescent="0.25">
      <c r="A1245" s="15">
        <v>43355</v>
      </c>
      <c r="B1245" s="15" t="s">
        <v>342</v>
      </c>
      <c r="C1245" s="27">
        <v>1116</v>
      </c>
      <c r="D1245" s="11" t="e">
        <f>VLOOKUP(B1245,#REF!,7,FALSE)</f>
        <v>#REF!</v>
      </c>
      <c r="E1245" s="31">
        <v>1.3514999999999999</v>
      </c>
      <c r="I1245" s="11" t="e">
        <f>+VLOOKUP(B1245,#REF!,7,FALSE)</f>
        <v>#REF!</v>
      </c>
      <c r="J1245" s="12" t="str">
        <f t="shared" si="58"/>
        <v/>
      </c>
      <c r="K1245" s="12" t="str">
        <f t="shared" si="59"/>
        <v/>
      </c>
      <c r="L1245" s="12" t="e">
        <f t="shared" si="57"/>
        <v>#VALUE!</v>
      </c>
    </row>
    <row r="1246" spans="1:12" ht="24" customHeight="1" x14ac:dyDescent="0.25">
      <c r="A1246" s="15">
        <v>43355</v>
      </c>
      <c r="B1246" s="15" t="s">
        <v>344</v>
      </c>
      <c r="C1246" s="27">
        <v>4896</v>
      </c>
      <c r="D1246" s="11" t="e">
        <f>VLOOKUP(B1246,#REF!,7,FALSE)</f>
        <v>#REF!</v>
      </c>
      <c r="E1246" s="31">
        <v>1.5299</v>
      </c>
      <c r="I1246" s="11" t="e">
        <f>+VLOOKUP(B1246,#REF!,7,FALSE)</f>
        <v>#REF!</v>
      </c>
      <c r="J1246" s="12" t="str">
        <f t="shared" si="58"/>
        <v/>
      </c>
      <c r="K1246" s="12" t="str">
        <f t="shared" si="59"/>
        <v/>
      </c>
      <c r="L1246" s="12" t="e">
        <f t="shared" si="57"/>
        <v>#VALUE!</v>
      </c>
    </row>
    <row r="1247" spans="1:12" ht="24" customHeight="1" x14ac:dyDescent="0.25">
      <c r="A1247" s="15">
        <v>43355</v>
      </c>
      <c r="B1247" s="15" t="s">
        <v>391</v>
      </c>
      <c r="C1247" s="27">
        <v>2970</v>
      </c>
      <c r="D1247" s="11" t="e">
        <f>VLOOKUP(B1247,#REF!,7,FALSE)</f>
        <v>#REF!</v>
      </c>
      <c r="E1247" s="31">
        <v>1.2890999999999999</v>
      </c>
      <c r="I1247" s="11" t="e">
        <f>+VLOOKUP(B1247,#REF!,7,FALSE)</f>
        <v>#REF!</v>
      </c>
      <c r="J1247" s="12" t="str">
        <f t="shared" si="58"/>
        <v/>
      </c>
      <c r="K1247" s="12" t="str">
        <f t="shared" si="59"/>
        <v/>
      </c>
      <c r="L1247" s="12" t="e">
        <f t="shared" si="57"/>
        <v>#VALUE!</v>
      </c>
    </row>
    <row r="1248" spans="1:12" ht="24" customHeight="1" x14ac:dyDescent="0.25">
      <c r="A1248" s="15">
        <v>43355</v>
      </c>
      <c r="B1248" s="15" t="s">
        <v>394</v>
      </c>
      <c r="C1248" s="27">
        <v>1824</v>
      </c>
      <c r="D1248" s="11" t="e">
        <f>VLOOKUP(B1248,#REF!,7,FALSE)</f>
        <v>#REF!</v>
      </c>
      <c r="E1248" s="31">
        <v>0.90510000000000002</v>
      </c>
      <c r="I1248" s="11" t="e">
        <f>+VLOOKUP(B1248,#REF!,7,FALSE)</f>
        <v>#REF!</v>
      </c>
      <c r="J1248" s="12" t="str">
        <f t="shared" si="58"/>
        <v/>
      </c>
      <c r="K1248" s="12" t="str">
        <f t="shared" si="59"/>
        <v/>
      </c>
      <c r="L1248" s="12" t="e">
        <f t="shared" si="57"/>
        <v>#VALUE!</v>
      </c>
    </row>
    <row r="1249" spans="1:12" ht="24" customHeight="1" x14ac:dyDescent="0.25">
      <c r="A1249" s="15">
        <v>43355</v>
      </c>
      <c r="B1249" s="15" t="s">
        <v>416</v>
      </c>
      <c r="C1249" s="27">
        <v>920</v>
      </c>
      <c r="D1249" s="11" t="e">
        <f>VLOOKUP(B1249,#REF!,7,FALSE)</f>
        <v>#REF!</v>
      </c>
      <c r="E1249" s="31">
        <v>1.7004999999999999</v>
      </c>
      <c r="I1249" s="11" t="e">
        <f>+VLOOKUP(B1249,#REF!,7,FALSE)</f>
        <v>#REF!</v>
      </c>
      <c r="J1249" s="12" t="str">
        <f t="shared" si="58"/>
        <v/>
      </c>
      <c r="K1249" s="12" t="str">
        <f t="shared" si="59"/>
        <v/>
      </c>
      <c r="L1249" s="12" t="e">
        <f t="shared" si="57"/>
        <v>#VALUE!</v>
      </c>
    </row>
    <row r="1250" spans="1:12" ht="24" customHeight="1" x14ac:dyDescent="0.25">
      <c r="A1250" s="15">
        <v>43355</v>
      </c>
      <c r="B1250" s="15" t="s">
        <v>208</v>
      </c>
      <c r="C1250" s="27">
        <v>5424</v>
      </c>
      <c r="D1250" s="11" t="e">
        <f>VLOOKUP(B1250,#REF!,7,FALSE)</f>
        <v>#REF!</v>
      </c>
      <c r="E1250" s="31">
        <v>1.5842000000000001</v>
      </c>
      <c r="I1250" s="11" t="e">
        <f>+VLOOKUP(B1250,#REF!,7,FALSE)</f>
        <v>#REF!</v>
      </c>
      <c r="J1250" s="12" t="str">
        <f t="shared" si="58"/>
        <v/>
      </c>
      <c r="K1250" s="12" t="str">
        <f t="shared" si="59"/>
        <v/>
      </c>
      <c r="L1250" s="12" t="e">
        <f t="shared" si="57"/>
        <v>#VALUE!</v>
      </c>
    </row>
    <row r="1251" spans="1:12" ht="24" customHeight="1" x14ac:dyDescent="0.25">
      <c r="A1251" s="15">
        <v>43356</v>
      </c>
      <c r="B1251" s="15" t="s">
        <v>287</v>
      </c>
      <c r="C1251" s="27">
        <v>3732</v>
      </c>
      <c r="D1251" s="11" t="e">
        <f>VLOOKUP(B1251,#REF!,7,FALSE)</f>
        <v>#REF!</v>
      </c>
      <c r="E1251" s="31">
        <v>0.69940000000000002</v>
      </c>
      <c r="I1251" s="11" t="e">
        <f>+VLOOKUP(B1251,#REF!,7,FALSE)</f>
        <v>#REF!</v>
      </c>
      <c r="J1251" s="12" t="str">
        <f t="shared" si="58"/>
        <v/>
      </c>
      <c r="K1251" s="12" t="str">
        <f t="shared" si="59"/>
        <v/>
      </c>
      <c r="L1251" s="12" t="e">
        <f t="shared" si="57"/>
        <v>#VALUE!</v>
      </c>
    </row>
    <row r="1252" spans="1:12" ht="24" customHeight="1" x14ac:dyDescent="0.25">
      <c r="A1252" s="15">
        <v>43356</v>
      </c>
      <c r="B1252" s="15" t="s">
        <v>290</v>
      </c>
      <c r="C1252" s="27">
        <v>6580</v>
      </c>
      <c r="D1252" s="11" t="e">
        <f>VLOOKUP(B1252,#REF!,7,FALSE)</f>
        <v>#REF!</v>
      </c>
      <c r="E1252" s="31">
        <v>0.34789999999999999</v>
      </c>
      <c r="I1252" s="11" t="e">
        <f>+VLOOKUP(B1252,#REF!,7,FALSE)</f>
        <v>#REF!</v>
      </c>
      <c r="J1252" s="12" t="str">
        <f t="shared" si="58"/>
        <v/>
      </c>
      <c r="K1252" s="12" t="str">
        <f t="shared" si="59"/>
        <v/>
      </c>
      <c r="L1252" s="12" t="e">
        <f t="shared" si="57"/>
        <v>#VALUE!</v>
      </c>
    </row>
    <row r="1253" spans="1:12" ht="24" customHeight="1" x14ac:dyDescent="0.25">
      <c r="A1253" s="15">
        <v>43356</v>
      </c>
      <c r="B1253" s="15" t="s">
        <v>296</v>
      </c>
      <c r="C1253" s="27">
        <v>3792</v>
      </c>
      <c r="D1253" s="11" t="e">
        <f>VLOOKUP(B1253,#REF!,7,FALSE)</f>
        <v>#REF!</v>
      </c>
      <c r="E1253" s="31">
        <v>1.9798</v>
      </c>
      <c r="I1253" s="11" t="e">
        <f>+VLOOKUP(B1253,#REF!,7,FALSE)</f>
        <v>#REF!</v>
      </c>
      <c r="J1253" s="12" t="str">
        <f t="shared" si="58"/>
        <v/>
      </c>
      <c r="K1253" s="12" t="str">
        <f t="shared" si="59"/>
        <v/>
      </c>
      <c r="L1253" s="12" t="e">
        <f t="shared" si="57"/>
        <v>#VALUE!</v>
      </c>
    </row>
    <row r="1254" spans="1:12" ht="24" customHeight="1" x14ac:dyDescent="0.25">
      <c r="A1254" s="15">
        <v>43356</v>
      </c>
      <c r="B1254" s="15" t="s">
        <v>128</v>
      </c>
      <c r="C1254" s="27">
        <v>5760</v>
      </c>
      <c r="D1254" s="11" t="e">
        <f>VLOOKUP(B1254,#REF!,7,FALSE)</f>
        <v>#REF!</v>
      </c>
      <c r="E1254" s="31" t="s">
        <v>11</v>
      </c>
      <c r="I1254" s="11" t="e">
        <f>+VLOOKUP(B1254,#REF!,7,FALSE)</f>
        <v>#REF!</v>
      </c>
      <c r="J1254" s="12" t="str">
        <f t="shared" si="58"/>
        <v/>
      </c>
      <c r="K1254" s="12" t="str">
        <f t="shared" si="59"/>
        <v/>
      </c>
      <c r="L1254" s="12" t="e">
        <f t="shared" si="57"/>
        <v>#VALUE!</v>
      </c>
    </row>
    <row r="1255" spans="1:12" ht="24" customHeight="1" x14ac:dyDescent="0.25">
      <c r="A1255" s="15">
        <v>43356</v>
      </c>
      <c r="B1255" s="15" t="s">
        <v>343</v>
      </c>
      <c r="C1255" s="27">
        <v>9900</v>
      </c>
      <c r="D1255" s="11" t="e">
        <f>VLOOKUP(B1255,#REF!,7,FALSE)</f>
        <v>#REF!</v>
      </c>
      <c r="E1255" s="31">
        <v>1.3848</v>
      </c>
      <c r="I1255" s="11" t="e">
        <f>+VLOOKUP(B1255,#REF!,7,FALSE)</f>
        <v>#REF!</v>
      </c>
      <c r="J1255" s="12" t="str">
        <f t="shared" si="58"/>
        <v/>
      </c>
      <c r="K1255" s="12" t="str">
        <f t="shared" si="59"/>
        <v/>
      </c>
      <c r="L1255" s="12" t="e">
        <f t="shared" si="57"/>
        <v>#VALUE!</v>
      </c>
    </row>
    <row r="1256" spans="1:12" ht="24" customHeight="1" x14ac:dyDescent="0.25">
      <c r="A1256" s="15">
        <v>43356</v>
      </c>
      <c r="B1256" s="15" t="s">
        <v>230</v>
      </c>
      <c r="C1256" s="27">
        <v>804</v>
      </c>
      <c r="D1256" s="11" t="e">
        <f>VLOOKUP(B1256,#REF!,7,FALSE)</f>
        <v>#REF!</v>
      </c>
      <c r="E1256" s="31">
        <v>0.52300000000000002</v>
      </c>
      <c r="I1256" s="11" t="e">
        <f>+VLOOKUP(B1256,#REF!,7,FALSE)</f>
        <v>#REF!</v>
      </c>
      <c r="J1256" s="12" t="str">
        <f t="shared" si="58"/>
        <v/>
      </c>
      <c r="K1256" s="12" t="str">
        <f t="shared" si="59"/>
        <v/>
      </c>
      <c r="L1256" s="12" t="e">
        <f t="shared" si="57"/>
        <v>#VALUE!</v>
      </c>
    </row>
    <row r="1257" spans="1:12" ht="24" customHeight="1" x14ac:dyDescent="0.25">
      <c r="A1257" s="15">
        <v>43356</v>
      </c>
      <c r="B1257" s="15" t="s">
        <v>419</v>
      </c>
      <c r="C1257" s="27">
        <v>1650</v>
      </c>
      <c r="D1257" s="11" t="e">
        <f>VLOOKUP(B1257,#REF!,7,FALSE)</f>
        <v>#REF!</v>
      </c>
      <c r="E1257" s="31">
        <v>0.76559999999999995</v>
      </c>
      <c r="I1257" s="11" t="e">
        <f>+VLOOKUP(B1257,#REF!,7,FALSE)</f>
        <v>#REF!</v>
      </c>
      <c r="J1257" s="12" t="str">
        <f t="shared" si="58"/>
        <v/>
      </c>
      <c r="K1257" s="12" t="str">
        <f t="shared" si="59"/>
        <v/>
      </c>
      <c r="L1257" s="12" t="e">
        <f t="shared" si="57"/>
        <v>#VALUE!</v>
      </c>
    </row>
    <row r="1258" spans="1:12" ht="24" customHeight="1" x14ac:dyDescent="0.25">
      <c r="A1258" s="15">
        <v>43356</v>
      </c>
      <c r="B1258" s="15" t="s">
        <v>211</v>
      </c>
      <c r="C1258" s="27">
        <v>750</v>
      </c>
      <c r="D1258" s="11" t="e">
        <f>VLOOKUP(B1258,#REF!,7,FALSE)</f>
        <v>#REF!</v>
      </c>
      <c r="E1258" s="31">
        <v>1.4654</v>
      </c>
      <c r="I1258" s="11" t="e">
        <f>+VLOOKUP(B1258,#REF!,7,FALSE)</f>
        <v>#REF!</v>
      </c>
      <c r="J1258" s="12" t="str">
        <f t="shared" si="58"/>
        <v/>
      </c>
      <c r="K1258" s="12" t="str">
        <f t="shared" si="59"/>
        <v/>
      </c>
      <c r="L1258" s="12" t="e">
        <f t="shared" si="57"/>
        <v>#VALUE!</v>
      </c>
    </row>
    <row r="1259" spans="1:12" ht="24" customHeight="1" x14ac:dyDescent="0.25">
      <c r="A1259" s="15">
        <v>43356</v>
      </c>
      <c r="B1259" s="15" t="s">
        <v>441</v>
      </c>
      <c r="C1259" s="27">
        <v>804</v>
      </c>
      <c r="D1259" s="11" t="e">
        <f>VLOOKUP(B1259,#REF!,7,FALSE)</f>
        <v>#REF!</v>
      </c>
      <c r="E1259" s="31">
        <v>0.49919999999999998</v>
      </c>
      <c r="I1259" s="11" t="e">
        <f>+VLOOKUP(B1259,#REF!,7,FALSE)</f>
        <v>#REF!</v>
      </c>
      <c r="J1259" s="12" t="str">
        <f t="shared" si="58"/>
        <v/>
      </c>
      <c r="K1259" s="12" t="str">
        <f t="shared" si="59"/>
        <v/>
      </c>
      <c r="L1259" s="12" t="e">
        <f t="shared" si="57"/>
        <v>#VALUE!</v>
      </c>
    </row>
    <row r="1260" spans="1:12" ht="24" customHeight="1" x14ac:dyDescent="0.25">
      <c r="A1260" s="15">
        <v>43356</v>
      </c>
      <c r="B1260" s="15" t="s">
        <v>442</v>
      </c>
      <c r="C1260" s="27">
        <v>804</v>
      </c>
      <c r="D1260" s="11" t="e">
        <f>VLOOKUP(B1260,#REF!,7,FALSE)</f>
        <v>#REF!</v>
      </c>
      <c r="E1260" s="31">
        <v>0.68500000000000005</v>
      </c>
      <c r="I1260" s="11" t="e">
        <f>+VLOOKUP(B1260,#REF!,7,FALSE)</f>
        <v>#REF!</v>
      </c>
      <c r="J1260" s="12" t="str">
        <f t="shared" si="58"/>
        <v/>
      </c>
      <c r="K1260" s="12" t="str">
        <f t="shared" si="59"/>
        <v/>
      </c>
      <c r="L1260" s="12" t="e">
        <f t="shared" si="57"/>
        <v>#VALUE!</v>
      </c>
    </row>
    <row r="1261" spans="1:12" ht="24" customHeight="1" x14ac:dyDescent="0.25">
      <c r="A1261" s="15">
        <v>43356</v>
      </c>
      <c r="B1261" s="15" t="s">
        <v>512</v>
      </c>
      <c r="C1261" s="27">
        <v>3270</v>
      </c>
      <c r="D1261" s="11" t="e">
        <f>VLOOKUP(B1261,#REF!,7,FALSE)</f>
        <v>#REF!</v>
      </c>
      <c r="E1261" s="31">
        <v>1.7746999999999999</v>
      </c>
      <c r="I1261" s="11" t="e">
        <f>+VLOOKUP(B1261,#REF!,7,FALSE)</f>
        <v>#REF!</v>
      </c>
      <c r="J1261" s="12" t="str">
        <f t="shared" si="58"/>
        <v/>
      </c>
      <c r="K1261" s="12" t="str">
        <f t="shared" si="59"/>
        <v/>
      </c>
      <c r="L1261" s="12" t="e">
        <f t="shared" si="57"/>
        <v>#VALUE!</v>
      </c>
    </row>
    <row r="1262" spans="1:12" ht="24" customHeight="1" x14ac:dyDescent="0.25">
      <c r="A1262" s="15">
        <v>43356</v>
      </c>
      <c r="B1262" s="15" t="s">
        <v>513</v>
      </c>
      <c r="C1262" s="27">
        <v>4152</v>
      </c>
      <c r="D1262" s="11" t="e">
        <f>VLOOKUP(B1262,#REF!,7,FALSE)</f>
        <v>#REF!</v>
      </c>
      <c r="E1262" s="31">
        <v>2.3593000000000002</v>
      </c>
      <c r="I1262" s="11" t="e">
        <f>+VLOOKUP(B1262,#REF!,7,FALSE)</f>
        <v>#REF!</v>
      </c>
      <c r="J1262" s="12" t="str">
        <f t="shared" si="58"/>
        <v/>
      </c>
      <c r="K1262" s="12" t="str">
        <f t="shared" si="59"/>
        <v/>
      </c>
      <c r="L1262" s="12" t="e">
        <f t="shared" ref="L1262:L1325" si="60">J1262-K1262</f>
        <v>#VALUE!</v>
      </c>
    </row>
    <row r="1263" spans="1:12" ht="24" customHeight="1" x14ac:dyDescent="0.25">
      <c r="A1263" s="15">
        <v>43357</v>
      </c>
      <c r="B1263" s="15" t="s">
        <v>240</v>
      </c>
      <c r="C1263" s="27" t="s">
        <v>11</v>
      </c>
      <c r="D1263" s="11" t="e">
        <f>VLOOKUP(B1263,#REF!,7,FALSE)</f>
        <v>#REF!</v>
      </c>
      <c r="E1263" s="31" t="s">
        <v>11</v>
      </c>
      <c r="I1263" s="11" t="e">
        <f>+VLOOKUP(B1263,#REF!,7,FALSE)</f>
        <v>#REF!</v>
      </c>
      <c r="J1263" s="12" t="str">
        <f t="shared" si="58"/>
        <v/>
      </c>
      <c r="K1263" s="12" t="str">
        <f t="shared" si="59"/>
        <v/>
      </c>
      <c r="L1263" s="12" t="e">
        <f t="shared" si="60"/>
        <v>#VALUE!</v>
      </c>
    </row>
    <row r="1264" spans="1:12" ht="24" customHeight="1" x14ac:dyDescent="0.25">
      <c r="A1264" s="15">
        <v>43357</v>
      </c>
      <c r="B1264" s="15" t="s">
        <v>283</v>
      </c>
      <c r="C1264" s="27">
        <v>10220</v>
      </c>
      <c r="D1264" s="11" t="e">
        <f>VLOOKUP(B1264,#REF!,7,FALSE)</f>
        <v>#REF!</v>
      </c>
      <c r="E1264" s="31">
        <v>0.45169999999999999</v>
      </c>
      <c r="I1264" s="11" t="e">
        <f>+VLOOKUP(B1264,#REF!,7,FALSE)</f>
        <v>#REF!</v>
      </c>
      <c r="J1264" s="12" t="str">
        <f t="shared" si="58"/>
        <v/>
      </c>
      <c r="K1264" s="12" t="str">
        <f t="shared" si="59"/>
        <v/>
      </c>
      <c r="L1264" s="12" t="e">
        <f t="shared" si="60"/>
        <v>#VALUE!</v>
      </c>
    </row>
    <row r="1265" spans="1:12" ht="24" customHeight="1" x14ac:dyDescent="0.25">
      <c r="A1265" s="15">
        <v>43357</v>
      </c>
      <c r="B1265" s="15" t="s">
        <v>284</v>
      </c>
      <c r="C1265" s="27">
        <v>3768</v>
      </c>
      <c r="D1265" s="11" t="e">
        <f>VLOOKUP(B1265,#REF!,7,FALSE)</f>
        <v>#REF!</v>
      </c>
      <c r="E1265" s="31">
        <v>0.89459999999999995</v>
      </c>
      <c r="I1265" s="11" t="e">
        <f>+VLOOKUP(B1265,#REF!,7,FALSE)</f>
        <v>#REF!</v>
      </c>
      <c r="J1265" s="12" t="str">
        <f t="shared" si="58"/>
        <v/>
      </c>
      <c r="K1265" s="12" t="str">
        <f t="shared" si="59"/>
        <v/>
      </c>
      <c r="L1265" s="12" t="e">
        <f t="shared" si="60"/>
        <v>#VALUE!</v>
      </c>
    </row>
    <row r="1266" spans="1:12" ht="24" customHeight="1" x14ac:dyDescent="0.25">
      <c r="A1266" s="15">
        <v>43357</v>
      </c>
      <c r="B1266" s="15" t="s">
        <v>342</v>
      </c>
      <c r="C1266" s="27">
        <v>5616</v>
      </c>
      <c r="D1266" s="11" t="e">
        <f>VLOOKUP(B1266,#REF!,7,FALSE)</f>
        <v>#REF!</v>
      </c>
      <c r="E1266" s="31">
        <v>1.4059999999999999</v>
      </c>
      <c r="I1266" s="11" t="e">
        <f>+VLOOKUP(B1266,#REF!,7,FALSE)</f>
        <v>#REF!</v>
      </c>
      <c r="J1266" s="12" t="str">
        <f t="shared" si="58"/>
        <v/>
      </c>
      <c r="K1266" s="12" t="str">
        <f t="shared" si="59"/>
        <v/>
      </c>
      <c r="L1266" s="12" t="e">
        <f t="shared" si="60"/>
        <v>#VALUE!</v>
      </c>
    </row>
    <row r="1267" spans="1:12" ht="24" customHeight="1" x14ac:dyDescent="0.25">
      <c r="A1267" s="15">
        <v>43357</v>
      </c>
      <c r="B1267" s="15" t="s">
        <v>418</v>
      </c>
      <c r="C1267" s="27">
        <v>402</v>
      </c>
      <c r="D1267" s="11" t="e">
        <f>VLOOKUP(B1267,#REF!,7,FALSE)</f>
        <v>#REF!</v>
      </c>
      <c r="E1267" s="31">
        <v>1.8642000000000001</v>
      </c>
      <c r="I1267" s="11" t="e">
        <f>+VLOOKUP(B1267,#REF!,7,FALSE)</f>
        <v>#REF!</v>
      </c>
      <c r="J1267" s="12" t="str">
        <f t="shared" si="58"/>
        <v/>
      </c>
      <c r="K1267" s="12" t="str">
        <f t="shared" si="59"/>
        <v/>
      </c>
      <c r="L1267" s="12" t="e">
        <f t="shared" si="60"/>
        <v>#VALUE!</v>
      </c>
    </row>
    <row r="1268" spans="1:12" ht="24" customHeight="1" x14ac:dyDescent="0.25">
      <c r="A1268" s="15">
        <v>43357</v>
      </c>
      <c r="B1268" s="15" t="s">
        <v>438</v>
      </c>
      <c r="C1268" s="27">
        <v>5622</v>
      </c>
      <c r="D1268" s="11" t="e">
        <f>VLOOKUP(B1268,#REF!,7,FALSE)</f>
        <v>#REF!</v>
      </c>
      <c r="E1268" s="31">
        <v>1.3757999999999999</v>
      </c>
      <c r="I1268" s="11" t="e">
        <f>+VLOOKUP(B1268,#REF!,7,FALSE)</f>
        <v>#REF!</v>
      </c>
      <c r="J1268" s="12" t="str">
        <f t="shared" si="58"/>
        <v/>
      </c>
      <c r="K1268" s="12" t="str">
        <f t="shared" si="59"/>
        <v/>
      </c>
      <c r="L1268" s="12" t="e">
        <f t="shared" si="60"/>
        <v>#VALUE!</v>
      </c>
    </row>
    <row r="1269" spans="1:12" ht="24" customHeight="1" x14ac:dyDescent="0.25">
      <c r="A1269" s="15">
        <v>43357</v>
      </c>
      <c r="B1269" s="15" t="s">
        <v>439</v>
      </c>
      <c r="C1269" s="27">
        <v>3700</v>
      </c>
      <c r="D1269" s="11" t="e">
        <f>VLOOKUP(B1269,#REF!,7,FALSE)</f>
        <v>#REF!</v>
      </c>
      <c r="E1269" s="31">
        <v>1.9830000000000001</v>
      </c>
      <c r="I1269" s="11" t="e">
        <f>+VLOOKUP(B1269,#REF!,7,FALSE)</f>
        <v>#REF!</v>
      </c>
      <c r="J1269" s="12" t="str">
        <f t="shared" si="58"/>
        <v/>
      </c>
      <c r="K1269" s="12" t="str">
        <f t="shared" si="59"/>
        <v/>
      </c>
      <c r="L1269" s="12" t="e">
        <f t="shared" si="60"/>
        <v>#VALUE!</v>
      </c>
    </row>
    <row r="1270" spans="1:12" ht="24" customHeight="1" x14ac:dyDescent="0.25">
      <c r="A1270" s="15">
        <v>43357</v>
      </c>
      <c r="B1270" s="15" t="s">
        <v>513</v>
      </c>
      <c r="C1270" s="27">
        <v>4152</v>
      </c>
      <c r="D1270" s="11" t="e">
        <f>VLOOKUP(B1270,#REF!,7,FALSE)</f>
        <v>#REF!</v>
      </c>
      <c r="E1270" s="31">
        <v>2.3593000000000002</v>
      </c>
      <c r="I1270" s="11" t="e">
        <f>+VLOOKUP(B1270,#REF!,7,FALSE)</f>
        <v>#REF!</v>
      </c>
      <c r="J1270" s="12" t="str">
        <f t="shared" si="58"/>
        <v/>
      </c>
      <c r="K1270" s="12" t="str">
        <f t="shared" si="59"/>
        <v/>
      </c>
      <c r="L1270" s="12" t="e">
        <f t="shared" si="60"/>
        <v>#VALUE!</v>
      </c>
    </row>
    <row r="1271" spans="1:12" ht="24" customHeight="1" x14ac:dyDescent="0.25">
      <c r="A1271" s="15">
        <v>43358</v>
      </c>
      <c r="B1271" s="15" t="s">
        <v>255</v>
      </c>
      <c r="C1271" s="27">
        <v>392</v>
      </c>
      <c r="D1271" s="11" t="e">
        <f>VLOOKUP(B1271,#REF!,7,FALSE)</f>
        <v>#REF!</v>
      </c>
      <c r="E1271" s="31">
        <v>2.7444000000000002</v>
      </c>
      <c r="I1271" s="11" t="e">
        <f>+VLOOKUP(B1271,#REF!,7,FALSE)</f>
        <v>#REF!</v>
      </c>
      <c r="J1271" s="12" t="str">
        <f t="shared" si="58"/>
        <v/>
      </c>
      <c r="K1271" s="12" t="str">
        <f t="shared" si="59"/>
        <v/>
      </c>
      <c r="L1271" s="12" t="e">
        <f t="shared" si="60"/>
        <v>#VALUE!</v>
      </c>
    </row>
    <row r="1272" spans="1:12" ht="24" customHeight="1" x14ac:dyDescent="0.25">
      <c r="A1272" s="15">
        <v>43358</v>
      </c>
      <c r="B1272" s="15" t="s">
        <v>256</v>
      </c>
      <c r="C1272" s="27">
        <v>680</v>
      </c>
      <c r="D1272" s="11" t="e">
        <f>VLOOKUP(B1272,#REF!,7,FALSE)</f>
        <v>#REF!</v>
      </c>
      <c r="E1272" s="31">
        <v>2.3944000000000001</v>
      </c>
      <c r="I1272" s="11" t="e">
        <f>+VLOOKUP(B1272,#REF!,7,FALSE)</f>
        <v>#REF!</v>
      </c>
      <c r="J1272" s="12" t="str">
        <f t="shared" si="58"/>
        <v/>
      </c>
      <c r="K1272" s="12" t="str">
        <f t="shared" si="59"/>
        <v/>
      </c>
      <c r="L1272" s="12" t="e">
        <f t="shared" si="60"/>
        <v>#VALUE!</v>
      </c>
    </row>
    <row r="1273" spans="1:12" ht="24" customHeight="1" x14ac:dyDescent="0.25">
      <c r="A1273" s="15">
        <v>43358</v>
      </c>
      <c r="B1273" s="15" t="s">
        <v>257</v>
      </c>
      <c r="C1273" s="27">
        <v>756</v>
      </c>
      <c r="D1273" s="11" t="e">
        <f>VLOOKUP(B1273,#REF!,7,FALSE)</f>
        <v>#REF!</v>
      </c>
      <c r="E1273" s="31">
        <v>1.6133</v>
      </c>
      <c r="I1273" s="11" t="e">
        <f>+VLOOKUP(B1273,#REF!,7,FALSE)</f>
        <v>#REF!</v>
      </c>
      <c r="J1273" s="12" t="str">
        <f t="shared" si="58"/>
        <v/>
      </c>
      <c r="K1273" s="12" t="str">
        <f t="shared" si="59"/>
        <v/>
      </c>
      <c r="L1273" s="12" t="e">
        <f t="shared" si="60"/>
        <v>#VALUE!</v>
      </c>
    </row>
    <row r="1274" spans="1:12" ht="24" customHeight="1" x14ac:dyDescent="0.25">
      <c r="A1274" s="15">
        <v>43358</v>
      </c>
      <c r="B1274" s="15" t="s">
        <v>323</v>
      </c>
      <c r="C1274" s="27">
        <v>1245</v>
      </c>
      <c r="D1274" s="11" t="e">
        <f>VLOOKUP(B1274,#REF!,7,FALSE)</f>
        <v>#REF!</v>
      </c>
      <c r="E1274" s="31">
        <v>3.3487</v>
      </c>
      <c r="I1274" s="11" t="e">
        <f>+VLOOKUP(B1274,#REF!,7,FALSE)</f>
        <v>#REF!</v>
      </c>
      <c r="J1274" s="12" t="str">
        <f t="shared" si="58"/>
        <v/>
      </c>
      <c r="K1274" s="12" t="str">
        <f t="shared" si="59"/>
        <v/>
      </c>
      <c r="L1274" s="12" t="e">
        <f t="shared" si="60"/>
        <v>#VALUE!</v>
      </c>
    </row>
    <row r="1275" spans="1:12" ht="24" customHeight="1" x14ac:dyDescent="0.25">
      <c r="A1275" s="15">
        <v>43358</v>
      </c>
      <c r="B1275" s="15" t="s">
        <v>327</v>
      </c>
      <c r="C1275" s="27">
        <v>2238</v>
      </c>
      <c r="D1275" s="11" t="e">
        <f>VLOOKUP(B1275,#REF!,7,FALSE)</f>
        <v>#REF!</v>
      </c>
      <c r="E1275" s="31">
        <v>2.9956</v>
      </c>
      <c r="I1275" s="11" t="e">
        <f>+VLOOKUP(B1275,#REF!,7,FALSE)</f>
        <v>#REF!</v>
      </c>
      <c r="J1275" s="12" t="str">
        <f t="shared" si="58"/>
        <v/>
      </c>
      <c r="K1275" s="12" t="str">
        <f t="shared" si="59"/>
        <v/>
      </c>
      <c r="L1275" s="12" t="e">
        <f t="shared" si="60"/>
        <v>#VALUE!</v>
      </c>
    </row>
    <row r="1276" spans="1:12" ht="24" customHeight="1" x14ac:dyDescent="0.25">
      <c r="A1276" s="15">
        <v>43358</v>
      </c>
      <c r="B1276" s="15" t="s">
        <v>331</v>
      </c>
      <c r="C1276" s="27">
        <v>1137</v>
      </c>
      <c r="D1276" s="11" t="e">
        <f>VLOOKUP(B1276,#REF!,7,FALSE)</f>
        <v>#REF!</v>
      </c>
      <c r="E1276" s="31">
        <v>2.9003000000000001</v>
      </c>
      <c r="I1276" s="11" t="e">
        <f>+VLOOKUP(B1276,#REF!,7,FALSE)</f>
        <v>#REF!</v>
      </c>
      <c r="J1276" s="12" t="str">
        <f t="shared" si="58"/>
        <v/>
      </c>
      <c r="K1276" s="12" t="str">
        <f t="shared" si="59"/>
        <v/>
      </c>
      <c r="L1276" s="12" t="e">
        <f t="shared" si="60"/>
        <v>#VALUE!</v>
      </c>
    </row>
    <row r="1277" spans="1:12" ht="24" customHeight="1" x14ac:dyDescent="0.25">
      <c r="A1277" s="15">
        <v>43358</v>
      </c>
      <c r="B1277" s="15" t="s">
        <v>392</v>
      </c>
      <c r="C1277" s="27">
        <v>324</v>
      </c>
      <c r="D1277" s="11" t="e">
        <f>VLOOKUP(B1277,#REF!,7,FALSE)</f>
        <v>#REF!</v>
      </c>
      <c r="E1277" s="31">
        <v>4.508</v>
      </c>
      <c r="I1277" s="11" t="e">
        <f>+VLOOKUP(B1277,#REF!,7,FALSE)</f>
        <v>#REF!</v>
      </c>
      <c r="J1277" s="12" t="str">
        <f t="shared" si="58"/>
        <v/>
      </c>
      <c r="K1277" s="12" t="str">
        <f t="shared" si="59"/>
        <v/>
      </c>
      <c r="L1277" s="12" t="e">
        <f t="shared" si="60"/>
        <v>#VALUE!</v>
      </c>
    </row>
    <row r="1278" spans="1:12" ht="24" customHeight="1" x14ac:dyDescent="0.25">
      <c r="A1278" s="15">
        <v>43358</v>
      </c>
      <c r="B1278" s="15" t="s">
        <v>513</v>
      </c>
      <c r="C1278" s="27">
        <v>3636</v>
      </c>
      <c r="D1278" s="11" t="e">
        <f>VLOOKUP(B1278,#REF!,7,FALSE)</f>
        <v>#REF!</v>
      </c>
      <c r="E1278" s="31">
        <v>2.3163</v>
      </c>
      <c r="I1278" s="11" t="e">
        <f>+VLOOKUP(B1278,#REF!,7,FALSE)</f>
        <v>#REF!</v>
      </c>
      <c r="J1278" s="12" t="str">
        <f t="shared" si="58"/>
        <v/>
      </c>
      <c r="K1278" s="12" t="str">
        <f t="shared" si="59"/>
        <v/>
      </c>
      <c r="L1278" s="12" t="e">
        <f t="shared" si="60"/>
        <v>#VALUE!</v>
      </c>
    </row>
    <row r="1279" spans="1:12" ht="24" customHeight="1" x14ac:dyDescent="0.25">
      <c r="A1279" s="15">
        <v>43360</v>
      </c>
      <c r="B1279" s="15" t="s">
        <v>490</v>
      </c>
      <c r="C1279" s="27">
        <v>1736</v>
      </c>
      <c r="D1279" s="11" t="e">
        <f>VLOOKUP(B1279,#REF!,7,FALSE)</f>
        <v>#REF!</v>
      </c>
      <c r="E1279" s="31">
        <v>2.3527999999999998</v>
      </c>
      <c r="I1279" s="11" t="e">
        <f>+VLOOKUP(B1279,#REF!,7,FALSE)</f>
        <v>#REF!</v>
      </c>
      <c r="J1279" s="12" t="str">
        <f t="shared" si="58"/>
        <v/>
      </c>
      <c r="K1279" s="12" t="str">
        <f t="shared" si="59"/>
        <v/>
      </c>
      <c r="L1279" s="12" t="e">
        <f t="shared" si="60"/>
        <v>#VALUE!</v>
      </c>
    </row>
    <row r="1280" spans="1:12" ht="24" customHeight="1" x14ac:dyDescent="0.25">
      <c r="A1280" s="15">
        <v>43360</v>
      </c>
      <c r="B1280" s="15" t="s">
        <v>299</v>
      </c>
      <c r="C1280" s="27">
        <v>3564</v>
      </c>
      <c r="D1280" s="11" t="e">
        <f>VLOOKUP(B1280,#REF!,7,FALSE)</f>
        <v>#REF!</v>
      </c>
      <c r="E1280" s="31">
        <v>2.1171000000000002</v>
      </c>
      <c r="I1280" s="11" t="e">
        <f>+VLOOKUP(B1280,#REF!,7,FALSE)</f>
        <v>#REF!</v>
      </c>
      <c r="J1280" s="12" t="str">
        <f t="shared" si="58"/>
        <v/>
      </c>
      <c r="K1280" s="12" t="str">
        <f t="shared" si="59"/>
        <v/>
      </c>
      <c r="L1280" s="12" t="e">
        <f t="shared" si="60"/>
        <v>#VALUE!</v>
      </c>
    </row>
    <row r="1281" spans="1:12" ht="24" customHeight="1" x14ac:dyDescent="0.25">
      <c r="A1281" s="15">
        <v>43360</v>
      </c>
      <c r="B1281" s="15" t="s">
        <v>300</v>
      </c>
      <c r="C1281" s="27">
        <v>1408</v>
      </c>
      <c r="D1281" s="11" t="e">
        <f>VLOOKUP(B1281,#REF!,7,FALSE)</f>
        <v>#REF!</v>
      </c>
      <c r="E1281" s="31">
        <v>1.9413</v>
      </c>
      <c r="I1281" s="11" t="e">
        <f>+VLOOKUP(B1281,#REF!,7,FALSE)</f>
        <v>#REF!</v>
      </c>
      <c r="J1281" s="12" t="str">
        <f t="shared" si="58"/>
        <v/>
      </c>
      <c r="K1281" s="12" t="str">
        <f t="shared" si="59"/>
        <v/>
      </c>
      <c r="L1281" s="12" t="e">
        <f t="shared" si="60"/>
        <v>#VALUE!</v>
      </c>
    </row>
    <row r="1282" spans="1:12" ht="24" customHeight="1" x14ac:dyDescent="0.25">
      <c r="A1282" s="15">
        <v>43360</v>
      </c>
      <c r="B1282" s="15" t="s">
        <v>342</v>
      </c>
      <c r="C1282" s="27">
        <v>2328</v>
      </c>
      <c r="D1282" s="11" t="e">
        <f>VLOOKUP(B1282,#REF!,7,FALSE)</f>
        <v>#REF!</v>
      </c>
      <c r="E1282" s="31">
        <v>1.3416999999999999</v>
      </c>
      <c r="I1282" s="11" t="e">
        <f>+VLOOKUP(B1282,#REF!,7,FALSE)</f>
        <v>#REF!</v>
      </c>
      <c r="J1282" s="12" t="str">
        <f t="shared" si="58"/>
        <v/>
      </c>
      <c r="K1282" s="12" t="str">
        <f t="shared" si="59"/>
        <v/>
      </c>
      <c r="L1282" s="12" t="e">
        <f t="shared" si="60"/>
        <v>#VALUE!</v>
      </c>
    </row>
    <row r="1283" spans="1:12" ht="24" customHeight="1" x14ac:dyDescent="0.25">
      <c r="A1283" s="15">
        <v>43360</v>
      </c>
      <c r="B1283" s="15" t="s">
        <v>432</v>
      </c>
      <c r="C1283" s="27">
        <v>4896</v>
      </c>
      <c r="D1283" s="11" t="e">
        <f>VLOOKUP(B1283,#REF!,7,FALSE)</f>
        <v>#REF!</v>
      </c>
      <c r="E1283" s="31">
        <v>2.4117999999999999</v>
      </c>
      <c r="I1283" s="11" t="e">
        <f>+VLOOKUP(B1283,#REF!,7,FALSE)</f>
        <v>#REF!</v>
      </c>
      <c r="J1283" s="12" t="str">
        <f t="shared" si="58"/>
        <v/>
      </c>
      <c r="K1283" s="12" t="str">
        <f t="shared" si="59"/>
        <v/>
      </c>
      <c r="L1283" s="12" t="e">
        <f t="shared" si="60"/>
        <v>#VALUE!</v>
      </c>
    </row>
    <row r="1284" spans="1:12" ht="24" customHeight="1" x14ac:dyDescent="0.25">
      <c r="A1284" s="15">
        <v>43360</v>
      </c>
      <c r="B1284" s="15" t="s">
        <v>523</v>
      </c>
      <c r="C1284" s="27">
        <v>3648</v>
      </c>
      <c r="D1284" s="11" t="e">
        <f>VLOOKUP(B1284,#REF!,7,FALSE)</f>
        <v>#REF!</v>
      </c>
      <c r="E1284" s="31">
        <v>3.0950000000000002</v>
      </c>
      <c r="I1284" s="11" t="e">
        <f>+VLOOKUP(B1284,#REF!,7,FALSE)</f>
        <v>#REF!</v>
      </c>
      <c r="J1284" s="12" t="str">
        <f t="shared" ref="J1284:J1347" si="61">IFERROR((I1284-(D1284+F1284))/I1284,"")</f>
        <v/>
      </c>
      <c r="K1284" s="12" t="str">
        <f t="shared" ref="K1284:K1347" si="62">IF(E1284="","",IFERROR((I1284-(E1284+G1284+H1284))/I1284,""))</f>
        <v/>
      </c>
      <c r="L1284" s="12" t="e">
        <f t="shared" si="60"/>
        <v>#VALUE!</v>
      </c>
    </row>
    <row r="1285" spans="1:12" ht="24" customHeight="1" x14ac:dyDescent="0.25">
      <c r="A1285" s="15">
        <v>43361</v>
      </c>
      <c r="B1285" s="15" t="s">
        <v>32</v>
      </c>
      <c r="C1285" s="27">
        <v>336</v>
      </c>
      <c r="D1285" s="11" t="e">
        <f>VLOOKUP(B1285,#REF!,7,FALSE)</f>
        <v>#REF!</v>
      </c>
      <c r="E1285" s="31">
        <v>4.4419000000000004</v>
      </c>
      <c r="I1285" s="11" t="e">
        <f>+VLOOKUP(B1285,#REF!,7,FALSE)</f>
        <v>#REF!</v>
      </c>
      <c r="J1285" s="12" t="str">
        <f t="shared" si="61"/>
        <v/>
      </c>
      <c r="K1285" s="12" t="str">
        <f t="shared" si="62"/>
        <v/>
      </c>
      <c r="L1285" s="12" t="e">
        <f t="shared" si="60"/>
        <v>#VALUE!</v>
      </c>
    </row>
    <row r="1286" spans="1:12" ht="24" customHeight="1" x14ac:dyDescent="0.25">
      <c r="A1286" s="15">
        <v>43361</v>
      </c>
      <c r="B1286" s="15" t="s">
        <v>300</v>
      </c>
      <c r="C1286" s="27">
        <v>4752</v>
      </c>
      <c r="D1286" s="11" t="e">
        <f>VLOOKUP(B1286,#REF!,7,FALSE)</f>
        <v>#REF!</v>
      </c>
      <c r="E1286" s="31">
        <v>1.5162</v>
      </c>
      <c r="I1286" s="11" t="e">
        <f>+VLOOKUP(B1286,#REF!,7,FALSE)</f>
        <v>#REF!</v>
      </c>
      <c r="J1286" s="12" t="str">
        <f t="shared" si="61"/>
        <v/>
      </c>
      <c r="K1286" s="12" t="str">
        <f t="shared" si="62"/>
        <v/>
      </c>
      <c r="L1286" s="12" t="e">
        <f t="shared" si="60"/>
        <v>#VALUE!</v>
      </c>
    </row>
    <row r="1287" spans="1:12" ht="24" customHeight="1" x14ac:dyDescent="0.25">
      <c r="A1287" s="15">
        <v>43361</v>
      </c>
      <c r="B1287" s="15" t="s">
        <v>345</v>
      </c>
      <c r="C1287" s="27">
        <v>594</v>
      </c>
      <c r="D1287" s="11" t="e">
        <f>VLOOKUP(B1287,#REF!,7,FALSE)</f>
        <v>#REF!</v>
      </c>
      <c r="E1287" s="31">
        <v>1.2122999999999999</v>
      </c>
      <c r="I1287" s="11" t="e">
        <f>+VLOOKUP(B1287,#REF!,7,FALSE)</f>
        <v>#REF!</v>
      </c>
      <c r="J1287" s="12" t="str">
        <f t="shared" si="61"/>
        <v/>
      </c>
      <c r="K1287" s="12" t="str">
        <f t="shared" si="62"/>
        <v/>
      </c>
      <c r="L1287" s="12" t="e">
        <f t="shared" si="60"/>
        <v>#VALUE!</v>
      </c>
    </row>
    <row r="1288" spans="1:12" ht="24" customHeight="1" x14ac:dyDescent="0.25">
      <c r="A1288" s="15">
        <v>43361</v>
      </c>
      <c r="B1288" s="15" t="s">
        <v>212</v>
      </c>
      <c r="C1288" s="27">
        <v>16608</v>
      </c>
      <c r="D1288" s="11" t="e">
        <f>VLOOKUP(B1288,#REF!,7,FALSE)</f>
        <v>#REF!</v>
      </c>
      <c r="E1288" s="31">
        <v>1.4359999999999999</v>
      </c>
      <c r="I1288" s="11" t="e">
        <f>+VLOOKUP(B1288,#REF!,7,FALSE)</f>
        <v>#REF!</v>
      </c>
      <c r="J1288" s="12" t="str">
        <f t="shared" si="61"/>
        <v/>
      </c>
      <c r="K1288" s="12" t="str">
        <f t="shared" si="62"/>
        <v/>
      </c>
      <c r="L1288" s="12" t="e">
        <f t="shared" si="60"/>
        <v>#VALUE!</v>
      </c>
    </row>
    <row r="1289" spans="1:12" ht="24" customHeight="1" x14ac:dyDescent="0.25">
      <c r="A1289" s="15">
        <v>43361</v>
      </c>
      <c r="B1289" s="15" t="s">
        <v>520</v>
      </c>
      <c r="C1289" s="27">
        <v>1068</v>
      </c>
      <c r="D1289" s="11" t="e">
        <f>VLOOKUP(B1289,#REF!,7,FALSE)</f>
        <v>#REF!</v>
      </c>
      <c r="E1289" s="31">
        <v>2.5760000000000001</v>
      </c>
      <c r="I1289" s="11" t="e">
        <f>+VLOOKUP(B1289,#REF!,7,FALSE)</f>
        <v>#REF!</v>
      </c>
      <c r="J1289" s="12" t="str">
        <f t="shared" si="61"/>
        <v/>
      </c>
      <c r="K1289" s="12" t="str">
        <f t="shared" si="62"/>
        <v/>
      </c>
      <c r="L1289" s="12" t="e">
        <f t="shared" si="60"/>
        <v>#VALUE!</v>
      </c>
    </row>
    <row r="1290" spans="1:12" ht="24" customHeight="1" x14ac:dyDescent="0.25">
      <c r="A1290" s="15">
        <v>43362</v>
      </c>
      <c r="B1290" s="15" t="s">
        <v>345</v>
      </c>
      <c r="C1290" s="27">
        <v>12942</v>
      </c>
      <c r="D1290" s="11" t="e">
        <f>VLOOKUP(B1290,#REF!,7,FALSE)</f>
        <v>#REF!</v>
      </c>
      <c r="E1290" s="31">
        <v>1.0029999999999999</v>
      </c>
      <c r="I1290" s="11" t="e">
        <f>+VLOOKUP(B1290,#REF!,7,FALSE)</f>
        <v>#REF!</v>
      </c>
      <c r="J1290" s="12" t="str">
        <f t="shared" si="61"/>
        <v/>
      </c>
      <c r="K1290" s="12" t="str">
        <f t="shared" si="62"/>
        <v/>
      </c>
      <c r="L1290" s="12" t="e">
        <f t="shared" si="60"/>
        <v>#VALUE!</v>
      </c>
    </row>
    <row r="1291" spans="1:12" ht="24" customHeight="1" x14ac:dyDescent="0.25">
      <c r="A1291" s="15">
        <v>43362</v>
      </c>
      <c r="B1291" s="15" t="s">
        <v>478</v>
      </c>
      <c r="C1291" s="27">
        <v>8500</v>
      </c>
      <c r="D1291" s="11" t="e">
        <f>VLOOKUP(B1291,#REF!,7,FALSE)</f>
        <v>#REF!</v>
      </c>
      <c r="E1291" s="31">
        <v>1.7951999999999999</v>
      </c>
      <c r="I1291" s="11" t="e">
        <f>+VLOOKUP(B1291,#REF!,7,FALSE)</f>
        <v>#REF!</v>
      </c>
      <c r="J1291" s="12" t="str">
        <f t="shared" si="61"/>
        <v/>
      </c>
      <c r="K1291" s="12" t="str">
        <f t="shared" si="62"/>
        <v/>
      </c>
      <c r="L1291" s="12" t="e">
        <f t="shared" si="60"/>
        <v>#VALUE!</v>
      </c>
    </row>
    <row r="1292" spans="1:12" ht="24" customHeight="1" x14ac:dyDescent="0.25">
      <c r="A1292" s="15">
        <v>43362</v>
      </c>
      <c r="B1292" s="15" t="s">
        <v>479</v>
      </c>
      <c r="C1292" s="27">
        <v>8500</v>
      </c>
      <c r="D1292" s="11" t="e">
        <f>VLOOKUP(B1292,#REF!,7,FALSE)</f>
        <v>#REF!</v>
      </c>
      <c r="E1292" s="31">
        <v>1.4336</v>
      </c>
      <c r="I1292" s="11" t="e">
        <f>+VLOOKUP(B1292,#REF!,7,FALSE)</f>
        <v>#REF!</v>
      </c>
      <c r="J1292" s="12" t="str">
        <f t="shared" si="61"/>
        <v/>
      </c>
      <c r="K1292" s="12" t="str">
        <f t="shared" si="62"/>
        <v/>
      </c>
      <c r="L1292" s="12" t="e">
        <f t="shared" si="60"/>
        <v>#VALUE!</v>
      </c>
    </row>
    <row r="1293" spans="1:12" ht="24" customHeight="1" x14ac:dyDescent="0.25">
      <c r="A1293" s="15">
        <v>43362</v>
      </c>
      <c r="B1293" s="15" t="s">
        <v>437</v>
      </c>
      <c r="C1293" s="27">
        <v>13872</v>
      </c>
      <c r="D1293" s="11" t="e">
        <f>VLOOKUP(B1293,#REF!,7,FALSE)</f>
        <v>#REF!</v>
      </c>
      <c r="E1293" s="31">
        <v>1.6140000000000001</v>
      </c>
      <c r="I1293" s="11" t="e">
        <f>+VLOOKUP(B1293,#REF!,7,FALSE)</f>
        <v>#REF!</v>
      </c>
      <c r="J1293" s="12" t="str">
        <f t="shared" si="61"/>
        <v/>
      </c>
      <c r="K1293" s="12" t="str">
        <f t="shared" si="62"/>
        <v/>
      </c>
      <c r="L1293" s="12" t="e">
        <f t="shared" si="60"/>
        <v>#VALUE!</v>
      </c>
    </row>
    <row r="1294" spans="1:12" ht="24" customHeight="1" x14ac:dyDescent="0.25">
      <c r="A1294" s="15">
        <v>43362</v>
      </c>
      <c r="B1294" s="15" t="s">
        <v>510</v>
      </c>
      <c r="C1294" s="27">
        <v>624</v>
      </c>
      <c r="D1294" s="11" t="e">
        <f>VLOOKUP(B1294,#REF!,7,FALSE)</f>
        <v>#REF!</v>
      </c>
      <c r="E1294" s="31">
        <v>6.4992000000000001</v>
      </c>
      <c r="I1294" s="11" t="e">
        <f>+VLOOKUP(B1294,#REF!,7,FALSE)</f>
        <v>#REF!</v>
      </c>
      <c r="J1294" s="12" t="str">
        <f t="shared" si="61"/>
        <v/>
      </c>
      <c r="K1294" s="12" t="str">
        <f t="shared" si="62"/>
        <v/>
      </c>
      <c r="L1294" s="12" t="e">
        <f t="shared" si="60"/>
        <v>#VALUE!</v>
      </c>
    </row>
    <row r="1295" spans="1:12" ht="24" customHeight="1" x14ac:dyDescent="0.25">
      <c r="A1295" s="15">
        <v>43362</v>
      </c>
      <c r="B1295" s="15" t="s">
        <v>515</v>
      </c>
      <c r="C1295" s="27">
        <v>8970</v>
      </c>
      <c r="D1295" s="11" t="e">
        <f>VLOOKUP(B1295,#REF!,7,FALSE)</f>
        <v>#REF!</v>
      </c>
      <c r="E1295" s="31">
        <v>2.0851999999999999</v>
      </c>
      <c r="I1295" s="11" t="e">
        <f>+VLOOKUP(B1295,#REF!,7,FALSE)</f>
        <v>#REF!</v>
      </c>
      <c r="J1295" s="12" t="str">
        <f t="shared" si="61"/>
        <v/>
      </c>
      <c r="K1295" s="12" t="str">
        <f t="shared" si="62"/>
        <v/>
      </c>
      <c r="L1295" s="12" t="e">
        <f t="shared" si="60"/>
        <v>#VALUE!</v>
      </c>
    </row>
    <row r="1296" spans="1:12" ht="24" customHeight="1" x14ac:dyDescent="0.25">
      <c r="A1296" s="15">
        <v>43363</v>
      </c>
      <c r="B1296" s="15" t="s">
        <v>295</v>
      </c>
      <c r="C1296" s="27">
        <v>1851</v>
      </c>
      <c r="D1296" s="11" t="e">
        <f>VLOOKUP(B1296,#REF!,7,FALSE)</f>
        <v>#REF!</v>
      </c>
      <c r="E1296" s="31">
        <v>3.0061</v>
      </c>
      <c r="I1296" s="11" t="e">
        <f>+VLOOKUP(B1296,#REF!,7,FALSE)</f>
        <v>#REF!</v>
      </c>
      <c r="J1296" s="12" t="str">
        <f t="shared" si="61"/>
        <v/>
      </c>
      <c r="K1296" s="12" t="str">
        <f t="shared" si="62"/>
        <v/>
      </c>
      <c r="L1296" s="12" t="e">
        <f t="shared" si="60"/>
        <v>#VALUE!</v>
      </c>
    </row>
    <row r="1297" spans="1:12" ht="24" customHeight="1" x14ac:dyDescent="0.25">
      <c r="A1297" s="15">
        <v>43363</v>
      </c>
      <c r="B1297" s="15" t="s">
        <v>349</v>
      </c>
      <c r="C1297" s="27">
        <v>6102</v>
      </c>
      <c r="D1297" s="11" t="e">
        <f>VLOOKUP(B1297,#REF!,7,FALSE)</f>
        <v>#REF!</v>
      </c>
      <c r="E1297" s="31">
        <v>1.4357</v>
      </c>
      <c r="I1297" s="11" t="e">
        <f>+VLOOKUP(B1297,#REF!,7,FALSE)</f>
        <v>#REF!</v>
      </c>
      <c r="J1297" s="12" t="str">
        <f t="shared" si="61"/>
        <v/>
      </c>
      <c r="K1297" s="12" t="str">
        <f t="shared" si="62"/>
        <v/>
      </c>
      <c r="L1297" s="12" t="e">
        <f t="shared" si="60"/>
        <v>#VALUE!</v>
      </c>
    </row>
    <row r="1298" spans="1:12" ht="24" customHeight="1" x14ac:dyDescent="0.25">
      <c r="A1298" s="15">
        <v>43363</v>
      </c>
      <c r="B1298" s="15" t="s">
        <v>350</v>
      </c>
      <c r="C1298" s="27">
        <v>1008</v>
      </c>
      <c r="D1298" s="11" t="e">
        <f>VLOOKUP(B1298,#REF!,7,FALSE)</f>
        <v>#REF!</v>
      </c>
      <c r="E1298" s="31">
        <v>2.0983000000000001</v>
      </c>
      <c r="I1298" s="11" t="e">
        <f>+VLOOKUP(B1298,#REF!,7,FALSE)</f>
        <v>#REF!</v>
      </c>
      <c r="J1298" s="12" t="str">
        <f t="shared" si="61"/>
        <v/>
      </c>
      <c r="K1298" s="12" t="str">
        <f t="shared" si="62"/>
        <v/>
      </c>
      <c r="L1298" s="12" t="e">
        <f t="shared" si="60"/>
        <v>#VALUE!</v>
      </c>
    </row>
    <row r="1299" spans="1:12" ht="24" customHeight="1" x14ac:dyDescent="0.25">
      <c r="A1299" s="15">
        <v>43363</v>
      </c>
      <c r="B1299" s="15" t="s">
        <v>352</v>
      </c>
      <c r="C1299" s="27">
        <v>2632</v>
      </c>
      <c r="D1299" s="11" t="e">
        <f>VLOOKUP(B1299,#REF!,7,FALSE)</f>
        <v>#REF!</v>
      </c>
      <c r="E1299" s="31">
        <v>0.73950000000000005</v>
      </c>
      <c r="I1299" s="11" t="e">
        <f>+VLOOKUP(B1299,#REF!,7,FALSE)</f>
        <v>#REF!</v>
      </c>
      <c r="J1299" s="12" t="str">
        <f t="shared" si="61"/>
        <v/>
      </c>
      <c r="K1299" s="12" t="str">
        <f t="shared" si="62"/>
        <v/>
      </c>
      <c r="L1299" s="12" t="e">
        <f t="shared" si="60"/>
        <v>#VALUE!</v>
      </c>
    </row>
    <row r="1300" spans="1:12" ht="24" customHeight="1" x14ac:dyDescent="0.25">
      <c r="A1300" s="15">
        <v>43363</v>
      </c>
      <c r="B1300" s="15" t="s">
        <v>210</v>
      </c>
      <c r="C1300" s="27" t="s">
        <v>11</v>
      </c>
      <c r="D1300" s="11" t="e">
        <f>VLOOKUP(B1300,#REF!,7,FALSE)</f>
        <v>#REF!</v>
      </c>
      <c r="E1300" s="31" t="s">
        <v>11</v>
      </c>
      <c r="I1300" s="11" t="e">
        <f>+VLOOKUP(B1300,#REF!,7,FALSE)</f>
        <v>#REF!</v>
      </c>
      <c r="J1300" s="12" t="str">
        <f t="shared" si="61"/>
        <v/>
      </c>
      <c r="K1300" s="12" t="str">
        <f t="shared" si="62"/>
        <v/>
      </c>
      <c r="L1300" s="12" t="e">
        <f t="shared" si="60"/>
        <v>#VALUE!</v>
      </c>
    </row>
    <row r="1301" spans="1:12" ht="24" customHeight="1" x14ac:dyDescent="0.25">
      <c r="A1301" s="15">
        <v>43363</v>
      </c>
      <c r="B1301" s="15" t="s">
        <v>478</v>
      </c>
      <c r="C1301" s="27">
        <v>13464</v>
      </c>
      <c r="D1301" s="11" t="e">
        <f>VLOOKUP(B1301,#REF!,7,FALSE)</f>
        <v>#REF!</v>
      </c>
      <c r="E1301" s="31">
        <v>1.6185</v>
      </c>
      <c r="I1301" s="11" t="e">
        <f>+VLOOKUP(B1301,#REF!,7,FALSE)</f>
        <v>#REF!</v>
      </c>
      <c r="J1301" s="12" t="str">
        <f t="shared" si="61"/>
        <v/>
      </c>
      <c r="K1301" s="12" t="str">
        <f t="shared" si="62"/>
        <v/>
      </c>
      <c r="L1301" s="12" t="e">
        <f t="shared" si="60"/>
        <v>#VALUE!</v>
      </c>
    </row>
    <row r="1302" spans="1:12" ht="24" customHeight="1" x14ac:dyDescent="0.25">
      <c r="A1302" s="15">
        <v>43363</v>
      </c>
      <c r="B1302" s="15" t="s">
        <v>479</v>
      </c>
      <c r="C1302" s="27">
        <v>13464</v>
      </c>
      <c r="D1302" s="11" t="e">
        <f>VLOOKUP(B1302,#REF!,7,FALSE)</f>
        <v>#REF!</v>
      </c>
      <c r="E1302" s="31">
        <v>1.3926000000000001</v>
      </c>
      <c r="I1302" s="11" t="e">
        <f>+VLOOKUP(B1302,#REF!,7,FALSE)</f>
        <v>#REF!</v>
      </c>
      <c r="J1302" s="12" t="str">
        <f t="shared" si="61"/>
        <v/>
      </c>
      <c r="K1302" s="12" t="str">
        <f t="shared" si="62"/>
        <v/>
      </c>
      <c r="L1302" s="12" t="e">
        <f t="shared" si="60"/>
        <v>#VALUE!</v>
      </c>
    </row>
    <row r="1303" spans="1:12" ht="24" customHeight="1" x14ac:dyDescent="0.25">
      <c r="A1303" s="15">
        <v>43363</v>
      </c>
      <c r="B1303" s="15" t="s">
        <v>437</v>
      </c>
      <c r="C1303" s="27">
        <v>3024</v>
      </c>
      <c r="D1303" s="11" t="e">
        <f>VLOOKUP(B1303,#REF!,7,FALSE)</f>
        <v>#REF!</v>
      </c>
      <c r="E1303" s="31">
        <v>1.6140000000000001</v>
      </c>
      <c r="I1303" s="11" t="e">
        <f>+VLOOKUP(B1303,#REF!,7,FALSE)</f>
        <v>#REF!</v>
      </c>
      <c r="J1303" s="12" t="str">
        <f t="shared" si="61"/>
        <v/>
      </c>
      <c r="K1303" s="12" t="str">
        <f t="shared" si="62"/>
        <v/>
      </c>
      <c r="L1303" s="12" t="e">
        <f t="shared" si="60"/>
        <v>#VALUE!</v>
      </c>
    </row>
    <row r="1304" spans="1:12" ht="24" customHeight="1" x14ac:dyDescent="0.25">
      <c r="A1304" s="15">
        <v>43363</v>
      </c>
      <c r="B1304" s="15" t="s">
        <v>514</v>
      </c>
      <c r="C1304" s="27">
        <v>2826</v>
      </c>
      <c r="D1304" s="11" t="e">
        <f>VLOOKUP(B1304,#REF!,7,FALSE)</f>
        <v>#REF!</v>
      </c>
      <c r="E1304" s="31">
        <v>2.0861999999999998</v>
      </c>
      <c r="I1304" s="11" t="e">
        <f>+VLOOKUP(B1304,#REF!,7,FALSE)</f>
        <v>#REF!</v>
      </c>
      <c r="J1304" s="12" t="str">
        <f t="shared" si="61"/>
        <v/>
      </c>
      <c r="K1304" s="12" t="str">
        <f t="shared" si="62"/>
        <v/>
      </c>
      <c r="L1304" s="12" t="e">
        <f t="shared" si="60"/>
        <v>#VALUE!</v>
      </c>
    </row>
    <row r="1305" spans="1:12" ht="24" customHeight="1" x14ac:dyDescent="0.25">
      <c r="A1305" s="15">
        <v>43363</v>
      </c>
      <c r="B1305" s="15" t="s">
        <v>515</v>
      </c>
      <c r="C1305" s="27">
        <v>1248</v>
      </c>
      <c r="D1305" s="11" t="e">
        <f>VLOOKUP(B1305,#REF!,7,FALSE)</f>
        <v>#REF!</v>
      </c>
      <c r="E1305" s="31">
        <v>2.069</v>
      </c>
      <c r="I1305" s="11" t="e">
        <f>+VLOOKUP(B1305,#REF!,7,FALSE)</f>
        <v>#REF!</v>
      </c>
      <c r="J1305" s="12" t="str">
        <f t="shared" si="61"/>
        <v/>
      </c>
      <c r="K1305" s="12" t="str">
        <f t="shared" si="62"/>
        <v/>
      </c>
      <c r="L1305" s="12" t="e">
        <f t="shared" si="60"/>
        <v>#VALUE!</v>
      </c>
    </row>
    <row r="1306" spans="1:12" ht="24" customHeight="1" x14ac:dyDescent="0.25">
      <c r="A1306" s="15">
        <v>43364</v>
      </c>
      <c r="B1306" s="15" t="s">
        <v>238</v>
      </c>
      <c r="C1306" s="27">
        <v>504</v>
      </c>
      <c r="D1306" s="11" t="e">
        <f>VLOOKUP(B1306,#REF!,7,FALSE)</f>
        <v>#REF!</v>
      </c>
      <c r="E1306" s="31">
        <v>1.2653000000000001</v>
      </c>
      <c r="I1306" s="11" t="e">
        <f>+VLOOKUP(B1306,#REF!,7,FALSE)</f>
        <v>#REF!</v>
      </c>
      <c r="J1306" s="12" t="str">
        <f t="shared" si="61"/>
        <v/>
      </c>
      <c r="K1306" s="12" t="str">
        <f t="shared" si="62"/>
        <v/>
      </c>
      <c r="L1306" s="12" t="e">
        <f t="shared" si="60"/>
        <v>#VALUE!</v>
      </c>
    </row>
    <row r="1307" spans="1:12" ht="24" customHeight="1" x14ac:dyDescent="0.25">
      <c r="A1307" s="15">
        <v>43364</v>
      </c>
      <c r="B1307" s="15" t="s">
        <v>242</v>
      </c>
      <c r="C1307" s="27">
        <v>684</v>
      </c>
      <c r="D1307" s="11" t="e">
        <f>VLOOKUP(B1307,#REF!,7,FALSE)</f>
        <v>#REF!</v>
      </c>
      <c r="E1307" s="31">
        <v>1.4815</v>
      </c>
      <c r="I1307" s="11" t="e">
        <f>+VLOOKUP(B1307,#REF!,7,FALSE)</f>
        <v>#REF!</v>
      </c>
      <c r="J1307" s="12" t="str">
        <f t="shared" si="61"/>
        <v/>
      </c>
      <c r="K1307" s="12" t="str">
        <f t="shared" si="62"/>
        <v/>
      </c>
      <c r="L1307" s="12" t="e">
        <f t="shared" si="60"/>
        <v>#VALUE!</v>
      </c>
    </row>
    <row r="1308" spans="1:12" ht="24" customHeight="1" x14ac:dyDescent="0.25">
      <c r="A1308" s="15">
        <v>43364</v>
      </c>
      <c r="B1308" s="15" t="s">
        <v>296</v>
      </c>
      <c r="C1308" s="27">
        <v>1028</v>
      </c>
      <c r="D1308" s="11" t="e">
        <f>VLOOKUP(B1308,#REF!,7,FALSE)</f>
        <v>#REF!</v>
      </c>
      <c r="E1308" s="31">
        <v>2.3331</v>
      </c>
      <c r="I1308" s="11" t="e">
        <f>+VLOOKUP(B1308,#REF!,7,FALSE)</f>
        <v>#REF!</v>
      </c>
      <c r="J1308" s="12" t="str">
        <f t="shared" si="61"/>
        <v/>
      </c>
      <c r="K1308" s="12" t="str">
        <f t="shared" si="62"/>
        <v/>
      </c>
      <c r="L1308" s="12" t="e">
        <f t="shared" si="60"/>
        <v>#VALUE!</v>
      </c>
    </row>
    <row r="1309" spans="1:12" ht="24" customHeight="1" x14ac:dyDescent="0.25">
      <c r="A1309" s="15">
        <v>43364</v>
      </c>
      <c r="B1309" s="15" t="s">
        <v>347</v>
      </c>
      <c r="C1309" s="27">
        <v>9024</v>
      </c>
      <c r="D1309" s="11" t="e">
        <f>VLOOKUP(B1309,#REF!,7,FALSE)</f>
        <v>#REF!</v>
      </c>
      <c r="E1309" s="31">
        <v>1.2744</v>
      </c>
      <c r="I1309" s="11" t="e">
        <f>+VLOOKUP(B1309,#REF!,7,FALSE)</f>
        <v>#REF!</v>
      </c>
      <c r="J1309" s="12" t="str">
        <f t="shared" si="61"/>
        <v/>
      </c>
      <c r="K1309" s="12" t="str">
        <f t="shared" si="62"/>
        <v/>
      </c>
      <c r="L1309" s="12" t="e">
        <f t="shared" si="60"/>
        <v>#VALUE!</v>
      </c>
    </row>
    <row r="1310" spans="1:12" ht="24" customHeight="1" x14ac:dyDescent="0.25">
      <c r="A1310" s="15">
        <v>43364</v>
      </c>
      <c r="B1310" s="15" t="s">
        <v>348</v>
      </c>
      <c r="C1310" s="27">
        <v>2040</v>
      </c>
      <c r="D1310" s="11" t="e">
        <f>VLOOKUP(B1310,#REF!,7,FALSE)</f>
        <v>#REF!</v>
      </c>
      <c r="E1310" s="31">
        <v>1.9428000000000001</v>
      </c>
      <c r="I1310" s="11" t="e">
        <f>+VLOOKUP(B1310,#REF!,7,FALSE)</f>
        <v>#REF!</v>
      </c>
      <c r="J1310" s="12" t="str">
        <f t="shared" si="61"/>
        <v/>
      </c>
      <c r="K1310" s="12" t="str">
        <f t="shared" si="62"/>
        <v/>
      </c>
      <c r="L1310" s="12" t="e">
        <f t="shared" si="60"/>
        <v>#VALUE!</v>
      </c>
    </row>
    <row r="1311" spans="1:12" ht="24" customHeight="1" x14ac:dyDescent="0.25">
      <c r="A1311" s="15">
        <v>43364</v>
      </c>
      <c r="B1311" s="15" t="s">
        <v>478</v>
      </c>
      <c r="C1311" s="27">
        <v>13464</v>
      </c>
      <c r="D1311" s="11" t="e">
        <f>VLOOKUP(B1311,#REF!,7,FALSE)</f>
        <v>#REF!</v>
      </c>
      <c r="E1311" s="31">
        <v>1.3852</v>
      </c>
      <c r="I1311" s="11" t="e">
        <f>+VLOOKUP(B1311,#REF!,7,FALSE)</f>
        <v>#REF!</v>
      </c>
      <c r="J1311" s="12" t="str">
        <f t="shared" si="61"/>
        <v/>
      </c>
      <c r="K1311" s="12" t="str">
        <f t="shared" si="62"/>
        <v/>
      </c>
      <c r="L1311" s="12" t="e">
        <f t="shared" si="60"/>
        <v>#VALUE!</v>
      </c>
    </row>
    <row r="1312" spans="1:12" ht="24" customHeight="1" x14ac:dyDescent="0.25">
      <c r="A1312" s="15">
        <v>43364</v>
      </c>
      <c r="B1312" s="15" t="s">
        <v>479</v>
      </c>
      <c r="C1312" s="27">
        <v>13464</v>
      </c>
      <c r="D1312" s="11" t="e">
        <f>VLOOKUP(B1312,#REF!,7,FALSE)</f>
        <v>#REF!</v>
      </c>
      <c r="E1312" s="31">
        <v>1.3966000000000001</v>
      </c>
      <c r="I1312" s="11" t="e">
        <f>+VLOOKUP(B1312,#REF!,7,FALSE)</f>
        <v>#REF!</v>
      </c>
      <c r="J1312" s="12" t="str">
        <f t="shared" si="61"/>
        <v/>
      </c>
      <c r="K1312" s="12" t="str">
        <f t="shared" si="62"/>
        <v/>
      </c>
      <c r="L1312" s="12" t="e">
        <f t="shared" si="60"/>
        <v>#VALUE!</v>
      </c>
    </row>
    <row r="1313" spans="1:12" ht="24" customHeight="1" x14ac:dyDescent="0.25">
      <c r="A1313" s="15">
        <v>43364</v>
      </c>
      <c r="B1313" s="15" t="s">
        <v>437</v>
      </c>
      <c r="C1313" s="27">
        <v>26928</v>
      </c>
      <c r="D1313" s="11" t="e">
        <f>VLOOKUP(B1313,#REF!,7,FALSE)</f>
        <v>#REF!</v>
      </c>
      <c r="E1313" s="31">
        <v>1.3909</v>
      </c>
      <c r="I1313" s="11" t="e">
        <f>+VLOOKUP(B1313,#REF!,7,FALSE)</f>
        <v>#REF!</v>
      </c>
      <c r="J1313" s="12" t="str">
        <f t="shared" si="61"/>
        <v/>
      </c>
      <c r="K1313" s="12" t="str">
        <f t="shared" si="62"/>
        <v/>
      </c>
      <c r="L1313" s="12" t="e">
        <f t="shared" si="60"/>
        <v>#VALUE!</v>
      </c>
    </row>
    <row r="1314" spans="1:12" ht="24" customHeight="1" x14ac:dyDescent="0.25">
      <c r="A1314" s="15">
        <v>43364</v>
      </c>
      <c r="B1314" s="15" t="s">
        <v>514</v>
      </c>
      <c r="C1314" s="27">
        <v>6270</v>
      </c>
      <c r="D1314" s="11" t="e">
        <f>VLOOKUP(B1314,#REF!,7,FALSE)</f>
        <v>#REF!</v>
      </c>
      <c r="E1314" s="31">
        <v>2.1316999999999999</v>
      </c>
      <c r="I1314" s="11" t="e">
        <f>+VLOOKUP(B1314,#REF!,7,FALSE)</f>
        <v>#REF!</v>
      </c>
      <c r="J1314" s="12" t="str">
        <f t="shared" si="61"/>
        <v/>
      </c>
      <c r="K1314" s="12" t="str">
        <f t="shared" si="62"/>
        <v/>
      </c>
      <c r="L1314" s="12" t="e">
        <f t="shared" si="60"/>
        <v>#VALUE!</v>
      </c>
    </row>
    <row r="1315" spans="1:12" ht="24" customHeight="1" x14ac:dyDescent="0.25">
      <c r="A1315" s="15">
        <v>43365</v>
      </c>
      <c r="B1315" s="15" t="s">
        <v>306</v>
      </c>
      <c r="C1315" s="27" t="s">
        <v>11</v>
      </c>
      <c r="D1315" s="11" t="e">
        <f>VLOOKUP(B1315,#REF!,7,FALSE)</f>
        <v>#REF!</v>
      </c>
      <c r="E1315" s="31" t="s">
        <v>11</v>
      </c>
      <c r="I1315" s="11" t="e">
        <f>+VLOOKUP(B1315,#REF!,7,FALSE)</f>
        <v>#REF!</v>
      </c>
      <c r="J1315" s="12" t="str">
        <f t="shared" si="61"/>
        <v/>
      </c>
      <c r="K1315" s="12" t="str">
        <f t="shared" si="62"/>
        <v/>
      </c>
      <c r="L1315" s="12" t="e">
        <f t="shared" si="60"/>
        <v>#VALUE!</v>
      </c>
    </row>
    <row r="1316" spans="1:12" ht="24" customHeight="1" x14ac:dyDescent="0.25">
      <c r="A1316" s="15">
        <v>43365</v>
      </c>
      <c r="B1316" s="15" t="s">
        <v>316</v>
      </c>
      <c r="C1316" s="27">
        <v>1608</v>
      </c>
      <c r="D1316" s="11" t="e">
        <f>VLOOKUP(B1316,#REF!,7,FALSE)</f>
        <v>#REF!</v>
      </c>
      <c r="E1316" s="31" t="s">
        <v>11</v>
      </c>
      <c r="I1316" s="11" t="e">
        <f>+VLOOKUP(B1316,#REF!,7,FALSE)</f>
        <v>#REF!</v>
      </c>
      <c r="J1316" s="12" t="str">
        <f t="shared" si="61"/>
        <v/>
      </c>
      <c r="K1316" s="12" t="str">
        <f t="shared" si="62"/>
        <v/>
      </c>
      <c r="L1316" s="12" t="e">
        <f t="shared" si="60"/>
        <v>#VALUE!</v>
      </c>
    </row>
    <row r="1317" spans="1:12" ht="24" customHeight="1" x14ac:dyDescent="0.25">
      <c r="A1317" s="15">
        <v>43365</v>
      </c>
      <c r="B1317" s="15" t="s">
        <v>353</v>
      </c>
      <c r="C1317" s="27">
        <v>8118</v>
      </c>
      <c r="D1317" s="11" t="e">
        <f>VLOOKUP(B1317,#REF!,7,FALSE)</f>
        <v>#REF!</v>
      </c>
      <c r="E1317" s="31">
        <v>1.5757000000000001</v>
      </c>
      <c r="I1317" s="11" t="e">
        <f>+VLOOKUP(B1317,#REF!,7,FALSE)</f>
        <v>#REF!</v>
      </c>
      <c r="J1317" s="12" t="str">
        <f t="shared" si="61"/>
        <v/>
      </c>
      <c r="K1317" s="12" t="str">
        <f t="shared" si="62"/>
        <v/>
      </c>
      <c r="L1317" s="12" t="e">
        <f t="shared" si="60"/>
        <v>#VALUE!</v>
      </c>
    </row>
    <row r="1318" spans="1:12" ht="24" customHeight="1" x14ac:dyDescent="0.25">
      <c r="A1318" s="15">
        <v>43365</v>
      </c>
      <c r="B1318" s="15" t="s">
        <v>514</v>
      </c>
      <c r="C1318" s="27">
        <v>2766</v>
      </c>
      <c r="D1318" s="11" t="e">
        <f>VLOOKUP(B1318,#REF!,7,FALSE)</f>
        <v>#REF!</v>
      </c>
      <c r="E1318" s="31">
        <v>0.93899999999999995</v>
      </c>
      <c r="I1318" s="11" t="e">
        <f>+VLOOKUP(B1318,#REF!,7,FALSE)</f>
        <v>#REF!</v>
      </c>
      <c r="J1318" s="12" t="str">
        <f t="shared" si="61"/>
        <v/>
      </c>
      <c r="K1318" s="12" t="str">
        <f t="shared" si="62"/>
        <v/>
      </c>
      <c r="L1318" s="12" t="e">
        <f t="shared" si="60"/>
        <v>#VALUE!</v>
      </c>
    </row>
    <row r="1319" spans="1:12" ht="24" customHeight="1" x14ac:dyDescent="0.25">
      <c r="A1319" s="15">
        <v>43367</v>
      </c>
      <c r="B1319" s="15" t="s">
        <v>237</v>
      </c>
      <c r="C1319" s="27">
        <v>726</v>
      </c>
      <c r="D1319" s="11" t="e">
        <f>VLOOKUP(B1319,#REF!,7,FALSE)</f>
        <v>#REF!</v>
      </c>
      <c r="E1319" s="31">
        <v>1.8126</v>
      </c>
      <c r="I1319" s="11" t="e">
        <f>+VLOOKUP(B1319,#REF!,7,FALSE)</f>
        <v>#REF!</v>
      </c>
      <c r="J1319" s="12" t="str">
        <f t="shared" si="61"/>
        <v/>
      </c>
      <c r="K1319" s="12" t="str">
        <f t="shared" si="62"/>
        <v/>
      </c>
      <c r="L1319" s="12" t="e">
        <f t="shared" si="60"/>
        <v>#VALUE!</v>
      </c>
    </row>
    <row r="1320" spans="1:12" ht="24" customHeight="1" x14ac:dyDescent="0.25">
      <c r="A1320" s="15">
        <v>43367</v>
      </c>
      <c r="B1320" s="15" t="s">
        <v>239</v>
      </c>
      <c r="C1320" s="27">
        <v>756</v>
      </c>
      <c r="D1320" s="11" t="e">
        <f>VLOOKUP(B1320,#REF!,7,FALSE)</f>
        <v>#REF!</v>
      </c>
      <c r="E1320" s="31">
        <v>1.9034</v>
      </c>
      <c r="I1320" s="11" t="e">
        <f>+VLOOKUP(B1320,#REF!,7,FALSE)</f>
        <v>#REF!</v>
      </c>
      <c r="J1320" s="12" t="str">
        <f t="shared" si="61"/>
        <v/>
      </c>
      <c r="K1320" s="12" t="str">
        <f t="shared" si="62"/>
        <v/>
      </c>
      <c r="L1320" s="12" t="e">
        <f t="shared" si="60"/>
        <v>#VALUE!</v>
      </c>
    </row>
    <row r="1321" spans="1:12" ht="24" customHeight="1" x14ac:dyDescent="0.25">
      <c r="A1321" s="15">
        <v>43367</v>
      </c>
      <c r="B1321" s="15" t="s">
        <v>240</v>
      </c>
      <c r="C1321" s="27">
        <v>1008</v>
      </c>
      <c r="D1321" s="11" t="e">
        <f>VLOOKUP(B1321,#REF!,7,FALSE)</f>
        <v>#REF!</v>
      </c>
      <c r="E1321" s="31">
        <v>2.0236999999999998</v>
      </c>
      <c r="I1321" s="11" t="e">
        <f>+VLOOKUP(B1321,#REF!,7,FALSE)</f>
        <v>#REF!</v>
      </c>
      <c r="J1321" s="12" t="str">
        <f t="shared" si="61"/>
        <v/>
      </c>
      <c r="K1321" s="12" t="str">
        <f t="shared" si="62"/>
        <v/>
      </c>
      <c r="L1321" s="12" t="e">
        <f t="shared" si="60"/>
        <v>#VALUE!</v>
      </c>
    </row>
    <row r="1322" spans="1:12" ht="24" customHeight="1" x14ac:dyDescent="0.25">
      <c r="A1322" s="15">
        <v>43367</v>
      </c>
      <c r="B1322" s="15" t="s">
        <v>243</v>
      </c>
      <c r="C1322" s="27">
        <v>522</v>
      </c>
      <c r="D1322" s="11" t="e">
        <f>VLOOKUP(B1322,#REF!,7,FALSE)</f>
        <v>#REF!</v>
      </c>
      <c r="E1322" s="31">
        <v>2.1815000000000002</v>
      </c>
      <c r="I1322" s="11" t="e">
        <f>+VLOOKUP(B1322,#REF!,7,FALSE)</f>
        <v>#REF!</v>
      </c>
      <c r="J1322" s="12" t="str">
        <f t="shared" si="61"/>
        <v/>
      </c>
      <c r="K1322" s="12" t="str">
        <f t="shared" si="62"/>
        <v/>
      </c>
      <c r="L1322" s="12" t="e">
        <f t="shared" si="60"/>
        <v>#VALUE!</v>
      </c>
    </row>
    <row r="1323" spans="1:12" ht="24" customHeight="1" x14ac:dyDescent="0.25">
      <c r="A1323" s="15">
        <v>43367</v>
      </c>
      <c r="B1323" s="15" t="s">
        <v>245</v>
      </c>
      <c r="C1323" s="27">
        <v>2142</v>
      </c>
      <c r="D1323" s="11" t="e">
        <f>VLOOKUP(B1323,#REF!,7,FALSE)</f>
        <v>#REF!</v>
      </c>
      <c r="E1323" s="31">
        <v>1.3805000000000001</v>
      </c>
      <c r="I1323" s="11" t="e">
        <f>+VLOOKUP(B1323,#REF!,7,FALSE)</f>
        <v>#REF!</v>
      </c>
      <c r="J1323" s="12" t="str">
        <f t="shared" si="61"/>
        <v/>
      </c>
      <c r="K1323" s="12" t="str">
        <f t="shared" si="62"/>
        <v/>
      </c>
      <c r="L1323" s="12" t="e">
        <f t="shared" si="60"/>
        <v>#VALUE!</v>
      </c>
    </row>
    <row r="1324" spans="1:12" ht="24" customHeight="1" x14ac:dyDescent="0.25">
      <c r="A1324" s="15">
        <v>43367</v>
      </c>
      <c r="B1324" s="15" t="s">
        <v>246</v>
      </c>
      <c r="C1324" s="27">
        <v>1746</v>
      </c>
      <c r="D1324" s="11" t="e">
        <f>VLOOKUP(B1324,#REF!,7,FALSE)</f>
        <v>#REF!</v>
      </c>
      <c r="E1324" s="31">
        <v>1.4066000000000001</v>
      </c>
      <c r="I1324" s="11" t="e">
        <f>+VLOOKUP(B1324,#REF!,7,FALSE)</f>
        <v>#REF!</v>
      </c>
      <c r="J1324" s="12" t="str">
        <f t="shared" si="61"/>
        <v/>
      </c>
      <c r="K1324" s="12" t="str">
        <f t="shared" si="62"/>
        <v/>
      </c>
      <c r="L1324" s="12" t="e">
        <f t="shared" si="60"/>
        <v>#VALUE!</v>
      </c>
    </row>
    <row r="1325" spans="1:12" ht="24" customHeight="1" x14ac:dyDescent="0.25">
      <c r="A1325" s="15">
        <v>43367</v>
      </c>
      <c r="B1325" s="15" t="s">
        <v>247</v>
      </c>
      <c r="C1325" s="27">
        <v>2658</v>
      </c>
      <c r="D1325" s="11" t="e">
        <f>VLOOKUP(B1325,#REF!,7,FALSE)</f>
        <v>#REF!</v>
      </c>
      <c r="E1325" s="31">
        <v>1.4814000000000001</v>
      </c>
      <c r="I1325" s="11" t="e">
        <f>+VLOOKUP(B1325,#REF!,7,FALSE)</f>
        <v>#REF!</v>
      </c>
      <c r="J1325" s="12" t="str">
        <f t="shared" si="61"/>
        <v/>
      </c>
      <c r="K1325" s="12" t="str">
        <f t="shared" si="62"/>
        <v/>
      </c>
      <c r="L1325" s="12" t="e">
        <f t="shared" si="60"/>
        <v>#VALUE!</v>
      </c>
    </row>
    <row r="1326" spans="1:12" ht="24" customHeight="1" x14ac:dyDescent="0.25">
      <c r="A1326" s="15">
        <v>43367</v>
      </c>
      <c r="B1326" s="15" t="s">
        <v>250</v>
      </c>
      <c r="C1326" s="27">
        <v>1012</v>
      </c>
      <c r="D1326" s="11" t="e">
        <f>VLOOKUP(B1326,#REF!,7,FALSE)</f>
        <v>#REF!</v>
      </c>
      <c r="E1326" s="31">
        <v>2.0773000000000001</v>
      </c>
      <c r="I1326" s="11" t="e">
        <f>+VLOOKUP(B1326,#REF!,7,FALSE)</f>
        <v>#REF!</v>
      </c>
      <c r="J1326" s="12" t="str">
        <f t="shared" si="61"/>
        <v/>
      </c>
      <c r="K1326" s="12" t="str">
        <f t="shared" si="62"/>
        <v/>
      </c>
      <c r="L1326" s="12" t="e">
        <f t="shared" ref="L1326:L1376" si="63">J1326-K1326</f>
        <v>#VALUE!</v>
      </c>
    </row>
    <row r="1327" spans="1:12" ht="24" customHeight="1" x14ac:dyDescent="0.25">
      <c r="A1327" s="15">
        <v>43367</v>
      </c>
      <c r="B1327" s="15" t="s">
        <v>251</v>
      </c>
      <c r="C1327" s="27">
        <v>1444</v>
      </c>
      <c r="D1327" s="11" t="e">
        <f>VLOOKUP(B1327,#REF!,7,FALSE)</f>
        <v>#REF!</v>
      </c>
      <c r="E1327" s="31">
        <v>2.2343999999999999</v>
      </c>
      <c r="I1327" s="11" t="e">
        <f>+VLOOKUP(B1327,#REF!,7,FALSE)</f>
        <v>#REF!</v>
      </c>
      <c r="J1327" s="12" t="str">
        <f t="shared" si="61"/>
        <v/>
      </c>
      <c r="K1327" s="12" t="str">
        <f t="shared" si="62"/>
        <v/>
      </c>
      <c r="L1327" s="12" t="e">
        <f t="shared" si="63"/>
        <v>#VALUE!</v>
      </c>
    </row>
    <row r="1328" spans="1:12" ht="24" customHeight="1" x14ac:dyDescent="0.25">
      <c r="A1328" s="15">
        <v>43367</v>
      </c>
      <c r="B1328" s="15" t="s">
        <v>258</v>
      </c>
      <c r="C1328" s="27">
        <v>908</v>
      </c>
      <c r="D1328" s="11" t="e">
        <f>VLOOKUP(B1328,#REF!,7,FALSE)</f>
        <v>#REF!</v>
      </c>
      <c r="E1328" s="31">
        <v>2.431</v>
      </c>
      <c r="I1328" s="11" t="e">
        <f>+VLOOKUP(B1328,#REF!,7,FALSE)</f>
        <v>#REF!</v>
      </c>
      <c r="J1328" s="12" t="str">
        <f t="shared" si="61"/>
        <v/>
      </c>
      <c r="K1328" s="12" t="str">
        <f t="shared" si="62"/>
        <v/>
      </c>
      <c r="L1328" s="12" t="e">
        <f t="shared" si="63"/>
        <v>#VALUE!</v>
      </c>
    </row>
    <row r="1329" spans="1:12" ht="24" customHeight="1" x14ac:dyDescent="0.25">
      <c r="A1329" s="15">
        <v>43367</v>
      </c>
      <c r="B1329" s="15" t="s">
        <v>259</v>
      </c>
      <c r="C1329" s="27">
        <v>804</v>
      </c>
      <c r="D1329" s="11" t="e">
        <f>VLOOKUP(B1329,#REF!,7,FALSE)</f>
        <v>#REF!</v>
      </c>
      <c r="E1329" s="31">
        <v>1.7230000000000001</v>
      </c>
      <c r="I1329" s="11" t="e">
        <f>+VLOOKUP(B1329,#REF!,7,FALSE)</f>
        <v>#REF!</v>
      </c>
      <c r="J1329" s="12" t="str">
        <f t="shared" si="61"/>
        <v/>
      </c>
      <c r="K1329" s="12" t="str">
        <f t="shared" si="62"/>
        <v/>
      </c>
      <c r="L1329" s="12" t="e">
        <f t="shared" si="63"/>
        <v>#VALUE!</v>
      </c>
    </row>
    <row r="1330" spans="1:12" ht="24" customHeight="1" x14ac:dyDescent="0.25">
      <c r="A1330" s="15">
        <v>43367</v>
      </c>
      <c r="B1330" s="15" t="s">
        <v>393</v>
      </c>
      <c r="C1330" s="27">
        <v>556</v>
      </c>
      <c r="D1330" s="11" t="e">
        <f>VLOOKUP(B1330,#REF!,7,FALSE)</f>
        <v>#REF!</v>
      </c>
      <c r="E1330" s="31">
        <v>4.3224</v>
      </c>
      <c r="I1330" s="11" t="e">
        <f>+VLOOKUP(B1330,#REF!,7,FALSE)</f>
        <v>#REF!</v>
      </c>
      <c r="J1330" s="12" t="str">
        <f t="shared" si="61"/>
        <v/>
      </c>
      <c r="K1330" s="12" t="str">
        <f t="shared" si="62"/>
        <v/>
      </c>
      <c r="L1330" s="12" t="e">
        <f t="shared" si="63"/>
        <v>#VALUE!</v>
      </c>
    </row>
    <row r="1331" spans="1:12" ht="24" customHeight="1" x14ac:dyDescent="0.25">
      <c r="A1331" s="15">
        <v>43367</v>
      </c>
      <c r="B1331" s="15" t="s">
        <v>437</v>
      </c>
      <c r="C1331" s="27">
        <v>15858</v>
      </c>
      <c r="D1331" s="11" t="e">
        <f>VLOOKUP(B1331,#REF!,7,FALSE)</f>
        <v>#REF!</v>
      </c>
      <c r="E1331" s="31">
        <v>1.5061</v>
      </c>
      <c r="I1331" s="11" t="e">
        <f>+VLOOKUP(B1331,#REF!,7,FALSE)</f>
        <v>#REF!</v>
      </c>
      <c r="J1331" s="12" t="str">
        <f t="shared" si="61"/>
        <v/>
      </c>
      <c r="K1331" s="12" t="str">
        <f t="shared" si="62"/>
        <v/>
      </c>
      <c r="L1331" s="12" t="e">
        <f t="shared" si="63"/>
        <v>#VALUE!</v>
      </c>
    </row>
    <row r="1332" spans="1:12" ht="24" customHeight="1" x14ac:dyDescent="0.25">
      <c r="A1332" s="15">
        <v>43367</v>
      </c>
      <c r="B1332" s="15" t="s">
        <v>521</v>
      </c>
      <c r="C1332" s="27">
        <v>2268</v>
      </c>
      <c r="D1332" s="11" t="e">
        <f>VLOOKUP(B1332,#REF!,7,FALSE)</f>
        <v>#REF!</v>
      </c>
      <c r="E1332" s="31">
        <v>1.5122</v>
      </c>
      <c r="I1332" s="11" t="e">
        <f>+VLOOKUP(B1332,#REF!,7,FALSE)</f>
        <v>#REF!</v>
      </c>
      <c r="J1332" s="12" t="str">
        <f t="shared" si="61"/>
        <v/>
      </c>
      <c r="K1332" s="12" t="str">
        <f t="shared" si="62"/>
        <v/>
      </c>
      <c r="L1332" s="12" t="e">
        <f t="shared" si="63"/>
        <v>#VALUE!</v>
      </c>
    </row>
    <row r="1333" spans="1:12" ht="24" customHeight="1" x14ac:dyDescent="0.25">
      <c r="A1333" s="15">
        <v>43367</v>
      </c>
      <c r="B1333" s="15" t="s">
        <v>522</v>
      </c>
      <c r="C1333" s="27">
        <v>4536</v>
      </c>
      <c r="D1333" s="11" t="e">
        <f>VLOOKUP(B1333,#REF!,7,FALSE)</f>
        <v>#REF!</v>
      </c>
      <c r="E1333" s="31">
        <v>1.5122</v>
      </c>
      <c r="I1333" s="11" t="e">
        <f>+VLOOKUP(B1333,#REF!,7,FALSE)</f>
        <v>#REF!</v>
      </c>
      <c r="J1333" s="12" t="str">
        <f t="shared" si="61"/>
        <v/>
      </c>
      <c r="K1333" s="12" t="str">
        <f t="shared" si="62"/>
        <v/>
      </c>
      <c r="L1333" s="12" t="e">
        <f t="shared" si="63"/>
        <v>#VALUE!</v>
      </c>
    </row>
    <row r="1334" spans="1:12" ht="24" customHeight="1" x14ac:dyDescent="0.25">
      <c r="A1334" s="15">
        <v>43367</v>
      </c>
      <c r="B1334" s="15" t="s">
        <v>523</v>
      </c>
      <c r="C1334" s="27">
        <v>2070</v>
      </c>
      <c r="D1334" s="11" t="e">
        <f>VLOOKUP(B1334,#REF!,7,FALSE)</f>
        <v>#REF!</v>
      </c>
      <c r="E1334" s="31">
        <v>2.9437000000000002</v>
      </c>
      <c r="I1334" s="11" t="e">
        <f>+VLOOKUP(B1334,#REF!,7,FALSE)</f>
        <v>#REF!</v>
      </c>
      <c r="J1334" s="12" t="str">
        <f t="shared" si="61"/>
        <v/>
      </c>
      <c r="K1334" s="12" t="str">
        <f t="shared" si="62"/>
        <v/>
      </c>
      <c r="L1334" s="12" t="e">
        <f t="shared" si="63"/>
        <v>#VALUE!</v>
      </c>
    </row>
    <row r="1335" spans="1:12" ht="24" customHeight="1" x14ac:dyDescent="0.25">
      <c r="A1335" s="15">
        <v>43368</v>
      </c>
      <c r="B1335" s="15" t="s">
        <v>50</v>
      </c>
      <c r="C1335" s="27">
        <v>487</v>
      </c>
      <c r="D1335" s="11" t="e">
        <f>VLOOKUP(B1335,#REF!,7,FALSE)</f>
        <v>#REF!</v>
      </c>
      <c r="E1335" s="31">
        <v>6.6191000000000004</v>
      </c>
      <c r="I1335" s="11" t="e">
        <f>+VLOOKUP(B1335,#REF!,7,FALSE)</f>
        <v>#REF!</v>
      </c>
      <c r="J1335" s="12" t="str">
        <f t="shared" si="61"/>
        <v/>
      </c>
      <c r="K1335" s="12" t="str">
        <f t="shared" si="62"/>
        <v/>
      </c>
      <c r="L1335" s="12" t="e">
        <f t="shared" si="63"/>
        <v>#VALUE!</v>
      </c>
    </row>
    <row r="1336" spans="1:12" ht="24" customHeight="1" x14ac:dyDescent="0.25">
      <c r="A1336" s="15">
        <v>43368</v>
      </c>
      <c r="B1336" s="15" t="s">
        <v>516</v>
      </c>
      <c r="C1336" s="27">
        <v>4791</v>
      </c>
      <c r="D1336" s="11" t="e">
        <f>VLOOKUP(B1336,#REF!,7,FALSE)</f>
        <v>#REF!</v>
      </c>
      <c r="E1336" s="31">
        <v>2.0739000000000001</v>
      </c>
      <c r="I1336" s="11" t="e">
        <f>+VLOOKUP(B1336,#REF!,7,FALSE)</f>
        <v>#REF!</v>
      </c>
      <c r="J1336" s="12" t="str">
        <f t="shared" si="61"/>
        <v/>
      </c>
      <c r="K1336" s="12" t="str">
        <f t="shared" si="62"/>
        <v/>
      </c>
      <c r="L1336" s="12" t="e">
        <f t="shared" si="63"/>
        <v>#VALUE!</v>
      </c>
    </row>
    <row r="1337" spans="1:12" ht="24" customHeight="1" x14ac:dyDescent="0.25">
      <c r="A1337" s="15">
        <v>43368</v>
      </c>
      <c r="B1337" s="15" t="s">
        <v>517</v>
      </c>
      <c r="C1337" s="27">
        <v>512</v>
      </c>
      <c r="D1337" s="11" t="e">
        <f>VLOOKUP(B1337,#REF!,7,FALSE)</f>
        <v>#REF!</v>
      </c>
      <c r="E1337" s="31">
        <v>3.0409999999999999</v>
      </c>
      <c r="I1337" s="11" t="e">
        <f>+VLOOKUP(B1337,#REF!,7,FALSE)</f>
        <v>#REF!</v>
      </c>
      <c r="J1337" s="12" t="str">
        <f t="shared" si="61"/>
        <v/>
      </c>
      <c r="K1337" s="12" t="str">
        <f t="shared" si="62"/>
        <v/>
      </c>
      <c r="L1337" s="12" t="e">
        <f t="shared" si="63"/>
        <v>#VALUE!</v>
      </c>
    </row>
    <row r="1338" spans="1:12" ht="24" customHeight="1" x14ac:dyDescent="0.25">
      <c r="A1338" s="15">
        <v>43368</v>
      </c>
      <c r="B1338" s="15" t="s">
        <v>311</v>
      </c>
      <c r="C1338" s="27">
        <v>8298</v>
      </c>
      <c r="D1338" s="11" t="e">
        <f>VLOOKUP(B1338,#REF!,7,FALSE)</f>
        <v>#REF!</v>
      </c>
      <c r="E1338" s="31">
        <v>1.5457000000000001</v>
      </c>
      <c r="I1338" s="11" t="e">
        <f>+VLOOKUP(B1338,#REF!,7,FALSE)</f>
        <v>#REF!</v>
      </c>
      <c r="J1338" s="12" t="str">
        <f t="shared" si="61"/>
        <v/>
      </c>
      <c r="K1338" s="12" t="str">
        <f t="shared" si="62"/>
        <v/>
      </c>
      <c r="L1338" s="12" t="e">
        <f t="shared" si="63"/>
        <v>#VALUE!</v>
      </c>
    </row>
    <row r="1339" spans="1:12" ht="24" customHeight="1" x14ac:dyDescent="0.25">
      <c r="A1339" s="15">
        <v>43368</v>
      </c>
      <c r="B1339" s="15" t="s">
        <v>316</v>
      </c>
      <c r="C1339" s="27">
        <v>1356</v>
      </c>
      <c r="D1339" s="11" t="e">
        <f>VLOOKUP(B1339,#REF!,7,FALSE)</f>
        <v>#REF!</v>
      </c>
      <c r="E1339" s="31">
        <v>0.61970000000000003</v>
      </c>
      <c r="I1339" s="11" t="e">
        <f>+VLOOKUP(B1339,#REF!,7,FALSE)</f>
        <v>#REF!</v>
      </c>
      <c r="J1339" s="12" t="str">
        <f t="shared" si="61"/>
        <v/>
      </c>
      <c r="K1339" s="12" t="str">
        <f t="shared" si="62"/>
        <v/>
      </c>
      <c r="L1339" s="12" t="e">
        <f t="shared" si="63"/>
        <v>#VALUE!</v>
      </c>
    </row>
    <row r="1340" spans="1:12" ht="24" customHeight="1" x14ac:dyDescent="0.25">
      <c r="A1340" s="15">
        <v>43368</v>
      </c>
      <c r="B1340" s="15" t="s">
        <v>370</v>
      </c>
      <c r="C1340" s="27">
        <v>5724</v>
      </c>
      <c r="D1340" s="11" t="e">
        <f>VLOOKUP(B1340,#REF!,7,FALSE)</f>
        <v>#REF!</v>
      </c>
      <c r="E1340" s="31">
        <v>1.3438000000000001</v>
      </c>
      <c r="I1340" s="11" t="e">
        <f>+VLOOKUP(B1340,#REF!,7,FALSE)</f>
        <v>#REF!</v>
      </c>
      <c r="J1340" s="12" t="str">
        <f t="shared" si="61"/>
        <v/>
      </c>
      <c r="K1340" s="12" t="str">
        <f t="shared" si="62"/>
        <v/>
      </c>
      <c r="L1340" s="12" t="e">
        <f t="shared" si="63"/>
        <v>#VALUE!</v>
      </c>
    </row>
    <row r="1341" spans="1:12" ht="24" customHeight="1" x14ac:dyDescent="0.25">
      <c r="A1341" s="15">
        <v>43368</v>
      </c>
      <c r="B1341" s="15" t="s">
        <v>371</v>
      </c>
      <c r="C1341" s="27">
        <v>1516</v>
      </c>
      <c r="D1341" s="11" t="e">
        <f>VLOOKUP(B1341,#REF!,7,FALSE)</f>
        <v>#REF!</v>
      </c>
      <c r="E1341" s="31">
        <v>1.8614999999999999</v>
      </c>
      <c r="I1341" s="11" t="e">
        <f>+VLOOKUP(B1341,#REF!,7,FALSE)</f>
        <v>#REF!</v>
      </c>
      <c r="J1341" s="12" t="str">
        <f t="shared" si="61"/>
        <v/>
      </c>
      <c r="K1341" s="12" t="str">
        <f t="shared" si="62"/>
        <v/>
      </c>
      <c r="L1341" s="12" t="e">
        <f t="shared" si="63"/>
        <v>#VALUE!</v>
      </c>
    </row>
    <row r="1342" spans="1:12" ht="24" customHeight="1" x14ac:dyDescent="0.25">
      <c r="A1342" s="15">
        <v>43369</v>
      </c>
      <c r="B1342" s="15" t="s">
        <v>29</v>
      </c>
      <c r="C1342" s="27">
        <v>4176</v>
      </c>
      <c r="D1342" s="11">
        <v>2.4039999999999999</v>
      </c>
      <c r="E1342" s="31">
        <v>1.5651999999999999</v>
      </c>
      <c r="I1342" s="11" t="e">
        <f>+VLOOKUP(B1342,#REF!,7,FALSE)</f>
        <v>#REF!</v>
      </c>
      <c r="J1342" s="12" t="str">
        <f t="shared" si="61"/>
        <v/>
      </c>
      <c r="K1342" s="12" t="str">
        <f t="shared" si="62"/>
        <v/>
      </c>
      <c r="L1342" s="12" t="e">
        <f t="shared" si="63"/>
        <v>#VALUE!</v>
      </c>
    </row>
    <row r="1343" spans="1:12" ht="24" customHeight="1" x14ac:dyDescent="0.25">
      <c r="A1343" s="15">
        <v>43369</v>
      </c>
      <c r="B1343" s="15" t="s">
        <v>30</v>
      </c>
      <c r="C1343" s="27">
        <v>1050</v>
      </c>
      <c r="D1343" s="11" t="e">
        <f>VLOOKUP(B1343,#REF!,7,FALSE)</f>
        <v>#REF!</v>
      </c>
      <c r="E1343" s="31">
        <v>4.7952000000000004</v>
      </c>
      <c r="I1343" s="11" t="e">
        <f>+VLOOKUP(B1343,#REF!,7,FALSE)</f>
        <v>#REF!</v>
      </c>
      <c r="J1343" s="12" t="str">
        <f t="shared" si="61"/>
        <v/>
      </c>
      <c r="K1343" s="12" t="str">
        <f t="shared" si="62"/>
        <v/>
      </c>
      <c r="L1343" s="12" t="e">
        <f t="shared" si="63"/>
        <v>#VALUE!</v>
      </c>
    </row>
    <row r="1344" spans="1:12" ht="24" customHeight="1" x14ac:dyDescent="0.25">
      <c r="A1344" s="15">
        <v>43369</v>
      </c>
      <c r="B1344" s="15" t="s">
        <v>285</v>
      </c>
      <c r="C1344" s="27">
        <v>6012</v>
      </c>
      <c r="D1344" s="11" t="e">
        <f>VLOOKUP(B1344,#REF!,7,FALSE)</f>
        <v>#REF!</v>
      </c>
      <c r="E1344" s="31">
        <v>0.70540000000000003</v>
      </c>
      <c r="I1344" s="11" t="e">
        <f>+VLOOKUP(B1344,#REF!,7,FALSE)</f>
        <v>#REF!</v>
      </c>
      <c r="J1344" s="12" t="str">
        <f t="shared" si="61"/>
        <v/>
      </c>
      <c r="K1344" s="12" t="str">
        <f t="shared" si="62"/>
        <v/>
      </c>
      <c r="L1344" s="12" t="e">
        <f t="shared" si="63"/>
        <v>#VALUE!</v>
      </c>
    </row>
    <row r="1345" spans="1:12" ht="24" customHeight="1" x14ac:dyDescent="0.25">
      <c r="A1345" s="15">
        <v>43369</v>
      </c>
      <c r="B1345" s="15" t="s">
        <v>288</v>
      </c>
      <c r="C1345" s="27">
        <v>2240</v>
      </c>
      <c r="D1345" s="11" t="e">
        <f>VLOOKUP(B1345,#REF!,7,FALSE)</f>
        <v>#REF!</v>
      </c>
      <c r="E1345" s="31">
        <v>0.34870000000000001</v>
      </c>
      <c r="I1345" s="11" t="e">
        <f>+VLOOKUP(B1345,#REF!,7,FALSE)</f>
        <v>#REF!</v>
      </c>
      <c r="J1345" s="12" t="str">
        <f t="shared" si="61"/>
        <v/>
      </c>
      <c r="K1345" s="12" t="str">
        <f t="shared" si="62"/>
        <v/>
      </c>
      <c r="L1345" s="12" t="e">
        <f t="shared" si="63"/>
        <v>#VALUE!</v>
      </c>
    </row>
    <row r="1346" spans="1:12" ht="24" customHeight="1" x14ac:dyDescent="0.25">
      <c r="A1346" s="15">
        <v>43369</v>
      </c>
      <c r="B1346" s="15" t="s">
        <v>289</v>
      </c>
      <c r="C1346" s="27">
        <v>2996</v>
      </c>
      <c r="D1346" s="11" t="e">
        <f>VLOOKUP(B1346,#REF!,7,FALSE)</f>
        <v>#REF!</v>
      </c>
      <c r="E1346" s="31">
        <v>0.38219999999999998</v>
      </c>
      <c r="I1346" s="11" t="e">
        <f>+VLOOKUP(B1346,#REF!,7,FALSE)</f>
        <v>#REF!</v>
      </c>
      <c r="J1346" s="12" t="str">
        <f t="shared" si="61"/>
        <v/>
      </c>
      <c r="K1346" s="12" t="str">
        <f t="shared" si="62"/>
        <v/>
      </c>
      <c r="L1346" s="12" t="e">
        <f t="shared" si="63"/>
        <v>#VALUE!</v>
      </c>
    </row>
    <row r="1347" spans="1:12" ht="24" customHeight="1" x14ac:dyDescent="0.25">
      <c r="A1347" s="15">
        <v>43369</v>
      </c>
      <c r="B1347" s="15" t="s">
        <v>311</v>
      </c>
      <c r="C1347" s="27">
        <v>7968</v>
      </c>
      <c r="D1347" s="11" t="e">
        <f>VLOOKUP(B1347,#REF!,7,FALSE)</f>
        <v>#REF!</v>
      </c>
      <c r="E1347" s="31">
        <v>1.7115</v>
      </c>
      <c r="I1347" s="11" t="e">
        <f>+VLOOKUP(B1347,#REF!,7,FALSE)</f>
        <v>#REF!</v>
      </c>
      <c r="J1347" s="12" t="str">
        <f t="shared" si="61"/>
        <v/>
      </c>
      <c r="K1347" s="12" t="str">
        <f t="shared" si="62"/>
        <v/>
      </c>
      <c r="L1347" s="12" t="e">
        <f t="shared" si="63"/>
        <v>#VALUE!</v>
      </c>
    </row>
    <row r="1348" spans="1:12" ht="24" customHeight="1" x14ac:dyDescent="0.25">
      <c r="A1348" s="15">
        <v>43369</v>
      </c>
      <c r="B1348" s="15" t="s">
        <v>353</v>
      </c>
      <c r="C1348" s="27">
        <v>4032</v>
      </c>
      <c r="D1348" s="11" t="e">
        <f>VLOOKUP(B1348,#REF!,7,FALSE)</f>
        <v>#REF!</v>
      </c>
      <c r="E1348" s="31">
        <v>1.0792999999999999</v>
      </c>
      <c r="I1348" s="11" t="e">
        <f>+VLOOKUP(B1348,#REF!,7,FALSE)</f>
        <v>#REF!</v>
      </c>
      <c r="J1348" s="12" t="str">
        <f t="shared" ref="J1348:J1376" si="64">IFERROR((I1348-(D1348+F1348))/I1348,"")</f>
        <v/>
      </c>
      <c r="K1348" s="12" t="str">
        <f t="shared" ref="K1348:K1376" si="65">IF(E1348="","",IFERROR((I1348-(E1348+G1348+H1348))/I1348,""))</f>
        <v/>
      </c>
      <c r="L1348" s="12" t="e">
        <f t="shared" si="63"/>
        <v>#VALUE!</v>
      </c>
    </row>
    <row r="1349" spans="1:12" ht="24" customHeight="1" x14ac:dyDescent="0.25">
      <c r="A1349" s="15">
        <v>43369</v>
      </c>
      <c r="B1349" s="15" t="s">
        <v>354</v>
      </c>
      <c r="C1349" s="27">
        <v>2644</v>
      </c>
      <c r="D1349" s="11" t="e">
        <f>VLOOKUP(B1349,#REF!,7,FALSE)</f>
        <v>#REF!</v>
      </c>
      <c r="E1349" s="31">
        <v>2.2132000000000001</v>
      </c>
      <c r="I1349" s="11" t="e">
        <f>+VLOOKUP(B1349,#REF!,7,FALSE)</f>
        <v>#REF!</v>
      </c>
      <c r="J1349" s="12" t="str">
        <f t="shared" si="64"/>
        <v/>
      </c>
      <c r="K1349" s="12" t="str">
        <f t="shared" si="65"/>
        <v/>
      </c>
      <c r="L1349" s="12" t="e">
        <f t="shared" si="63"/>
        <v>#VALUE!</v>
      </c>
    </row>
    <row r="1350" spans="1:12" ht="24" customHeight="1" x14ac:dyDescent="0.25">
      <c r="A1350" s="15">
        <v>43369</v>
      </c>
      <c r="B1350" s="15" t="s">
        <v>196</v>
      </c>
      <c r="C1350" s="27">
        <v>6006</v>
      </c>
      <c r="D1350" s="11" t="e">
        <f>VLOOKUP(B1350,#REF!,7,FALSE)</f>
        <v>#REF!</v>
      </c>
      <c r="E1350" s="31">
        <v>1.4180999999999999</v>
      </c>
      <c r="I1350" s="11" t="e">
        <f>+VLOOKUP(B1350,#REF!,7,FALSE)</f>
        <v>#REF!</v>
      </c>
      <c r="J1350" s="12" t="str">
        <f t="shared" si="64"/>
        <v/>
      </c>
      <c r="K1350" s="12" t="str">
        <f t="shared" si="65"/>
        <v/>
      </c>
      <c r="L1350" s="12" t="e">
        <f t="shared" si="63"/>
        <v>#VALUE!</v>
      </c>
    </row>
    <row r="1351" spans="1:12" ht="24" customHeight="1" x14ac:dyDescent="0.25">
      <c r="A1351" s="15">
        <v>43369</v>
      </c>
      <c r="B1351" s="15" t="s">
        <v>522</v>
      </c>
      <c r="C1351" s="27">
        <v>11340</v>
      </c>
      <c r="D1351" s="11" t="e">
        <f>VLOOKUP(B1351,#REF!,7,FALSE)</f>
        <v>#REF!</v>
      </c>
      <c r="E1351" s="31">
        <v>1.4341999999999999</v>
      </c>
      <c r="I1351" s="11" t="e">
        <f>+VLOOKUP(B1351,#REF!,7,FALSE)</f>
        <v>#REF!</v>
      </c>
      <c r="J1351" s="12" t="str">
        <f t="shared" si="64"/>
        <v/>
      </c>
      <c r="K1351" s="12" t="str">
        <f t="shared" si="65"/>
        <v/>
      </c>
      <c r="L1351" s="12" t="e">
        <f t="shared" si="63"/>
        <v>#VALUE!</v>
      </c>
    </row>
    <row r="1352" spans="1:12" ht="24" customHeight="1" x14ac:dyDescent="0.25">
      <c r="A1352" s="15">
        <v>43369</v>
      </c>
      <c r="B1352" s="15" t="s">
        <v>219</v>
      </c>
      <c r="C1352" s="27">
        <v>7464</v>
      </c>
      <c r="D1352" s="11" t="e">
        <f>VLOOKUP(B1352,#REF!,7,FALSE)</f>
        <v>#REF!</v>
      </c>
      <c r="E1352" s="31">
        <v>0.16980000000000001</v>
      </c>
      <c r="I1352" s="11" t="e">
        <f>+VLOOKUP(B1352,#REF!,7,FALSE)</f>
        <v>#REF!</v>
      </c>
      <c r="J1352" s="12" t="str">
        <f t="shared" si="64"/>
        <v/>
      </c>
      <c r="K1352" s="12" t="str">
        <f t="shared" si="65"/>
        <v/>
      </c>
      <c r="L1352" s="12" t="e">
        <f t="shared" si="63"/>
        <v>#VALUE!</v>
      </c>
    </row>
    <row r="1353" spans="1:12" ht="24" customHeight="1" x14ac:dyDescent="0.25">
      <c r="A1353" s="15">
        <v>43370</v>
      </c>
      <c r="B1353" s="15" t="s">
        <v>233</v>
      </c>
      <c r="C1353" s="27">
        <v>500</v>
      </c>
      <c r="D1353" s="11" t="e">
        <f>VLOOKUP(B1353,#REF!,7,FALSE)</f>
        <v>#REF!</v>
      </c>
      <c r="E1353" s="31">
        <v>1.4599</v>
      </c>
      <c r="I1353" s="11" t="e">
        <f>+VLOOKUP(B1353,#REF!,7,FALSE)</f>
        <v>#REF!</v>
      </c>
      <c r="J1353" s="12" t="str">
        <f t="shared" si="64"/>
        <v/>
      </c>
      <c r="K1353" s="12" t="str">
        <f t="shared" si="65"/>
        <v/>
      </c>
      <c r="L1353" s="12" t="e">
        <f t="shared" si="63"/>
        <v>#VALUE!</v>
      </c>
    </row>
    <row r="1354" spans="1:12" ht="24" customHeight="1" x14ac:dyDescent="0.25">
      <c r="A1354" s="15">
        <v>43370</v>
      </c>
      <c r="B1354" s="15" t="s">
        <v>32</v>
      </c>
      <c r="C1354" s="27">
        <v>105</v>
      </c>
      <c r="D1354" s="11" t="e">
        <f>VLOOKUP(B1354,#REF!,7,FALSE)</f>
        <v>#REF!</v>
      </c>
      <c r="E1354" s="31">
        <v>6.7712000000000003</v>
      </c>
      <c r="I1354" s="11" t="e">
        <f>+VLOOKUP(B1354,#REF!,7,FALSE)</f>
        <v>#REF!</v>
      </c>
      <c r="J1354" s="12" t="str">
        <f t="shared" si="64"/>
        <v/>
      </c>
      <c r="K1354" s="12" t="str">
        <f t="shared" si="65"/>
        <v/>
      </c>
      <c r="L1354" s="12" t="e">
        <f t="shared" si="63"/>
        <v>#VALUE!</v>
      </c>
    </row>
    <row r="1355" spans="1:12" ht="24" customHeight="1" x14ac:dyDescent="0.25">
      <c r="A1355" s="15">
        <v>43370</v>
      </c>
      <c r="B1355" s="15" t="s">
        <v>50</v>
      </c>
      <c r="C1355" s="27">
        <v>121</v>
      </c>
      <c r="D1355" s="11" t="e">
        <f>VLOOKUP(B1355,#REF!,7,FALSE)</f>
        <v>#REF!</v>
      </c>
      <c r="E1355" s="31">
        <v>7.0974000000000004</v>
      </c>
      <c r="I1355" s="11" t="e">
        <f>+VLOOKUP(B1355,#REF!,7,FALSE)</f>
        <v>#REF!</v>
      </c>
      <c r="J1355" s="12" t="str">
        <f t="shared" si="64"/>
        <v/>
      </c>
      <c r="K1355" s="12" t="str">
        <f t="shared" si="65"/>
        <v/>
      </c>
      <c r="L1355" s="12" t="e">
        <f t="shared" si="63"/>
        <v>#VALUE!</v>
      </c>
    </row>
    <row r="1356" spans="1:12" ht="24" customHeight="1" x14ac:dyDescent="0.25">
      <c r="A1356" s="15">
        <v>43370</v>
      </c>
      <c r="B1356" s="15" t="s">
        <v>516</v>
      </c>
      <c r="C1356" s="27">
        <v>242</v>
      </c>
      <c r="D1356" s="11" t="e">
        <f>VLOOKUP(B1356,#REF!,7,FALSE)</f>
        <v>#REF!</v>
      </c>
      <c r="E1356" s="31">
        <v>2.4196</v>
      </c>
      <c r="I1356" s="11" t="e">
        <f>+VLOOKUP(B1356,#REF!,7,FALSE)</f>
        <v>#REF!</v>
      </c>
      <c r="J1356" s="12" t="str">
        <f t="shared" si="64"/>
        <v/>
      </c>
      <c r="K1356" s="12" t="str">
        <f t="shared" si="65"/>
        <v/>
      </c>
      <c r="L1356" s="12" t="e">
        <f t="shared" si="63"/>
        <v>#VALUE!</v>
      </c>
    </row>
    <row r="1357" spans="1:12" ht="24" customHeight="1" x14ac:dyDescent="0.25">
      <c r="A1357" s="15">
        <v>43370</v>
      </c>
      <c r="B1357" s="15" t="s">
        <v>239</v>
      </c>
      <c r="C1357" s="27">
        <v>726</v>
      </c>
      <c r="D1357" s="11" t="e">
        <f>VLOOKUP(B1357,#REF!,7,FALSE)</f>
        <v>#REF!</v>
      </c>
      <c r="E1357" s="31">
        <v>1.9520999999999999</v>
      </c>
      <c r="I1357" s="11" t="e">
        <f>+VLOOKUP(B1357,#REF!,7,FALSE)</f>
        <v>#REF!</v>
      </c>
      <c r="J1357" s="12" t="str">
        <f t="shared" si="64"/>
        <v/>
      </c>
      <c r="K1357" s="12" t="str">
        <f t="shared" si="65"/>
        <v/>
      </c>
      <c r="L1357" s="12" t="e">
        <f t="shared" si="63"/>
        <v>#VALUE!</v>
      </c>
    </row>
    <row r="1358" spans="1:12" ht="24" customHeight="1" x14ac:dyDescent="0.25">
      <c r="A1358" s="15">
        <v>43370</v>
      </c>
      <c r="B1358" s="15" t="s">
        <v>241</v>
      </c>
      <c r="C1358" s="27">
        <v>1290</v>
      </c>
      <c r="D1358" s="11" t="e">
        <f>VLOOKUP(B1358,#REF!,7,FALSE)</f>
        <v>#REF!</v>
      </c>
      <c r="E1358" s="31">
        <v>1.6112</v>
      </c>
      <c r="I1358" s="11" t="e">
        <f>+VLOOKUP(B1358,#REF!,7,FALSE)</f>
        <v>#REF!</v>
      </c>
      <c r="J1358" s="12" t="str">
        <f t="shared" si="64"/>
        <v/>
      </c>
      <c r="K1358" s="12" t="str">
        <f t="shared" si="65"/>
        <v/>
      </c>
      <c r="L1358" s="12" t="e">
        <f t="shared" si="63"/>
        <v>#VALUE!</v>
      </c>
    </row>
    <row r="1359" spans="1:12" ht="24" customHeight="1" x14ac:dyDescent="0.25">
      <c r="A1359" s="15">
        <v>43370</v>
      </c>
      <c r="B1359" s="15" t="s">
        <v>243</v>
      </c>
      <c r="C1359" s="27">
        <v>516</v>
      </c>
      <c r="D1359" s="11" t="e">
        <f>VLOOKUP(B1359,#REF!,7,FALSE)</f>
        <v>#REF!</v>
      </c>
      <c r="E1359" s="31">
        <v>2.5259999999999998</v>
      </c>
      <c r="I1359" s="11" t="e">
        <f>+VLOOKUP(B1359,#REF!,7,FALSE)</f>
        <v>#REF!</v>
      </c>
      <c r="J1359" s="12" t="str">
        <f t="shared" si="64"/>
        <v/>
      </c>
      <c r="K1359" s="12" t="str">
        <f t="shared" si="65"/>
        <v/>
      </c>
      <c r="L1359" s="12" t="e">
        <f t="shared" si="63"/>
        <v>#VALUE!</v>
      </c>
    </row>
    <row r="1360" spans="1:12" ht="24" customHeight="1" x14ac:dyDescent="0.25">
      <c r="A1360" s="15">
        <v>43370</v>
      </c>
      <c r="B1360" s="15" t="s">
        <v>245</v>
      </c>
      <c r="C1360" s="27">
        <v>2142</v>
      </c>
      <c r="D1360" s="11" t="e">
        <f>VLOOKUP(B1360,#REF!,7,FALSE)</f>
        <v>#REF!</v>
      </c>
      <c r="E1360" s="31">
        <v>1.2927999999999999</v>
      </c>
      <c r="I1360" s="11" t="e">
        <f>+VLOOKUP(B1360,#REF!,7,FALSE)</f>
        <v>#REF!</v>
      </c>
      <c r="J1360" s="12" t="str">
        <f t="shared" si="64"/>
        <v/>
      </c>
      <c r="K1360" s="12" t="str">
        <f t="shared" si="65"/>
        <v/>
      </c>
      <c r="L1360" s="12" t="e">
        <f t="shared" si="63"/>
        <v>#VALUE!</v>
      </c>
    </row>
    <row r="1361" spans="1:12" ht="24" customHeight="1" x14ac:dyDescent="0.25">
      <c r="A1361" s="15">
        <v>43370</v>
      </c>
      <c r="B1361" s="15" t="s">
        <v>248</v>
      </c>
      <c r="C1361" s="27">
        <v>1848</v>
      </c>
      <c r="D1361" s="11" t="e">
        <f>VLOOKUP(B1361,#REF!,7,FALSE)</f>
        <v>#REF!</v>
      </c>
      <c r="E1361" s="31">
        <v>1.1954</v>
      </c>
      <c r="I1361" s="11" t="e">
        <f>+VLOOKUP(B1361,#REF!,7,FALSE)</f>
        <v>#REF!</v>
      </c>
      <c r="J1361" s="12" t="str">
        <f t="shared" si="64"/>
        <v/>
      </c>
      <c r="K1361" s="12" t="str">
        <f t="shared" si="65"/>
        <v/>
      </c>
      <c r="L1361" s="12" t="e">
        <f t="shared" si="63"/>
        <v>#VALUE!</v>
      </c>
    </row>
    <row r="1362" spans="1:12" ht="24" customHeight="1" x14ac:dyDescent="0.25">
      <c r="A1362" s="15">
        <v>43370</v>
      </c>
      <c r="B1362" s="15" t="s">
        <v>249</v>
      </c>
      <c r="C1362" s="27">
        <v>1044</v>
      </c>
      <c r="D1362" s="11" t="e">
        <f>VLOOKUP(B1362,#REF!,7,FALSE)</f>
        <v>#REF!</v>
      </c>
      <c r="E1362" s="31">
        <v>1.9017999999999999</v>
      </c>
      <c r="I1362" s="11" t="e">
        <f>+VLOOKUP(B1362,#REF!,7,FALSE)</f>
        <v>#REF!</v>
      </c>
      <c r="J1362" s="12" t="str">
        <f t="shared" si="64"/>
        <v/>
      </c>
      <c r="K1362" s="12" t="str">
        <f t="shared" si="65"/>
        <v/>
      </c>
      <c r="L1362" s="12" t="e">
        <f t="shared" si="63"/>
        <v>#VALUE!</v>
      </c>
    </row>
    <row r="1363" spans="1:12" ht="24" customHeight="1" x14ac:dyDescent="0.25">
      <c r="A1363" s="15">
        <v>43370</v>
      </c>
      <c r="B1363" s="15" t="s">
        <v>252</v>
      </c>
      <c r="C1363" s="27">
        <v>640</v>
      </c>
      <c r="D1363" s="11" t="e">
        <f>VLOOKUP(B1363,#REF!,7,FALSE)</f>
        <v>#REF!</v>
      </c>
      <c r="E1363" s="31">
        <v>2.1890999999999998</v>
      </c>
      <c r="I1363" s="11" t="e">
        <f>+VLOOKUP(B1363,#REF!,7,FALSE)</f>
        <v>#REF!</v>
      </c>
      <c r="J1363" s="12" t="str">
        <f t="shared" si="64"/>
        <v/>
      </c>
      <c r="K1363" s="12" t="str">
        <f t="shared" si="65"/>
        <v/>
      </c>
      <c r="L1363" s="12" t="e">
        <f t="shared" si="63"/>
        <v>#VALUE!</v>
      </c>
    </row>
    <row r="1364" spans="1:12" ht="24" customHeight="1" x14ac:dyDescent="0.25">
      <c r="A1364" s="15">
        <v>43370</v>
      </c>
      <c r="B1364" s="15" t="s">
        <v>286</v>
      </c>
      <c r="C1364" s="27">
        <v>6288</v>
      </c>
      <c r="D1364" s="11" t="e">
        <f>VLOOKUP(B1364,#REF!,7,FALSE)</f>
        <v>#REF!</v>
      </c>
      <c r="E1364" s="31">
        <v>0.78720000000000001</v>
      </c>
      <c r="I1364" s="11" t="e">
        <f>+VLOOKUP(B1364,#REF!,7,FALSE)</f>
        <v>#REF!</v>
      </c>
      <c r="J1364" s="12" t="str">
        <f t="shared" si="64"/>
        <v/>
      </c>
      <c r="K1364" s="12" t="str">
        <f t="shared" si="65"/>
        <v/>
      </c>
      <c r="L1364" s="12" t="e">
        <f t="shared" si="63"/>
        <v>#VALUE!</v>
      </c>
    </row>
    <row r="1365" spans="1:12" ht="24" customHeight="1" x14ac:dyDescent="0.25">
      <c r="A1365" s="15">
        <v>43370</v>
      </c>
      <c r="B1365" s="15" t="s">
        <v>313</v>
      </c>
      <c r="C1365" s="27">
        <v>1620</v>
      </c>
      <c r="D1365" s="11" t="e">
        <f>VLOOKUP(B1365,#REF!,7,FALSE)</f>
        <v>#REF!</v>
      </c>
      <c r="E1365" s="31">
        <v>1.4076</v>
      </c>
      <c r="I1365" s="11" t="e">
        <f>+VLOOKUP(B1365,#REF!,7,FALSE)</f>
        <v>#REF!</v>
      </c>
      <c r="J1365" s="12" t="str">
        <f t="shared" si="64"/>
        <v/>
      </c>
      <c r="K1365" s="12" t="str">
        <f t="shared" si="65"/>
        <v/>
      </c>
      <c r="L1365" s="12" t="e">
        <f t="shared" si="63"/>
        <v>#VALUE!</v>
      </c>
    </row>
    <row r="1366" spans="1:12" ht="24" customHeight="1" x14ac:dyDescent="0.25">
      <c r="A1366" s="15">
        <v>43370</v>
      </c>
      <c r="B1366" s="15" t="s">
        <v>369</v>
      </c>
      <c r="C1366" s="27">
        <v>2052</v>
      </c>
      <c r="D1366" s="11" t="e">
        <f>VLOOKUP(B1366,#REF!,7,FALSE)</f>
        <v>#REF!</v>
      </c>
      <c r="E1366" s="31">
        <v>2.0042</v>
      </c>
      <c r="I1366" s="11" t="e">
        <f>+VLOOKUP(B1366,#REF!,7,FALSE)</f>
        <v>#REF!</v>
      </c>
      <c r="J1366" s="12" t="str">
        <f t="shared" si="64"/>
        <v/>
      </c>
      <c r="K1366" s="12" t="str">
        <f t="shared" si="65"/>
        <v/>
      </c>
      <c r="L1366" s="12" t="e">
        <f t="shared" si="63"/>
        <v>#VALUE!</v>
      </c>
    </row>
    <row r="1367" spans="1:12" ht="24" customHeight="1" x14ac:dyDescent="0.25">
      <c r="A1367" s="15">
        <v>43370</v>
      </c>
      <c r="B1367" s="15" t="s">
        <v>196</v>
      </c>
      <c r="C1367" s="27">
        <v>14700</v>
      </c>
      <c r="D1367" s="11" t="e">
        <f>VLOOKUP(B1367,#REF!,7,FALSE)</f>
        <v>#REF!</v>
      </c>
      <c r="E1367" s="31">
        <v>1.3627</v>
      </c>
      <c r="I1367" s="11" t="e">
        <f>+VLOOKUP(B1367,#REF!,7,FALSE)</f>
        <v>#REF!</v>
      </c>
      <c r="J1367" s="12" t="str">
        <f t="shared" si="64"/>
        <v/>
      </c>
      <c r="K1367" s="12" t="str">
        <f t="shared" si="65"/>
        <v/>
      </c>
      <c r="L1367" s="12" t="e">
        <f t="shared" si="63"/>
        <v>#VALUE!</v>
      </c>
    </row>
    <row r="1368" spans="1:12" ht="24" customHeight="1" x14ac:dyDescent="0.25">
      <c r="A1368" s="15">
        <v>43371</v>
      </c>
      <c r="B1368" s="15" t="s">
        <v>516</v>
      </c>
      <c r="C1368" s="27">
        <v>228</v>
      </c>
      <c r="D1368" s="11" t="e">
        <f>VLOOKUP(B1368,#REF!,7,FALSE)</f>
        <v>#REF!</v>
      </c>
      <c r="E1368" s="31">
        <v>2.1703000000000001</v>
      </c>
      <c r="I1368" s="11" t="e">
        <f>+VLOOKUP(B1368,#REF!,7,FALSE)</f>
        <v>#REF!</v>
      </c>
      <c r="J1368" s="12" t="str">
        <f t="shared" si="64"/>
        <v/>
      </c>
      <c r="K1368" s="12" t="str">
        <f t="shared" si="65"/>
        <v/>
      </c>
      <c r="L1368" s="12" t="e">
        <f t="shared" si="63"/>
        <v>#VALUE!</v>
      </c>
    </row>
    <row r="1369" spans="1:12" ht="24" customHeight="1" x14ac:dyDescent="0.25">
      <c r="A1369" s="15">
        <v>43371</v>
      </c>
      <c r="B1369" s="15" t="s">
        <v>519</v>
      </c>
      <c r="C1369" s="27">
        <v>8082</v>
      </c>
      <c r="D1369" s="11" t="e">
        <f>VLOOKUP(B1369,#REF!,7,FALSE)</f>
        <v>#REF!</v>
      </c>
      <c r="E1369" s="31">
        <v>2.7450999999999999</v>
      </c>
      <c r="I1369" s="11" t="e">
        <f>+VLOOKUP(B1369,#REF!,7,FALSE)</f>
        <v>#REF!</v>
      </c>
      <c r="J1369" s="12" t="str">
        <f t="shared" si="64"/>
        <v/>
      </c>
      <c r="K1369" s="12" t="str">
        <f t="shared" si="65"/>
        <v/>
      </c>
      <c r="L1369" s="12" t="e">
        <f t="shared" si="63"/>
        <v>#VALUE!</v>
      </c>
    </row>
    <row r="1370" spans="1:12" ht="24" customHeight="1" x14ac:dyDescent="0.25">
      <c r="A1370" s="15">
        <v>43371</v>
      </c>
      <c r="B1370" s="15" t="s">
        <v>307</v>
      </c>
      <c r="C1370" s="27">
        <v>16404</v>
      </c>
      <c r="D1370" s="11" t="e">
        <f>VLOOKUP(B1370,#REF!,7,FALSE)</f>
        <v>#REF!</v>
      </c>
      <c r="E1370" s="31">
        <v>1.6789000000000001</v>
      </c>
      <c r="I1370" s="11" t="e">
        <f>+VLOOKUP(B1370,#REF!,7,FALSE)</f>
        <v>#REF!</v>
      </c>
      <c r="J1370" s="12" t="str">
        <f t="shared" si="64"/>
        <v/>
      </c>
      <c r="K1370" s="12" t="str">
        <f t="shared" si="65"/>
        <v/>
      </c>
      <c r="L1370" s="12" t="e">
        <f t="shared" si="63"/>
        <v>#VALUE!</v>
      </c>
    </row>
    <row r="1371" spans="1:12" ht="24" customHeight="1" x14ac:dyDescent="0.25">
      <c r="A1371" s="15">
        <v>43371</v>
      </c>
      <c r="B1371" s="15" t="s">
        <v>445</v>
      </c>
      <c r="C1371" s="27">
        <v>4032</v>
      </c>
      <c r="D1371" s="11" t="e">
        <f>VLOOKUP(B1371,#REF!,7,FALSE)</f>
        <v>#REF!</v>
      </c>
      <c r="E1371" s="31">
        <v>2.1431</v>
      </c>
      <c r="I1371" s="11" t="e">
        <f>+VLOOKUP(B1371,#REF!,7,FALSE)</f>
        <v>#REF!</v>
      </c>
      <c r="J1371" s="12" t="str">
        <f t="shared" si="64"/>
        <v/>
      </c>
      <c r="K1371" s="12" t="str">
        <f t="shared" si="65"/>
        <v/>
      </c>
      <c r="L1371" s="12" t="e">
        <f t="shared" si="63"/>
        <v>#VALUE!</v>
      </c>
    </row>
    <row r="1372" spans="1:12" ht="24" customHeight="1" x14ac:dyDescent="0.25">
      <c r="A1372" s="15">
        <v>43372</v>
      </c>
      <c r="B1372" s="15" t="s">
        <v>518</v>
      </c>
      <c r="C1372" s="27">
        <v>3816</v>
      </c>
      <c r="D1372" s="11" t="e">
        <f>VLOOKUP(B1372,#REF!,7,FALSE)</f>
        <v>#REF!</v>
      </c>
      <c r="E1372" s="31">
        <v>2.339</v>
      </c>
      <c r="I1372" s="11" t="e">
        <f>+VLOOKUP(B1372,#REF!,7,FALSE)</f>
        <v>#REF!</v>
      </c>
      <c r="J1372" s="12" t="str">
        <f t="shared" si="64"/>
        <v/>
      </c>
      <c r="K1372" s="12" t="str">
        <f t="shared" si="65"/>
        <v/>
      </c>
      <c r="L1372" s="12" t="e">
        <f t="shared" si="63"/>
        <v>#VALUE!</v>
      </c>
    </row>
    <row r="1373" spans="1:12" ht="24" customHeight="1" x14ac:dyDescent="0.25">
      <c r="A1373" s="15">
        <v>43372</v>
      </c>
      <c r="B1373" s="15" t="s">
        <v>300</v>
      </c>
      <c r="C1373" s="27">
        <v>3136</v>
      </c>
      <c r="D1373" s="11" t="e">
        <f>VLOOKUP(B1373,#REF!,7,FALSE)</f>
        <v>#REF!</v>
      </c>
      <c r="E1373" s="31">
        <v>0.95069999999999999</v>
      </c>
      <c r="I1373" s="11" t="e">
        <f>+VLOOKUP(B1373,#REF!,7,FALSE)</f>
        <v>#REF!</v>
      </c>
      <c r="J1373" s="12" t="str">
        <f t="shared" si="64"/>
        <v/>
      </c>
      <c r="K1373" s="12" t="str">
        <f t="shared" si="65"/>
        <v/>
      </c>
      <c r="L1373" s="12" t="e">
        <f t="shared" si="63"/>
        <v>#VALUE!</v>
      </c>
    </row>
    <row r="1374" spans="1:12" ht="24" customHeight="1" x14ac:dyDescent="0.25">
      <c r="A1374" s="15">
        <v>43372</v>
      </c>
      <c r="B1374" s="15" t="s">
        <v>308</v>
      </c>
      <c r="C1374" s="27">
        <v>972</v>
      </c>
      <c r="D1374" s="11" t="e">
        <f>VLOOKUP(B1374,#REF!,7,FALSE)</f>
        <v>#REF!</v>
      </c>
      <c r="E1374" s="31" t="s">
        <v>11</v>
      </c>
      <c r="I1374" s="11" t="e">
        <f>+VLOOKUP(B1374,#REF!,7,FALSE)</f>
        <v>#REF!</v>
      </c>
      <c r="J1374" s="12" t="str">
        <f t="shared" si="64"/>
        <v/>
      </c>
      <c r="K1374" s="12" t="str">
        <f t="shared" si="65"/>
        <v/>
      </c>
      <c r="L1374" s="12" t="e">
        <f t="shared" si="63"/>
        <v>#VALUE!</v>
      </c>
    </row>
    <row r="1375" spans="1:12" ht="24" customHeight="1" x14ac:dyDescent="0.25">
      <c r="A1375" s="15">
        <v>43372</v>
      </c>
      <c r="B1375" s="15" t="s">
        <v>345</v>
      </c>
      <c r="C1375" s="27">
        <v>588</v>
      </c>
      <c r="D1375" s="11" t="e">
        <f>VLOOKUP(B1375,#REF!,7,FALSE)</f>
        <v>#REF!</v>
      </c>
      <c r="E1375" s="31">
        <v>0.8931</v>
      </c>
      <c r="I1375" s="11" t="e">
        <f>+VLOOKUP(B1375,#REF!,7,FALSE)</f>
        <v>#REF!</v>
      </c>
      <c r="J1375" s="12" t="str">
        <f t="shared" si="64"/>
        <v/>
      </c>
      <c r="K1375" s="12" t="str">
        <f t="shared" si="65"/>
        <v/>
      </c>
      <c r="L1375" s="12" t="e">
        <f t="shared" si="63"/>
        <v>#VALUE!</v>
      </c>
    </row>
    <row r="1376" spans="1:12" ht="24" customHeight="1" x14ac:dyDescent="0.25">
      <c r="A1376" s="15">
        <v>43372</v>
      </c>
      <c r="B1376" s="15" t="s">
        <v>445</v>
      </c>
      <c r="C1376" s="27">
        <v>4140</v>
      </c>
      <c r="D1376" s="11" t="e">
        <f>VLOOKUP(B1376,#REF!,7,FALSE)</f>
        <v>#REF!</v>
      </c>
      <c r="E1376" s="31">
        <v>2.1747999999999998</v>
      </c>
      <c r="I1376" s="11" t="e">
        <f>+VLOOKUP(B1376,#REF!,7,FALSE)</f>
        <v>#REF!</v>
      </c>
      <c r="J1376" s="12" t="str">
        <f t="shared" si="64"/>
        <v/>
      </c>
      <c r="K1376" s="12" t="str">
        <f t="shared" si="65"/>
        <v/>
      </c>
      <c r="L1376" s="12" t="e">
        <f t="shared" si="63"/>
        <v>#VALUE!</v>
      </c>
    </row>
    <row r="1377" spans="1:12" ht="24" customHeight="1" x14ac:dyDescent="0.25">
      <c r="A1377" s="15"/>
      <c r="B1377" s="15"/>
      <c r="C1377" s="27"/>
      <c r="D1377" s="11"/>
      <c r="E1377" s="31"/>
      <c r="I1377" s="11"/>
      <c r="J1377" s="12"/>
      <c r="K1377" s="12"/>
      <c r="L1377" s="12"/>
    </row>
    <row r="1378" spans="1:12" ht="24" customHeight="1" x14ac:dyDescent="0.25">
      <c r="A1378" s="15"/>
      <c r="B1378" s="15"/>
      <c r="C1378" s="27"/>
      <c r="D1378" s="11"/>
      <c r="E1378" s="31"/>
      <c r="I1378" s="11"/>
      <c r="J1378" s="12"/>
      <c r="K1378" s="12"/>
      <c r="L1378" s="12"/>
    </row>
    <row r="1379" spans="1:12" ht="24" customHeight="1" x14ac:dyDescent="0.25">
      <c r="A1379" s="15"/>
      <c r="B1379" s="15"/>
      <c r="C1379" s="27"/>
      <c r="D1379" s="11"/>
      <c r="E1379" s="31"/>
      <c r="I1379" s="11"/>
      <c r="J1379" s="12"/>
      <c r="K1379" s="12"/>
      <c r="L1379" s="12"/>
    </row>
    <row r="1380" spans="1:12" ht="24" customHeight="1" x14ac:dyDescent="0.25">
      <c r="A1380" s="15"/>
      <c r="B1380" s="15"/>
      <c r="C1380" s="27"/>
      <c r="D1380" s="11"/>
      <c r="E1380" s="31"/>
      <c r="I1380" s="11"/>
      <c r="J1380" s="12"/>
      <c r="K1380" s="12"/>
      <c r="L1380" s="12"/>
    </row>
    <row r="1381" spans="1:12" ht="24" customHeight="1" x14ac:dyDescent="0.25">
      <c r="A1381" s="15"/>
      <c r="B1381" s="15"/>
      <c r="C1381" s="27"/>
      <c r="D1381" s="11"/>
      <c r="E1381" s="31"/>
      <c r="I1381" s="11"/>
      <c r="J1381" s="12"/>
      <c r="K1381" s="12"/>
      <c r="L1381" s="12"/>
    </row>
    <row r="1382" spans="1:12" ht="24" customHeight="1" x14ac:dyDescent="0.25">
      <c r="A1382" s="15"/>
      <c r="B1382" s="15"/>
      <c r="C1382" s="27"/>
      <c r="D1382" s="11"/>
      <c r="E1382" s="31"/>
      <c r="I1382" s="11"/>
      <c r="J1382" s="12"/>
      <c r="K1382" s="12"/>
      <c r="L1382" s="12"/>
    </row>
    <row r="1383" spans="1:12" ht="24" customHeight="1" x14ac:dyDescent="0.25">
      <c r="A1383" s="15"/>
      <c r="B1383" s="15"/>
      <c r="C1383" s="27"/>
      <c r="D1383" s="11"/>
      <c r="E1383" s="31"/>
      <c r="I1383" s="11"/>
      <c r="J1383" s="12"/>
      <c r="K1383" s="12"/>
      <c r="L1383" s="12"/>
    </row>
    <row r="1384" spans="1:12" ht="24" customHeight="1" x14ac:dyDescent="0.25">
      <c r="A1384" s="15"/>
      <c r="B1384" s="15"/>
      <c r="C1384" s="27"/>
      <c r="D1384" s="11"/>
      <c r="E1384" s="31"/>
      <c r="I1384" s="11"/>
      <c r="J1384" s="12"/>
      <c r="K1384" s="12"/>
      <c r="L1384" s="12"/>
    </row>
    <row r="1385" spans="1:12" ht="24" customHeight="1" x14ac:dyDescent="0.25">
      <c r="A1385" s="9"/>
      <c r="B1385" s="10"/>
      <c r="C1385" s="17"/>
      <c r="D1385" s="11"/>
      <c r="E1385" s="31"/>
      <c r="I1385" s="11"/>
      <c r="J1385" s="12"/>
      <c r="K1385" s="12"/>
      <c r="L1385" s="12"/>
    </row>
    <row r="1386" spans="1:12" ht="24" customHeight="1" x14ac:dyDescent="0.25">
      <c r="A1386" s="9"/>
      <c r="B1386" s="10"/>
      <c r="C1386" s="17"/>
      <c r="D1386" s="11"/>
      <c r="E1386" s="31"/>
      <c r="I1386" s="11"/>
      <c r="J1386" s="12"/>
      <c r="K1386" s="12"/>
      <c r="L1386" s="12"/>
    </row>
    <row r="1387" spans="1:12" ht="24" customHeight="1" x14ac:dyDescent="0.25">
      <c r="A1387" s="9"/>
      <c r="B1387" s="10"/>
      <c r="C1387" s="17"/>
      <c r="D1387" s="11"/>
      <c r="E1387" s="31"/>
      <c r="I1387" s="11"/>
      <c r="J1387" s="12"/>
      <c r="K1387" s="12"/>
      <c r="L1387" s="12"/>
    </row>
    <row r="1388" spans="1:12" ht="24" customHeight="1" x14ac:dyDescent="0.25">
      <c r="A1388" s="9"/>
      <c r="B1388" s="10"/>
      <c r="C1388" s="17"/>
      <c r="D1388" s="11"/>
      <c r="E1388" s="31"/>
      <c r="I1388" s="11"/>
      <c r="J1388" s="12"/>
      <c r="K1388" s="12"/>
      <c r="L1388" s="12"/>
    </row>
    <row r="1389" spans="1:12" ht="24" customHeight="1" x14ac:dyDescent="0.25">
      <c r="A1389" s="9"/>
      <c r="B1389" s="10"/>
      <c r="C1389" s="17"/>
      <c r="D1389" s="11"/>
      <c r="E1389" s="31"/>
      <c r="I1389" s="11"/>
      <c r="J1389" s="12"/>
      <c r="K1389" s="12"/>
      <c r="L1389" s="12"/>
    </row>
    <row r="1390" spans="1:12" ht="24" customHeight="1" x14ac:dyDescent="0.25">
      <c r="A1390" s="9"/>
      <c r="B1390" s="10"/>
      <c r="C1390" s="17"/>
      <c r="D1390" s="11"/>
      <c r="E1390" s="31"/>
      <c r="I1390" s="11"/>
      <c r="J1390" s="12"/>
      <c r="K1390" s="12"/>
      <c r="L1390" s="12"/>
    </row>
    <row r="1391" spans="1:12" ht="24" customHeight="1" x14ac:dyDescent="0.25">
      <c r="A1391" s="9"/>
      <c r="B1391" s="10"/>
      <c r="C1391" s="17"/>
      <c r="D1391" s="11"/>
      <c r="E1391" s="31"/>
      <c r="I1391" s="11"/>
      <c r="J1391" s="12"/>
      <c r="K1391" s="12"/>
      <c r="L1391" s="12"/>
    </row>
    <row r="1392" spans="1:12" ht="24" customHeight="1" x14ac:dyDescent="0.25">
      <c r="A1392" s="9"/>
      <c r="B1392" s="10"/>
      <c r="C1392" s="17"/>
      <c r="D1392" s="11"/>
      <c r="E1392" s="31"/>
      <c r="I1392" s="11"/>
      <c r="J1392" s="12"/>
      <c r="K1392" s="12"/>
      <c r="L1392" s="12"/>
    </row>
    <row r="1393" spans="1:12" ht="24" customHeight="1" x14ac:dyDescent="0.25">
      <c r="A1393" s="9"/>
      <c r="B1393" s="10"/>
      <c r="C1393" s="17"/>
      <c r="D1393" s="11"/>
      <c r="E1393" s="31"/>
      <c r="I1393" s="11"/>
      <c r="J1393" s="12"/>
      <c r="K1393" s="12"/>
      <c r="L1393" s="12"/>
    </row>
    <row r="1394" spans="1:12" ht="24" customHeight="1" x14ac:dyDescent="0.25">
      <c r="A1394" s="9"/>
      <c r="B1394" s="10"/>
      <c r="C1394" s="17"/>
      <c r="D1394" s="11"/>
      <c r="E1394" s="31"/>
      <c r="I1394" s="11"/>
      <c r="J1394" s="12"/>
      <c r="K1394" s="12"/>
      <c r="L1394" s="12"/>
    </row>
    <row r="1395" spans="1:12" ht="24" customHeight="1" x14ac:dyDescent="0.25">
      <c r="A1395" s="9"/>
      <c r="B1395" s="10"/>
      <c r="C1395" s="17"/>
      <c r="D1395" s="11"/>
      <c r="E1395" s="31"/>
      <c r="I1395" s="11"/>
      <c r="J1395" s="12"/>
      <c r="K1395" s="12"/>
      <c r="L1395" s="12"/>
    </row>
    <row r="1396" spans="1:12" ht="24" customHeight="1" x14ac:dyDescent="0.25">
      <c r="A1396" s="9"/>
      <c r="B1396" s="10"/>
      <c r="C1396" s="17"/>
      <c r="D1396" s="11"/>
      <c r="E1396" s="31"/>
      <c r="I1396" s="11"/>
      <c r="J1396" s="12"/>
      <c r="K1396" s="12"/>
      <c r="L1396" s="12"/>
    </row>
    <row r="1397" spans="1:12" ht="24" customHeight="1" x14ac:dyDescent="0.25">
      <c r="A1397" s="9"/>
      <c r="B1397" s="10"/>
      <c r="C1397" s="17"/>
      <c r="D1397" s="11"/>
      <c r="E1397" s="31"/>
      <c r="I1397" s="11"/>
      <c r="J1397" s="12"/>
      <c r="K1397" s="12"/>
      <c r="L1397" s="12"/>
    </row>
    <row r="1398" spans="1:12" ht="24" customHeight="1" x14ac:dyDescent="0.25">
      <c r="A1398" s="9"/>
      <c r="B1398" s="10"/>
      <c r="C1398" s="17"/>
      <c r="D1398" s="11"/>
      <c r="E1398" s="31"/>
      <c r="I1398" s="11"/>
      <c r="J1398" s="12"/>
      <c r="K1398" s="12"/>
      <c r="L1398" s="12"/>
    </row>
    <row r="1399" spans="1:12" ht="24" customHeight="1" x14ac:dyDescent="0.25">
      <c r="A1399" s="9"/>
      <c r="B1399" s="10"/>
      <c r="C1399" s="17"/>
      <c r="D1399" s="11"/>
      <c r="E1399" s="31"/>
      <c r="I1399" s="11"/>
      <c r="J1399" s="12"/>
      <c r="K1399" s="12"/>
      <c r="L1399" s="12"/>
    </row>
    <row r="1400" spans="1:12" ht="24" customHeight="1" x14ac:dyDescent="0.25">
      <c r="A1400" s="9"/>
      <c r="B1400" s="10"/>
      <c r="C1400" s="17"/>
      <c r="D1400" s="11"/>
      <c r="E1400" s="31"/>
      <c r="I1400" s="11"/>
      <c r="J1400" s="12"/>
      <c r="K1400" s="12"/>
      <c r="L1400" s="12"/>
    </row>
    <row r="1401" spans="1:12" ht="24" customHeight="1" x14ac:dyDescent="0.25">
      <c r="A1401" s="9"/>
      <c r="B1401" s="10"/>
      <c r="C1401" s="17"/>
      <c r="D1401" s="11"/>
      <c r="E1401" s="31"/>
      <c r="I1401" s="11"/>
      <c r="J1401" s="12"/>
      <c r="K1401" s="12"/>
      <c r="L1401" s="12"/>
    </row>
    <row r="1402" spans="1:12" ht="24" customHeight="1" x14ac:dyDescent="0.25">
      <c r="A1402" s="9"/>
      <c r="B1402" s="10"/>
      <c r="C1402" s="17"/>
      <c r="D1402" s="11"/>
      <c r="E1402" s="31"/>
      <c r="I1402" s="11"/>
      <c r="J1402" s="12"/>
      <c r="K1402" s="12"/>
      <c r="L1402" s="12"/>
    </row>
    <row r="1403" spans="1:12" ht="24" customHeight="1" x14ac:dyDescent="0.25">
      <c r="A1403" s="9"/>
      <c r="B1403" s="10"/>
      <c r="C1403" s="17"/>
      <c r="D1403" s="11"/>
      <c r="E1403" s="31"/>
      <c r="I1403" s="11"/>
      <c r="J1403" s="12"/>
      <c r="K1403" s="12"/>
      <c r="L1403" s="12"/>
    </row>
    <row r="1404" spans="1:12" ht="24" customHeight="1" x14ac:dyDescent="0.25">
      <c r="A1404" s="9"/>
      <c r="B1404" s="10"/>
      <c r="C1404" s="17"/>
      <c r="D1404" s="11"/>
      <c r="E1404" s="31"/>
      <c r="I1404" s="11"/>
      <c r="J1404" s="12"/>
      <c r="K1404" s="12"/>
      <c r="L1404" s="12"/>
    </row>
    <row r="1405" spans="1:12" ht="24" customHeight="1" x14ac:dyDescent="0.25">
      <c r="A1405" s="9"/>
      <c r="B1405" s="10"/>
      <c r="C1405" s="17"/>
      <c r="D1405" s="11"/>
      <c r="E1405" s="31"/>
      <c r="I1405" s="11"/>
      <c r="J1405" s="12"/>
      <c r="K1405" s="12"/>
      <c r="L1405" s="12"/>
    </row>
    <row r="1406" spans="1:12" ht="24" customHeight="1" x14ac:dyDescent="0.25">
      <c r="A1406" s="9"/>
      <c r="B1406" s="10"/>
      <c r="C1406" s="17"/>
      <c r="D1406" s="11"/>
      <c r="E1406" s="31"/>
      <c r="I1406" s="11"/>
      <c r="J1406" s="12"/>
      <c r="K1406" s="12"/>
      <c r="L1406" s="12"/>
    </row>
    <row r="1407" spans="1:12" ht="24" customHeight="1" x14ac:dyDescent="0.25">
      <c r="A1407" s="9"/>
      <c r="B1407" s="10"/>
      <c r="C1407" s="17"/>
      <c r="D1407" s="11"/>
      <c r="E1407" s="31"/>
      <c r="I1407" s="11"/>
      <c r="J1407" s="12"/>
      <c r="K1407" s="12"/>
      <c r="L1407" s="12"/>
    </row>
    <row r="1408" spans="1:12" ht="24" customHeight="1" x14ac:dyDescent="0.25">
      <c r="A1408" s="9"/>
      <c r="B1408" s="10"/>
      <c r="C1408" s="17"/>
      <c r="D1408" s="11"/>
      <c r="E1408" s="31"/>
      <c r="I1408" s="11"/>
      <c r="J1408" s="12"/>
      <c r="K1408" s="12"/>
      <c r="L1408" s="12"/>
    </row>
    <row r="1409" spans="1:12" ht="24" customHeight="1" x14ac:dyDescent="0.25">
      <c r="A1409" s="9"/>
      <c r="B1409" s="10"/>
      <c r="C1409" s="17"/>
      <c r="D1409" s="11"/>
      <c r="E1409" s="31"/>
      <c r="I1409" s="11"/>
      <c r="J1409" s="12"/>
      <c r="K1409" s="12"/>
      <c r="L1409" s="12"/>
    </row>
    <row r="1410" spans="1:12" ht="24" customHeight="1" x14ac:dyDescent="0.25">
      <c r="A1410" s="9"/>
      <c r="B1410" s="10"/>
      <c r="C1410" s="17"/>
      <c r="D1410" s="11"/>
      <c r="E1410" s="31"/>
      <c r="I1410" s="11"/>
      <c r="J1410" s="12"/>
      <c r="K1410" s="12"/>
      <c r="L1410" s="12"/>
    </row>
    <row r="1411" spans="1:12" ht="24" customHeight="1" x14ac:dyDescent="0.25">
      <c r="A1411" s="9"/>
      <c r="B1411" s="10"/>
      <c r="C1411" s="17"/>
      <c r="D1411" s="11"/>
      <c r="E1411" s="31"/>
      <c r="I1411" s="11"/>
      <c r="J1411" s="12"/>
      <c r="K1411" s="12"/>
      <c r="L1411" s="12"/>
    </row>
    <row r="1412" spans="1:12" ht="24" customHeight="1" x14ac:dyDescent="0.25">
      <c r="A1412" s="9"/>
      <c r="B1412" s="10"/>
      <c r="C1412" s="17"/>
      <c r="D1412" s="11"/>
      <c r="E1412" s="31"/>
      <c r="I1412" s="11"/>
      <c r="J1412" s="12"/>
      <c r="K1412" s="12"/>
      <c r="L1412" s="12"/>
    </row>
    <row r="1413" spans="1:12" ht="24" customHeight="1" x14ac:dyDescent="0.25">
      <c r="A1413" s="9"/>
      <c r="B1413" s="10"/>
      <c r="C1413" s="17"/>
      <c r="D1413" s="11"/>
      <c r="E1413" s="31"/>
      <c r="I1413" s="11"/>
      <c r="J1413" s="12"/>
      <c r="K1413" s="12"/>
      <c r="L1413" s="12"/>
    </row>
    <row r="1414" spans="1:12" ht="24" customHeight="1" x14ac:dyDescent="0.25">
      <c r="A1414" s="9"/>
      <c r="B1414" s="10"/>
      <c r="C1414" s="17"/>
      <c r="D1414" s="11"/>
      <c r="E1414" s="31"/>
      <c r="I1414" s="11"/>
      <c r="J1414" s="12"/>
      <c r="K1414" s="12"/>
      <c r="L1414" s="12"/>
    </row>
    <row r="1415" spans="1:12" ht="24" customHeight="1" x14ac:dyDescent="0.25">
      <c r="A1415" s="9"/>
      <c r="B1415" s="10"/>
      <c r="C1415" s="17"/>
      <c r="D1415" s="11"/>
      <c r="E1415" s="31"/>
      <c r="I1415" s="11"/>
      <c r="J1415" s="12"/>
      <c r="K1415" s="12"/>
      <c r="L1415" s="12"/>
    </row>
    <row r="1416" spans="1:12" ht="24" customHeight="1" x14ac:dyDescent="0.25">
      <c r="A1416" s="9"/>
      <c r="B1416" s="10"/>
      <c r="C1416" s="17"/>
      <c r="D1416" s="11"/>
      <c r="E1416" s="31"/>
      <c r="I1416" s="11"/>
      <c r="J1416" s="12"/>
      <c r="K1416" s="12"/>
      <c r="L1416" s="12"/>
    </row>
    <row r="1417" spans="1:12" ht="24" customHeight="1" x14ac:dyDescent="0.25">
      <c r="A1417" s="9"/>
      <c r="B1417" s="10"/>
      <c r="C1417" s="17"/>
      <c r="D1417" s="11"/>
      <c r="E1417" s="31"/>
      <c r="I1417" s="11"/>
      <c r="J1417" s="12"/>
      <c r="K1417" s="12"/>
      <c r="L1417" s="12"/>
    </row>
    <row r="1418" spans="1:12" ht="24" customHeight="1" x14ac:dyDescent="0.25">
      <c r="A1418" s="9"/>
      <c r="B1418" s="10"/>
      <c r="C1418" s="17"/>
      <c r="D1418" s="11"/>
      <c r="E1418" s="31"/>
      <c r="I1418" s="11"/>
      <c r="J1418" s="12"/>
      <c r="K1418" s="12"/>
      <c r="L1418" s="12"/>
    </row>
    <row r="1419" spans="1:12" ht="24" customHeight="1" x14ac:dyDescent="0.25">
      <c r="A1419" s="9"/>
      <c r="B1419" s="10"/>
      <c r="C1419" s="17"/>
      <c r="D1419" s="11"/>
      <c r="E1419" s="31"/>
      <c r="I1419" s="11"/>
      <c r="J1419" s="12"/>
      <c r="K1419" s="12"/>
      <c r="L1419" s="12"/>
    </row>
    <row r="1420" spans="1:12" ht="24" customHeight="1" x14ac:dyDescent="0.25">
      <c r="A1420" s="9"/>
      <c r="B1420" s="10"/>
      <c r="C1420" s="17"/>
      <c r="D1420" s="11"/>
      <c r="E1420" s="31"/>
      <c r="I1420" s="11"/>
      <c r="J1420" s="12"/>
      <c r="K1420" s="12"/>
      <c r="L1420" s="12"/>
    </row>
    <row r="1421" spans="1:12" ht="24" customHeight="1" x14ac:dyDescent="0.25">
      <c r="A1421" s="9"/>
      <c r="B1421" s="10"/>
      <c r="C1421" s="17"/>
      <c r="D1421" s="11"/>
      <c r="E1421" s="31"/>
      <c r="I1421" s="11"/>
      <c r="J1421" s="12"/>
      <c r="K1421" s="12"/>
      <c r="L1421" s="12"/>
    </row>
    <row r="1422" spans="1:12" ht="24" customHeight="1" x14ac:dyDescent="0.25">
      <c r="A1422" s="9"/>
      <c r="B1422" s="10"/>
      <c r="C1422" s="17"/>
      <c r="D1422" s="11"/>
      <c r="E1422" s="31"/>
      <c r="I1422" s="11"/>
      <c r="J1422" s="12"/>
      <c r="K1422" s="12"/>
      <c r="L1422" s="12"/>
    </row>
    <row r="1423" spans="1:12" ht="24" customHeight="1" x14ac:dyDescent="0.25">
      <c r="A1423" s="9"/>
      <c r="B1423" s="10"/>
      <c r="C1423" s="17"/>
      <c r="D1423" s="11"/>
      <c r="E1423" s="31"/>
      <c r="I1423" s="11"/>
      <c r="J1423" s="12"/>
      <c r="K1423" s="12"/>
      <c r="L1423" s="12"/>
    </row>
    <row r="1424" spans="1:12" ht="24" customHeight="1" x14ac:dyDescent="0.25">
      <c r="A1424" s="9"/>
      <c r="B1424" s="10"/>
      <c r="C1424" s="17"/>
      <c r="D1424" s="11"/>
      <c r="E1424" s="31"/>
      <c r="I1424" s="11"/>
      <c r="J1424" s="12"/>
      <c r="K1424" s="12"/>
      <c r="L1424" s="12"/>
    </row>
    <row r="1425" spans="1:12" ht="24" customHeight="1" x14ac:dyDescent="0.25">
      <c r="A1425" s="9"/>
      <c r="B1425" s="10"/>
      <c r="C1425" s="17"/>
      <c r="D1425" s="11"/>
      <c r="E1425" s="31"/>
      <c r="I1425" s="11"/>
      <c r="J1425" s="12"/>
      <c r="K1425" s="12"/>
      <c r="L1425" s="12"/>
    </row>
    <row r="1426" spans="1:12" ht="24" customHeight="1" x14ac:dyDescent="0.25">
      <c r="A1426" s="9"/>
      <c r="B1426" s="10"/>
      <c r="C1426" s="17"/>
      <c r="D1426" s="11"/>
      <c r="E1426" s="31"/>
      <c r="I1426" s="11"/>
      <c r="J1426" s="12"/>
      <c r="K1426" s="12"/>
      <c r="L1426" s="12"/>
    </row>
    <row r="1427" spans="1:12" ht="24" customHeight="1" x14ac:dyDescent="0.25">
      <c r="A1427" s="9"/>
      <c r="B1427" s="10"/>
      <c r="C1427" s="17"/>
      <c r="D1427" s="11"/>
      <c r="E1427" s="31"/>
      <c r="I1427" s="11"/>
      <c r="J1427" s="12"/>
      <c r="K1427" s="12"/>
      <c r="L1427" s="12"/>
    </row>
    <row r="1428" spans="1:12" ht="24" customHeight="1" x14ac:dyDescent="0.25">
      <c r="A1428" s="9"/>
      <c r="B1428" s="10"/>
      <c r="C1428" s="17"/>
      <c r="D1428" s="11"/>
      <c r="E1428" s="31"/>
      <c r="I1428" s="11"/>
      <c r="J1428" s="12"/>
      <c r="K1428" s="12"/>
      <c r="L1428" s="12"/>
    </row>
    <row r="1429" spans="1:12" ht="24" customHeight="1" x14ac:dyDescent="0.25">
      <c r="A1429" s="9"/>
      <c r="B1429" s="10"/>
      <c r="C1429" s="17"/>
      <c r="D1429" s="11"/>
      <c r="E1429" s="31"/>
      <c r="I1429" s="11"/>
      <c r="J1429" s="12"/>
      <c r="K1429" s="12"/>
      <c r="L1429" s="12"/>
    </row>
    <row r="1430" spans="1:12" ht="24" customHeight="1" x14ac:dyDescent="0.25">
      <c r="A1430" s="9"/>
      <c r="B1430" s="10"/>
      <c r="C1430" s="17"/>
      <c r="D1430" s="11"/>
      <c r="E1430" s="31"/>
      <c r="I1430" s="11"/>
      <c r="J1430" s="12"/>
      <c r="K1430" s="12"/>
      <c r="L1430" s="12"/>
    </row>
    <row r="1431" spans="1:12" ht="24" customHeight="1" x14ac:dyDescent="0.25">
      <c r="A1431" s="9"/>
      <c r="B1431" s="10"/>
      <c r="C1431" s="17"/>
      <c r="D1431" s="11"/>
      <c r="E1431" s="31"/>
      <c r="I1431" s="11"/>
      <c r="J1431" s="12"/>
      <c r="K1431" s="12"/>
      <c r="L1431" s="12"/>
    </row>
    <row r="1432" spans="1:12" ht="24" customHeight="1" x14ac:dyDescent="0.25">
      <c r="A1432" s="9"/>
      <c r="B1432" s="10"/>
      <c r="C1432" s="17"/>
      <c r="D1432" s="11"/>
      <c r="E1432" s="31"/>
      <c r="I1432" s="11"/>
      <c r="J1432" s="12"/>
      <c r="K1432" s="12"/>
      <c r="L1432" s="12"/>
    </row>
    <row r="1433" spans="1:12" ht="24" customHeight="1" x14ac:dyDescent="0.25">
      <c r="A1433" s="9"/>
      <c r="B1433" s="10"/>
      <c r="C1433" s="17"/>
      <c r="D1433" s="11"/>
      <c r="E1433" s="31"/>
      <c r="I1433" s="11"/>
      <c r="J1433" s="12"/>
      <c r="K1433" s="12"/>
      <c r="L1433" s="12"/>
    </row>
    <row r="1434" spans="1:12" ht="24" customHeight="1" x14ac:dyDescent="0.25">
      <c r="A1434" s="9"/>
      <c r="B1434" s="10"/>
      <c r="C1434" s="17"/>
      <c r="D1434" s="11"/>
      <c r="E1434" s="31"/>
      <c r="I1434" s="11"/>
      <c r="J1434" s="12"/>
      <c r="K1434" s="12"/>
      <c r="L1434" s="12"/>
    </row>
    <row r="1435" spans="1:12" ht="24" customHeight="1" x14ac:dyDescent="0.25">
      <c r="A1435" s="9"/>
      <c r="B1435" s="10"/>
      <c r="C1435" s="17"/>
      <c r="D1435" s="11"/>
      <c r="E1435" s="31"/>
      <c r="I1435" s="11"/>
      <c r="J1435" s="12"/>
      <c r="K1435" s="12"/>
      <c r="L1435" s="12"/>
    </row>
    <row r="1436" spans="1:12" ht="24" customHeight="1" x14ac:dyDescent="0.25">
      <c r="A1436" s="9"/>
      <c r="B1436" s="10"/>
      <c r="C1436" s="17"/>
      <c r="D1436" s="11"/>
      <c r="E1436" s="31"/>
      <c r="I1436" s="11"/>
      <c r="J1436" s="12"/>
      <c r="K1436" s="12"/>
      <c r="L1436" s="12"/>
    </row>
    <row r="1437" spans="1:12" ht="24" customHeight="1" x14ac:dyDescent="0.25">
      <c r="A1437" s="9"/>
      <c r="B1437" s="10"/>
      <c r="C1437" s="17"/>
      <c r="D1437" s="11"/>
      <c r="E1437" s="31"/>
      <c r="I1437" s="11"/>
      <c r="J1437" s="12"/>
      <c r="K1437" s="12"/>
      <c r="L1437" s="12"/>
    </row>
    <row r="1438" spans="1:12" ht="24" customHeight="1" x14ac:dyDescent="0.25">
      <c r="A1438" s="9"/>
      <c r="B1438" s="10"/>
      <c r="C1438" s="17"/>
      <c r="D1438" s="11"/>
      <c r="E1438" s="31"/>
      <c r="I1438" s="11"/>
      <c r="J1438" s="12"/>
      <c r="K1438" s="12"/>
      <c r="L1438" s="12"/>
    </row>
    <row r="1439" spans="1:12" ht="24" customHeight="1" x14ac:dyDescent="0.25">
      <c r="A1439" s="9"/>
      <c r="B1439" s="10"/>
      <c r="C1439" s="17"/>
      <c r="D1439" s="11"/>
      <c r="E1439" s="31"/>
      <c r="I1439" s="11"/>
      <c r="J1439" s="12"/>
      <c r="K1439" s="12"/>
      <c r="L1439" s="12"/>
    </row>
    <row r="1440" spans="1:12" ht="24" customHeight="1" x14ac:dyDescent="0.25">
      <c r="A1440" s="9"/>
      <c r="B1440" s="10"/>
      <c r="C1440" s="17"/>
      <c r="D1440" s="11"/>
      <c r="E1440" s="31"/>
      <c r="I1440" s="11"/>
      <c r="J1440" s="12"/>
      <c r="K1440" s="12"/>
      <c r="L1440" s="12"/>
    </row>
    <row r="1441" spans="1:12" ht="24" customHeight="1" x14ac:dyDescent="0.25">
      <c r="A1441" s="9"/>
      <c r="B1441" s="10"/>
      <c r="C1441" s="17"/>
      <c r="D1441" s="11"/>
      <c r="E1441" s="31"/>
      <c r="I1441" s="11"/>
      <c r="J1441" s="12"/>
      <c r="K1441" s="12"/>
      <c r="L1441" s="12"/>
    </row>
    <row r="1442" spans="1:12" ht="24" customHeight="1" x14ac:dyDescent="0.25">
      <c r="A1442" s="9"/>
      <c r="B1442" s="10"/>
      <c r="C1442" s="17"/>
      <c r="D1442" s="11"/>
      <c r="E1442" s="31"/>
      <c r="I1442" s="11"/>
      <c r="J1442" s="12"/>
      <c r="K1442" s="12"/>
      <c r="L1442" s="12"/>
    </row>
    <row r="1443" spans="1:12" ht="24" customHeight="1" x14ac:dyDescent="0.25">
      <c r="A1443" s="9"/>
      <c r="B1443" s="10"/>
      <c r="C1443" s="17"/>
      <c r="D1443" s="11"/>
      <c r="E1443" s="31"/>
      <c r="I1443" s="11"/>
      <c r="J1443" s="12"/>
      <c r="K1443" s="12"/>
      <c r="L1443" s="12"/>
    </row>
    <row r="1444" spans="1:12" ht="24" customHeight="1" x14ac:dyDescent="0.25">
      <c r="A1444" s="9"/>
      <c r="B1444" s="10"/>
      <c r="C1444" s="17"/>
      <c r="D1444" s="11"/>
      <c r="E1444" s="31"/>
      <c r="I1444" s="11"/>
      <c r="J1444" s="12"/>
      <c r="K1444" s="12"/>
      <c r="L1444" s="12"/>
    </row>
    <row r="1445" spans="1:12" ht="24" customHeight="1" x14ac:dyDescent="0.25">
      <c r="A1445" s="9"/>
      <c r="B1445" s="10"/>
      <c r="C1445" s="17"/>
      <c r="D1445" s="11"/>
      <c r="E1445" s="31"/>
      <c r="I1445" s="11"/>
      <c r="J1445" s="12"/>
      <c r="K1445" s="12"/>
      <c r="L1445" s="12"/>
    </row>
    <row r="1446" spans="1:12" ht="24" customHeight="1" x14ac:dyDescent="0.25">
      <c r="A1446" s="9"/>
      <c r="B1446" s="10"/>
      <c r="C1446" s="17"/>
      <c r="D1446" s="11"/>
      <c r="E1446" s="31"/>
      <c r="I1446" s="11"/>
      <c r="J1446" s="12"/>
      <c r="K1446" s="12"/>
      <c r="L1446" s="12"/>
    </row>
    <row r="1447" spans="1:12" ht="24" customHeight="1" x14ac:dyDescent="0.25">
      <c r="A1447" s="9"/>
      <c r="B1447" s="10"/>
      <c r="C1447" s="17"/>
      <c r="D1447" s="11"/>
      <c r="E1447" s="31"/>
      <c r="I1447" s="11"/>
      <c r="J1447" s="12"/>
      <c r="K1447" s="12"/>
      <c r="L1447" s="12"/>
    </row>
    <row r="1448" spans="1:12" ht="24" customHeight="1" x14ac:dyDescent="0.25">
      <c r="A1448" s="9"/>
      <c r="B1448" s="10"/>
      <c r="C1448" s="17"/>
      <c r="D1448" s="11"/>
      <c r="E1448" s="31"/>
      <c r="I1448" s="11"/>
      <c r="J1448" s="12"/>
      <c r="K1448" s="12"/>
      <c r="L1448" s="12"/>
    </row>
    <row r="1449" spans="1:12" ht="24" customHeight="1" x14ac:dyDescent="0.25">
      <c r="A1449" s="9"/>
      <c r="B1449" s="10"/>
      <c r="C1449" s="17"/>
      <c r="D1449" s="11"/>
      <c r="E1449" s="31"/>
      <c r="I1449" s="11"/>
      <c r="J1449" s="12"/>
      <c r="K1449" s="12"/>
      <c r="L1449" s="12"/>
    </row>
    <row r="1450" spans="1:12" ht="24" customHeight="1" x14ac:dyDescent="0.25">
      <c r="A1450" s="9"/>
      <c r="B1450" s="10"/>
      <c r="C1450" s="17"/>
      <c r="D1450" s="11"/>
      <c r="E1450" s="31"/>
      <c r="I1450" s="11"/>
      <c r="J1450" s="12"/>
      <c r="K1450" s="12"/>
      <c r="L1450" s="12"/>
    </row>
    <row r="1451" spans="1:12" ht="24" customHeight="1" x14ac:dyDescent="0.25">
      <c r="A1451" s="9"/>
      <c r="B1451" s="10"/>
      <c r="C1451" s="17"/>
      <c r="D1451" s="11"/>
      <c r="E1451" s="31"/>
      <c r="I1451" s="11"/>
      <c r="J1451" s="12"/>
      <c r="K1451" s="12"/>
      <c r="L1451" s="12"/>
    </row>
    <row r="1452" spans="1:12" ht="24" customHeight="1" x14ac:dyDescent="0.25">
      <c r="A1452" s="9"/>
      <c r="B1452" s="10"/>
      <c r="C1452" s="17"/>
      <c r="D1452" s="11"/>
      <c r="E1452" s="31"/>
      <c r="I1452" s="11"/>
      <c r="J1452" s="12"/>
      <c r="K1452" s="12"/>
      <c r="L1452" s="12"/>
    </row>
    <row r="1453" spans="1:12" ht="24" customHeight="1" x14ac:dyDescent="0.25">
      <c r="A1453" s="9"/>
      <c r="B1453" s="10"/>
      <c r="C1453" s="17"/>
      <c r="D1453" s="11"/>
      <c r="E1453" s="31"/>
      <c r="I1453" s="11"/>
      <c r="J1453" s="12"/>
      <c r="K1453" s="12"/>
      <c r="L1453" s="12"/>
    </row>
    <row r="1454" spans="1:12" ht="24" customHeight="1" x14ac:dyDescent="0.25">
      <c r="A1454" s="9"/>
      <c r="B1454" s="10"/>
      <c r="C1454" s="17"/>
      <c r="D1454" s="11"/>
      <c r="E1454" s="31"/>
      <c r="I1454" s="11"/>
      <c r="J1454" s="12"/>
      <c r="K1454" s="12"/>
      <c r="L1454" s="12"/>
    </row>
    <row r="1455" spans="1:12" ht="24" customHeight="1" x14ac:dyDescent="0.25">
      <c r="A1455" s="9"/>
      <c r="B1455" s="10"/>
      <c r="C1455" s="17"/>
      <c r="D1455" s="11"/>
      <c r="E1455" s="31"/>
      <c r="I1455" s="11"/>
      <c r="J1455" s="12"/>
      <c r="K1455" s="12"/>
      <c r="L1455" s="12"/>
    </row>
    <row r="1456" spans="1:12" ht="24" customHeight="1" x14ac:dyDescent="0.25">
      <c r="A1456" s="9"/>
      <c r="B1456" s="10"/>
      <c r="C1456" s="17"/>
      <c r="D1456" s="11"/>
      <c r="E1456" s="31"/>
      <c r="I1456" s="11"/>
      <c r="J1456" s="12"/>
      <c r="K1456" s="12"/>
      <c r="L1456" s="12"/>
    </row>
    <row r="1457" spans="1:12" ht="24" customHeight="1" x14ac:dyDescent="0.25">
      <c r="A1457" s="9"/>
      <c r="B1457" s="10"/>
      <c r="C1457" s="17"/>
      <c r="D1457" s="11"/>
      <c r="E1457" s="31"/>
      <c r="I1457" s="11"/>
      <c r="J1457" s="12"/>
      <c r="K1457" s="12"/>
      <c r="L1457" s="12"/>
    </row>
    <row r="1458" spans="1:12" ht="24" customHeight="1" x14ac:dyDescent="0.25">
      <c r="A1458" s="9"/>
      <c r="B1458" s="10"/>
      <c r="C1458" s="17"/>
      <c r="D1458" s="11"/>
      <c r="E1458" s="31"/>
      <c r="I1458" s="11"/>
      <c r="J1458" s="12"/>
      <c r="K1458" s="12"/>
      <c r="L1458" s="12"/>
    </row>
    <row r="1459" spans="1:12" ht="24" customHeight="1" x14ac:dyDescent="0.25">
      <c r="A1459" s="9"/>
      <c r="B1459" s="10"/>
      <c r="C1459" s="17"/>
      <c r="D1459" s="11"/>
      <c r="E1459" s="31"/>
      <c r="I1459" s="11"/>
      <c r="J1459" s="12"/>
      <c r="K1459" s="12"/>
      <c r="L1459" s="12"/>
    </row>
    <row r="1460" spans="1:12" ht="24" customHeight="1" x14ac:dyDescent="0.25">
      <c r="A1460" s="9"/>
      <c r="B1460" s="10"/>
      <c r="C1460" s="17"/>
      <c r="D1460" s="11"/>
      <c r="E1460" s="31"/>
      <c r="I1460" s="11"/>
      <c r="J1460" s="12"/>
      <c r="K1460" s="12"/>
      <c r="L1460" s="12"/>
    </row>
    <row r="1461" spans="1:12" ht="24" customHeight="1" x14ac:dyDescent="0.25">
      <c r="A1461" s="9"/>
      <c r="B1461" s="10"/>
      <c r="C1461" s="17"/>
      <c r="D1461" s="11"/>
      <c r="E1461" s="31"/>
      <c r="I1461" s="11"/>
      <c r="J1461" s="12"/>
      <c r="K1461" s="12"/>
      <c r="L1461" s="12"/>
    </row>
    <row r="1462" spans="1:12" ht="24" customHeight="1" x14ac:dyDescent="0.25">
      <c r="A1462" s="9"/>
      <c r="B1462" s="10"/>
      <c r="C1462" s="17"/>
      <c r="D1462" s="11"/>
      <c r="E1462" s="31"/>
      <c r="I1462" s="11"/>
      <c r="J1462" s="12"/>
      <c r="K1462" s="12"/>
      <c r="L1462" s="12"/>
    </row>
    <row r="1463" spans="1:12" ht="24" customHeight="1" x14ac:dyDescent="0.25">
      <c r="A1463" s="9"/>
      <c r="B1463" s="10"/>
      <c r="C1463" s="17"/>
      <c r="D1463" s="11"/>
      <c r="E1463" s="31"/>
      <c r="I1463" s="11"/>
      <c r="J1463" s="12"/>
      <c r="K1463" s="12"/>
      <c r="L1463" s="12"/>
    </row>
    <row r="1464" spans="1:12" ht="24" customHeight="1" x14ac:dyDescent="0.25">
      <c r="A1464" s="9"/>
      <c r="B1464" s="10"/>
      <c r="C1464" s="17"/>
      <c r="D1464" s="11"/>
      <c r="E1464" s="31"/>
      <c r="I1464" s="11"/>
      <c r="J1464" s="12"/>
      <c r="K1464" s="12"/>
      <c r="L1464" s="12"/>
    </row>
    <row r="1465" spans="1:12" ht="24" customHeight="1" x14ac:dyDescent="0.25">
      <c r="A1465" s="9"/>
      <c r="B1465" s="10"/>
      <c r="C1465" s="17"/>
      <c r="D1465" s="11"/>
      <c r="E1465" s="31"/>
      <c r="I1465" s="11"/>
      <c r="J1465" s="12"/>
      <c r="K1465" s="12"/>
      <c r="L1465" s="12"/>
    </row>
    <row r="1466" spans="1:12" ht="24" customHeight="1" x14ac:dyDescent="0.25">
      <c r="A1466" s="9"/>
      <c r="B1466" s="10"/>
      <c r="C1466" s="17"/>
      <c r="D1466" s="11"/>
      <c r="E1466" s="31"/>
      <c r="I1466" s="11"/>
      <c r="J1466" s="12"/>
      <c r="K1466" s="12"/>
      <c r="L1466" s="12"/>
    </row>
    <row r="1467" spans="1:12" ht="24" customHeight="1" x14ac:dyDescent="0.25">
      <c r="A1467" s="9"/>
      <c r="B1467" s="10"/>
      <c r="C1467" s="17"/>
      <c r="D1467" s="11"/>
      <c r="E1467" s="31"/>
      <c r="I1467" s="11"/>
      <c r="J1467" s="12"/>
      <c r="K1467" s="12"/>
      <c r="L1467" s="12"/>
    </row>
    <row r="1468" spans="1:12" ht="24" customHeight="1" x14ac:dyDescent="0.25">
      <c r="A1468" s="9"/>
      <c r="B1468" s="10"/>
      <c r="C1468" s="17"/>
      <c r="D1468" s="11"/>
      <c r="E1468" s="31"/>
      <c r="I1468" s="11"/>
      <c r="J1468" s="12"/>
      <c r="K1468" s="12"/>
      <c r="L1468" s="12"/>
    </row>
    <row r="1469" spans="1:12" ht="24" customHeight="1" x14ac:dyDescent="0.25">
      <c r="A1469" s="9"/>
      <c r="B1469" s="10"/>
      <c r="C1469" s="17"/>
      <c r="D1469" s="11"/>
      <c r="E1469" s="31"/>
      <c r="I1469" s="11"/>
      <c r="J1469" s="12"/>
      <c r="K1469" s="12"/>
      <c r="L1469" s="12"/>
    </row>
    <row r="1470" spans="1:12" ht="24" customHeight="1" x14ac:dyDescent="0.25">
      <c r="A1470" s="9"/>
      <c r="B1470" s="10"/>
      <c r="C1470" s="17"/>
      <c r="D1470" s="11"/>
      <c r="E1470" s="31"/>
      <c r="I1470" s="11"/>
      <c r="J1470" s="12"/>
      <c r="K1470" s="12"/>
      <c r="L1470" s="12"/>
    </row>
    <row r="1471" spans="1:12" ht="24" customHeight="1" x14ac:dyDescent="0.25">
      <c r="A1471" s="9"/>
      <c r="B1471" s="10"/>
      <c r="C1471" s="17"/>
      <c r="D1471" s="11"/>
      <c r="E1471" s="31"/>
      <c r="I1471" s="11"/>
      <c r="J1471" s="12"/>
      <c r="K1471" s="12"/>
      <c r="L1471" s="12"/>
    </row>
    <row r="1472" spans="1:12" ht="24" customHeight="1" x14ac:dyDescent="0.25">
      <c r="A1472" s="9"/>
      <c r="B1472" s="10"/>
      <c r="C1472" s="17"/>
      <c r="D1472" s="11"/>
      <c r="E1472" s="31"/>
      <c r="I1472" s="11"/>
      <c r="J1472" s="12"/>
      <c r="K1472" s="12"/>
      <c r="L1472" s="12"/>
    </row>
    <row r="1473" spans="1:12" ht="24" customHeight="1" x14ac:dyDescent="0.25">
      <c r="A1473" s="9"/>
      <c r="B1473" s="10"/>
      <c r="C1473" s="17"/>
      <c r="D1473" s="11"/>
      <c r="E1473" s="31"/>
      <c r="I1473" s="11"/>
      <c r="J1473" s="12"/>
      <c r="K1473" s="12"/>
      <c r="L1473" s="12"/>
    </row>
    <row r="1474" spans="1:12" ht="24" customHeight="1" x14ac:dyDescent="0.25">
      <c r="A1474" s="9"/>
      <c r="B1474" s="10"/>
      <c r="C1474" s="17"/>
      <c r="D1474" s="11"/>
      <c r="E1474" s="31"/>
      <c r="I1474" s="11"/>
      <c r="J1474" s="12"/>
      <c r="K1474" s="12"/>
      <c r="L1474" s="12"/>
    </row>
    <row r="1475" spans="1:12" ht="24" customHeight="1" x14ac:dyDescent="0.25">
      <c r="A1475" s="9"/>
      <c r="B1475" s="10"/>
      <c r="C1475" s="17"/>
      <c r="D1475" s="11"/>
      <c r="E1475" s="31"/>
      <c r="I1475" s="11"/>
      <c r="J1475" s="12"/>
      <c r="K1475" s="12"/>
      <c r="L1475" s="12"/>
    </row>
    <row r="1476" spans="1:12" ht="24" customHeight="1" x14ac:dyDescent="0.25">
      <c r="A1476" s="9"/>
      <c r="B1476" s="10"/>
      <c r="C1476" s="17"/>
      <c r="D1476" s="11"/>
      <c r="E1476" s="31"/>
      <c r="I1476" s="11"/>
      <c r="J1476" s="12"/>
      <c r="K1476" s="12"/>
      <c r="L1476" s="12"/>
    </row>
    <row r="1477" spans="1:12" ht="24" customHeight="1" x14ac:dyDescent="0.25">
      <c r="A1477" s="9"/>
      <c r="B1477" s="10"/>
      <c r="C1477" s="17"/>
      <c r="D1477" s="11"/>
      <c r="E1477" s="31"/>
      <c r="I1477" s="11"/>
      <c r="J1477" s="12"/>
      <c r="K1477" s="12"/>
      <c r="L1477" s="12"/>
    </row>
    <row r="1478" spans="1:12" ht="24" customHeight="1" x14ac:dyDescent="0.25">
      <c r="A1478" s="9"/>
      <c r="B1478" s="10"/>
      <c r="C1478" s="17"/>
      <c r="D1478" s="11"/>
      <c r="E1478" s="31"/>
      <c r="I1478" s="11"/>
      <c r="J1478" s="12"/>
      <c r="K1478" s="12"/>
      <c r="L1478" s="12"/>
    </row>
    <row r="1479" spans="1:12" ht="24" customHeight="1" x14ac:dyDescent="0.25">
      <c r="A1479" s="9"/>
      <c r="B1479" s="10"/>
      <c r="C1479" s="17"/>
      <c r="D1479" s="11"/>
      <c r="E1479" s="31"/>
      <c r="I1479" s="11"/>
      <c r="J1479" s="12"/>
      <c r="K1479" s="12"/>
      <c r="L1479" s="12"/>
    </row>
    <row r="1480" spans="1:12" ht="24" customHeight="1" x14ac:dyDescent="0.25">
      <c r="A1480" s="9"/>
      <c r="B1480" s="10"/>
      <c r="C1480" s="17"/>
      <c r="D1480" s="11"/>
      <c r="E1480" s="31"/>
      <c r="I1480" s="11"/>
      <c r="J1480" s="12"/>
      <c r="K1480" s="12"/>
      <c r="L1480" s="12"/>
    </row>
    <row r="1481" spans="1:12" ht="24" customHeight="1" x14ac:dyDescent="0.25">
      <c r="A1481" s="9"/>
      <c r="B1481" s="10"/>
      <c r="C1481" s="17"/>
      <c r="D1481" s="11"/>
      <c r="E1481" s="31"/>
      <c r="I1481" s="11"/>
      <c r="J1481" s="12"/>
      <c r="K1481" s="12"/>
      <c r="L1481" s="12"/>
    </row>
    <row r="1482" spans="1:12" ht="24" customHeight="1" x14ac:dyDescent="0.25">
      <c r="A1482" s="9"/>
      <c r="B1482" s="10"/>
      <c r="C1482" s="17"/>
      <c r="D1482" s="11"/>
      <c r="E1482" s="31"/>
      <c r="I1482" s="11"/>
      <c r="J1482" s="12"/>
      <c r="K1482" s="12"/>
      <c r="L1482" s="12"/>
    </row>
    <row r="1483" spans="1:12" ht="24" customHeight="1" x14ac:dyDescent="0.25">
      <c r="A1483" s="9"/>
      <c r="B1483" s="10"/>
      <c r="C1483" s="17"/>
      <c r="D1483" s="11"/>
      <c r="E1483" s="31"/>
      <c r="I1483" s="11"/>
      <c r="J1483" s="12"/>
      <c r="K1483" s="12"/>
      <c r="L1483" s="12"/>
    </row>
    <row r="1484" spans="1:12" ht="24" customHeight="1" x14ac:dyDescent="0.25">
      <c r="A1484" s="9"/>
      <c r="B1484" s="10"/>
      <c r="C1484" s="17"/>
      <c r="D1484" s="11"/>
      <c r="E1484" s="31"/>
      <c r="I1484" s="11"/>
      <c r="J1484" s="12"/>
      <c r="K1484" s="12"/>
      <c r="L1484" s="12"/>
    </row>
    <row r="1485" spans="1:12" ht="24" customHeight="1" x14ac:dyDescent="0.25">
      <c r="A1485" s="9"/>
      <c r="B1485" s="10"/>
      <c r="C1485" s="17"/>
      <c r="D1485" s="11"/>
      <c r="E1485" s="31"/>
      <c r="I1485" s="11"/>
      <c r="J1485" s="12"/>
      <c r="K1485" s="12"/>
      <c r="L1485" s="12"/>
    </row>
    <row r="1486" spans="1:12" ht="24" customHeight="1" x14ac:dyDescent="0.25">
      <c r="A1486" s="9"/>
      <c r="B1486" s="10"/>
      <c r="C1486" s="17"/>
      <c r="D1486" s="11"/>
      <c r="E1486" s="31"/>
      <c r="I1486" s="11"/>
      <c r="J1486" s="12"/>
      <c r="K1486" s="12"/>
      <c r="L1486" s="12"/>
    </row>
    <row r="1487" spans="1:12" ht="24" customHeight="1" x14ac:dyDescent="0.25">
      <c r="A1487" s="9"/>
      <c r="B1487" s="10"/>
      <c r="C1487" s="17"/>
      <c r="D1487" s="11"/>
      <c r="E1487" s="31"/>
      <c r="I1487" s="11"/>
      <c r="J1487" s="12"/>
      <c r="K1487" s="12"/>
      <c r="L1487" s="12"/>
    </row>
    <row r="1488" spans="1:12" ht="24" customHeight="1" x14ac:dyDescent="0.25">
      <c r="A1488" s="9"/>
      <c r="B1488" s="10"/>
      <c r="C1488" s="17"/>
      <c r="D1488" s="11"/>
      <c r="E1488" s="31"/>
      <c r="I1488" s="11"/>
      <c r="J1488" s="12"/>
      <c r="K1488" s="12"/>
      <c r="L1488" s="12"/>
    </row>
    <row r="1489" spans="1:12" ht="24" customHeight="1" x14ac:dyDescent="0.25">
      <c r="A1489" s="9"/>
      <c r="B1489" s="10"/>
      <c r="C1489" s="17"/>
      <c r="D1489" s="11"/>
      <c r="E1489" s="31"/>
      <c r="I1489" s="11"/>
      <c r="J1489" s="12"/>
      <c r="K1489" s="12"/>
      <c r="L1489" s="12"/>
    </row>
    <row r="1490" spans="1:12" ht="24" customHeight="1" x14ac:dyDescent="0.25">
      <c r="A1490" s="9"/>
      <c r="B1490" s="10"/>
      <c r="C1490" s="17"/>
      <c r="D1490" s="11"/>
      <c r="E1490" s="31"/>
      <c r="I1490" s="11"/>
      <c r="J1490" s="12"/>
      <c r="K1490" s="12"/>
      <c r="L1490" s="12"/>
    </row>
    <row r="1491" spans="1:12" ht="24" customHeight="1" x14ac:dyDescent="0.25">
      <c r="A1491" s="9"/>
      <c r="B1491" s="10"/>
      <c r="C1491" s="17"/>
      <c r="D1491" s="11"/>
      <c r="E1491" s="31"/>
      <c r="I1491" s="11"/>
      <c r="J1491" s="12"/>
      <c r="K1491" s="12"/>
      <c r="L1491" s="12"/>
    </row>
    <row r="1492" spans="1:12" ht="24" customHeight="1" x14ac:dyDescent="0.25">
      <c r="A1492" s="9"/>
      <c r="B1492" s="10"/>
      <c r="C1492" s="17"/>
      <c r="D1492" s="11"/>
      <c r="E1492" s="31"/>
      <c r="I1492" s="11"/>
      <c r="J1492" s="12"/>
      <c r="K1492" s="12"/>
      <c r="L1492" s="12"/>
    </row>
    <row r="1493" spans="1:12" ht="24" customHeight="1" x14ac:dyDescent="0.25">
      <c r="A1493" s="9"/>
      <c r="B1493" s="10"/>
      <c r="C1493" s="17"/>
      <c r="D1493" s="11"/>
      <c r="E1493" s="31"/>
      <c r="I1493" s="11"/>
      <c r="J1493" s="12"/>
      <c r="K1493" s="12"/>
      <c r="L1493" s="12"/>
    </row>
    <row r="1494" spans="1:12" ht="24" customHeight="1" x14ac:dyDescent="0.25">
      <c r="A1494" s="9"/>
      <c r="B1494" s="10"/>
      <c r="C1494" s="17"/>
      <c r="D1494" s="11"/>
      <c r="E1494" s="31"/>
      <c r="I1494" s="11"/>
      <c r="J1494" s="12"/>
      <c r="K1494" s="12"/>
      <c r="L1494" s="12"/>
    </row>
    <row r="1495" spans="1:12" ht="24" customHeight="1" x14ac:dyDescent="0.25">
      <c r="A1495" s="9"/>
      <c r="B1495" s="10"/>
      <c r="C1495" s="17"/>
      <c r="D1495" s="11"/>
      <c r="E1495" s="31"/>
      <c r="I1495" s="11"/>
      <c r="J1495" s="12"/>
      <c r="K1495" s="12"/>
      <c r="L1495" s="12"/>
    </row>
    <row r="1496" spans="1:12" ht="24" customHeight="1" x14ac:dyDescent="0.25">
      <c r="A1496" s="9"/>
      <c r="B1496" s="10"/>
      <c r="C1496" s="17"/>
      <c r="D1496" s="11"/>
      <c r="E1496" s="31"/>
      <c r="I1496" s="11"/>
      <c r="J1496" s="12"/>
      <c r="K1496" s="12"/>
      <c r="L1496" s="12"/>
    </row>
    <row r="1497" spans="1:12" ht="24" customHeight="1" x14ac:dyDescent="0.25">
      <c r="A1497" s="9"/>
      <c r="B1497" s="10"/>
      <c r="C1497" s="17"/>
      <c r="D1497" s="11"/>
      <c r="E1497" s="31"/>
      <c r="I1497" s="11"/>
      <c r="J1497" s="12"/>
      <c r="K1497" s="12"/>
      <c r="L1497" s="12"/>
    </row>
    <row r="1498" spans="1:12" ht="24" customHeight="1" x14ac:dyDescent="0.25">
      <c r="A1498" s="9"/>
      <c r="B1498" s="10"/>
      <c r="C1498" s="17"/>
      <c r="D1498" s="11"/>
      <c r="E1498" s="31"/>
      <c r="I1498" s="11"/>
      <c r="J1498" s="12"/>
      <c r="K1498" s="12"/>
      <c r="L1498" s="12"/>
    </row>
    <row r="1499" spans="1:12" ht="24" customHeight="1" x14ac:dyDescent="0.25">
      <c r="A1499" s="9"/>
      <c r="B1499" s="10"/>
      <c r="C1499" s="17"/>
      <c r="D1499" s="11"/>
      <c r="E1499" s="31"/>
      <c r="I1499" s="11"/>
      <c r="J1499" s="12"/>
      <c r="K1499" s="12"/>
      <c r="L1499" s="12"/>
    </row>
    <row r="1500" spans="1:12" ht="24" customHeight="1" x14ac:dyDescent="0.25">
      <c r="A1500" s="9"/>
      <c r="B1500" s="10"/>
      <c r="C1500" s="17"/>
      <c r="D1500" s="11"/>
      <c r="E1500" s="31"/>
      <c r="I1500" s="11"/>
      <c r="J1500" s="12"/>
      <c r="K1500" s="12"/>
      <c r="L1500" s="12"/>
    </row>
    <row r="1501" spans="1:12" ht="24" customHeight="1" x14ac:dyDescent="0.25">
      <c r="A1501" s="9"/>
      <c r="B1501" s="10"/>
      <c r="C1501" s="17"/>
      <c r="D1501" s="11"/>
      <c r="E1501" s="31"/>
      <c r="I1501" s="11"/>
      <c r="J1501" s="12"/>
      <c r="K1501" s="12"/>
      <c r="L1501" s="12"/>
    </row>
    <row r="1502" spans="1:12" ht="24" customHeight="1" x14ac:dyDescent="0.25">
      <c r="A1502" s="9"/>
      <c r="D1502" s="11"/>
      <c r="E1502" s="31"/>
      <c r="I1502" s="11"/>
      <c r="J1502" s="12"/>
      <c r="K1502" s="12"/>
      <c r="L1502" s="12"/>
    </row>
    <row r="1503" spans="1:12" ht="24" customHeight="1" x14ac:dyDescent="0.25">
      <c r="A1503" s="9"/>
      <c r="D1503" s="11"/>
      <c r="E1503" s="31"/>
      <c r="I1503" s="11"/>
      <c r="J1503" s="12"/>
      <c r="K1503" s="12"/>
      <c r="L1503" s="12"/>
    </row>
    <row r="1504" spans="1:12" ht="24" customHeight="1" x14ac:dyDescent="0.25">
      <c r="A1504" s="9"/>
      <c r="D1504" s="11"/>
      <c r="E1504" s="31"/>
      <c r="I1504" s="11"/>
      <c r="J1504" s="12"/>
      <c r="K1504" s="12"/>
      <c r="L1504" s="12"/>
    </row>
    <row r="1505" spans="1:12" ht="24" customHeight="1" x14ac:dyDescent="0.25">
      <c r="A1505" s="9"/>
      <c r="D1505" s="11"/>
      <c r="E1505" s="31"/>
      <c r="I1505" s="11"/>
      <c r="J1505" s="12"/>
      <c r="K1505" s="12"/>
      <c r="L1505" s="12"/>
    </row>
    <row r="1506" spans="1:12" ht="24" customHeight="1" x14ac:dyDescent="0.25">
      <c r="A1506" s="9"/>
      <c r="D1506" s="11"/>
      <c r="E1506" s="31"/>
      <c r="I1506" s="11"/>
      <c r="J1506" s="12"/>
      <c r="K1506" s="12"/>
      <c r="L1506" s="12"/>
    </row>
    <row r="1507" spans="1:12" ht="24" customHeight="1" x14ac:dyDescent="0.25">
      <c r="A1507" s="9"/>
      <c r="D1507" s="11"/>
      <c r="E1507" s="31"/>
      <c r="I1507" s="11"/>
      <c r="J1507" s="12"/>
      <c r="K1507" s="12"/>
      <c r="L1507" s="12"/>
    </row>
    <row r="1508" spans="1:12" ht="24" customHeight="1" x14ac:dyDescent="0.25">
      <c r="A1508" s="9"/>
      <c r="D1508" s="11"/>
      <c r="E1508" s="31"/>
      <c r="I1508" s="11"/>
      <c r="J1508" s="12"/>
      <c r="K1508" s="12"/>
      <c r="L1508" s="12"/>
    </row>
    <row r="1509" spans="1:12" ht="24" customHeight="1" x14ac:dyDescent="0.25">
      <c r="A1509" s="9"/>
      <c r="D1509" s="11"/>
      <c r="E1509" s="31"/>
      <c r="I1509" s="11"/>
      <c r="J1509" s="12"/>
      <c r="K1509" s="12"/>
      <c r="L1509" s="12"/>
    </row>
    <row r="1510" spans="1:12" ht="24" customHeight="1" x14ac:dyDescent="0.25">
      <c r="A1510" s="9"/>
      <c r="D1510" s="11"/>
      <c r="E1510" s="31"/>
      <c r="I1510" s="11"/>
      <c r="J1510" s="12"/>
      <c r="K1510" s="12"/>
      <c r="L1510" s="12"/>
    </row>
    <row r="1511" spans="1:12" ht="24" customHeight="1" x14ac:dyDescent="0.25">
      <c r="A1511" s="9"/>
      <c r="D1511" s="11"/>
      <c r="E1511" s="31"/>
      <c r="I1511" s="11"/>
      <c r="J1511" s="12"/>
      <c r="K1511" s="12"/>
      <c r="L1511" s="12"/>
    </row>
    <row r="1512" spans="1:12" ht="24" customHeight="1" x14ac:dyDescent="0.25">
      <c r="A1512" s="9"/>
      <c r="D1512" s="11"/>
      <c r="E1512" s="31"/>
      <c r="I1512" s="11"/>
      <c r="J1512" s="12"/>
      <c r="K1512" s="12"/>
      <c r="L1512" s="12"/>
    </row>
    <row r="1513" spans="1:12" ht="24" customHeight="1" x14ac:dyDescent="0.25">
      <c r="A1513" s="9"/>
      <c r="D1513" s="11"/>
      <c r="E1513" s="31"/>
      <c r="I1513" s="11"/>
      <c r="J1513" s="12"/>
      <c r="K1513" s="12"/>
      <c r="L1513" s="12"/>
    </row>
    <row r="1514" spans="1:12" ht="24" customHeight="1" x14ac:dyDescent="0.25">
      <c r="A1514" s="9"/>
      <c r="D1514" s="11"/>
      <c r="E1514" s="31"/>
      <c r="I1514" s="11"/>
      <c r="J1514" s="12"/>
      <c r="K1514" s="12"/>
      <c r="L1514" s="12"/>
    </row>
    <row r="1515" spans="1:12" ht="24" customHeight="1" x14ac:dyDescent="0.25">
      <c r="A1515" s="9"/>
      <c r="D1515" s="11"/>
      <c r="E1515" s="31"/>
      <c r="I1515" s="11"/>
      <c r="J1515" s="12"/>
      <c r="K1515" s="12"/>
      <c r="L1515" s="12"/>
    </row>
    <row r="1516" spans="1:12" ht="24" customHeight="1" x14ac:dyDescent="0.25">
      <c r="A1516" s="9"/>
      <c r="D1516" s="11"/>
      <c r="E1516" s="31"/>
      <c r="I1516" s="11"/>
      <c r="J1516" s="12"/>
      <c r="K1516" s="12"/>
      <c r="L1516" s="12"/>
    </row>
    <row r="1517" spans="1:12" ht="24" customHeight="1" x14ac:dyDescent="0.25">
      <c r="A1517" s="9"/>
      <c r="D1517" s="11"/>
      <c r="E1517" s="31"/>
      <c r="I1517" s="11"/>
      <c r="J1517" s="12"/>
      <c r="K1517" s="12"/>
      <c r="L1517" s="12"/>
    </row>
    <row r="1518" spans="1:12" ht="24" customHeight="1" x14ac:dyDescent="0.25">
      <c r="A1518" s="9"/>
      <c r="D1518" s="11"/>
      <c r="E1518" s="31"/>
      <c r="I1518" s="11"/>
      <c r="J1518" s="12"/>
      <c r="K1518" s="12"/>
      <c r="L1518" s="12"/>
    </row>
    <row r="1519" spans="1:12" ht="24" customHeight="1" x14ac:dyDescent="0.25">
      <c r="A1519" s="9"/>
      <c r="D1519" s="11"/>
      <c r="E1519" s="31"/>
      <c r="I1519" s="11"/>
      <c r="J1519" s="12"/>
      <c r="K1519" s="12"/>
      <c r="L1519" s="12"/>
    </row>
    <row r="1520" spans="1:12" ht="24" customHeight="1" x14ac:dyDescent="0.25">
      <c r="A1520" s="9"/>
      <c r="D1520" s="11"/>
      <c r="E1520" s="31"/>
      <c r="I1520" s="11"/>
      <c r="J1520" s="12"/>
      <c r="K1520" s="12"/>
      <c r="L1520" s="12"/>
    </row>
    <row r="1521" spans="1:12" ht="24" customHeight="1" x14ac:dyDescent="0.25">
      <c r="A1521" s="9"/>
      <c r="D1521" s="11"/>
      <c r="E1521" s="31"/>
      <c r="I1521" s="11"/>
      <c r="J1521" s="12"/>
      <c r="K1521" s="12"/>
      <c r="L1521" s="12"/>
    </row>
    <row r="1522" spans="1:12" ht="24" customHeight="1" x14ac:dyDescent="0.25">
      <c r="A1522" s="9"/>
      <c r="D1522" s="11"/>
      <c r="E1522" s="31"/>
      <c r="I1522" s="11"/>
      <c r="J1522" s="12"/>
      <c r="K1522" s="12"/>
      <c r="L1522" s="12"/>
    </row>
    <row r="1523" spans="1:12" ht="24" customHeight="1" x14ac:dyDescent="0.25">
      <c r="A1523" s="9"/>
      <c r="D1523" s="11"/>
      <c r="E1523" s="31"/>
      <c r="I1523" s="11"/>
      <c r="J1523" s="12"/>
      <c r="K1523" s="12"/>
      <c r="L1523" s="12"/>
    </row>
    <row r="1524" spans="1:12" ht="24" customHeight="1" x14ac:dyDescent="0.25">
      <c r="A1524" s="9"/>
      <c r="D1524" s="11"/>
      <c r="E1524" s="31"/>
      <c r="I1524" s="11"/>
      <c r="J1524" s="12"/>
      <c r="K1524" s="12"/>
      <c r="L1524" s="12"/>
    </row>
    <row r="1525" spans="1:12" ht="24" customHeight="1" x14ac:dyDescent="0.25">
      <c r="A1525" s="9"/>
      <c r="D1525" s="11"/>
      <c r="E1525" s="31"/>
      <c r="I1525" s="11"/>
      <c r="J1525" s="12"/>
      <c r="K1525" s="12"/>
      <c r="L1525" s="12"/>
    </row>
    <row r="1526" spans="1:12" ht="24" customHeight="1" x14ac:dyDescent="0.25">
      <c r="A1526" s="9"/>
      <c r="D1526" s="11"/>
      <c r="E1526" s="31"/>
      <c r="I1526" s="11"/>
      <c r="J1526" s="12"/>
      <c r="K1526" s="12"/>
      <c r="L1526" s="12"/>
    </row>
    <row r="1527" spans="1:12" ht="24" customHeight="1" x14ac:dyDescent="0.25">
      <c r="A1527" s="9"/>
      <c r="D1527" s="11"/>
      <c r="E1527" s="31"/>
      <c r="I1527" s="11"/>
      <c r="J1527" s="12"/>
      <c r="K1527" s="12"/>
      <c r="L1527" s="12"/>
    </row>
    <row r="1528" spans="1:12" ht="24" customHeight="1" x14ac:dyDescent="0.25">
      <c r="A1528" s="9"/>
      <c r="D1528" s="11"/>
      <c r="E1528" s="31"/>
      <c r="I1528" s="11"/>
      <c r="J1528" s="12"/>
      <c r="K1528" s="12"/>
      <c r="L1528" s="12"/>
    </row>
    <row r="1529" spans="1:12" ht="24" customHeight="1" x14ac:dyDescent="0.25">
      <c r="A1529" s="9"/>
      <c r="D1529" s="11"/>
      <c r="E1529" s="31"/>
      <c r="I1529" s="11"/>
      <c r="J1529" s="12"/>
      <c r="K1529" s="12"/>
      <c r="L1529" s="12"/>
    </row>
    <row r="1530" spans="1:12" ht="24" customHeight="1" x14ac:dyDescent="0.25">
      <c r="A1530" s="9"/>
      <c r="D1530" s="11"/>
      <c r="E1530" s="31"/>
      <c r="I1530" s="11"/>
      <c r="J1530" s="12"/>
      <c r="K1530" s="12"/>
      <c r="L1530" s="12"/>
    </row>
    <row r="1531" spans="1:12" ht="24" customHeight="1" x14ac:dyDescent="0.25">
      <c r="A1531" s="9"/>
      <c r="D1531" s="11"/>
      <c r="E1531" s="31"/>
      <c r="I1531" s="11"/>
      <c r="J1531" s="12"/>
      <c r="K1531" s="12"/>
      <c r="L1531" s="12"/>
    </row>
    <row r="1532" spans="1:12" ht="24" customHeight="1" x14ac:dyDescent="0.25">
      <c r="A1532" s="9"/>
      <c r="D1532" s="11"/>
      <c r="E1532" s="31"/>
      <c r="I1532" s="11"/>
      <c r="J1532" s="12"/>
      <c r="K1532" s="12"/>
      <c r="L1532" s="12"/>
    </row>
    <row r="1533" spans="1:12" ht="24" customHeight="1" x14ac:dyDescent="0.25">
      <c r="A1533" s="9"/>
      <c r="D1533" s="11"/>
      <c r="E1533" s="31"/>
      <c r="I1533" s="11"/>
      <c r="J1533" s="12"/>
      <c r="K1533" s="12"/>
      <c r="L1533" s="12"/>
    </row>
    <row r="1534" spans="1:12" ht="24" customHeight="1" x14ac:dyDescent="0.25">
      <c r="A1534" s="9"/>
      <c r="D1534" s="11"/>
      <c r="E1534" s="31"/>
      <c r="I1534" s="11"/>
      <c r="J1534" s="12"/>
      <c r="K1534" s="12"/>
      <c r="L1534" s="12"/>
    </row>
    <row r="1535" spans="1:12" ht="24" customHeight="1" x14ac:dyDescent="0.25">
      <c r="A1535" s="9"/>
      <c r="D1535" s="11"/>
      <c r="E1535" s="31"/>
      <c r="I1535" s="11"/>
      <c r="J1535" s="12"/>
      <c r="K1535" s="12"/>
      <c r="L1535" s="12"/>
    </row>
    <row r="1536" spans="1:12" ht="24" customHeight="1" x14ac:dyDescent="0.25">
      <c r="A1536" s="9"/>
      <c r="D1536" s="11"/>
      <c r="E1536" s="31"/>
      <c r="I1536" s="11"/>
      <c r="J1536" s="12"/>
      <c r="K1536" s="12"/>
      <c r="L1536" s="12"/>
    </row>
    <row r="1537" spans="1:12" ht="24" customHeight="1" x14ac:dyDescent="0.25">
      <c r="A1537" s="9"/>
      <c r="D1537" s="11"/>
      <c r="E1537" s="31"/>
      <c r="I1537" s="11"/>
      <c r="J1537" s="12"/>
      <c r="K1537" s="12"/>
      <c r="L1537" s="12"/>
    </row>
    <row r="1538" spans="1:12" ht="24" customHeight="1" x14ac:dyDescent="0.25">
      <c r="A1538" s="9"/>
      <c r="D1538" s="11"/>
      <c r="E1538" s="31"/>
      <c r="I1538" s="11"/>
      <c r="J1538" s="12"/>
      <c r="K1538" s="12"/>
      <c r="L1538" s="12"/>
    </row>
    <row r="1539" spans="1:12" ht="24" customHeight="1" x14ac:dyDescent="0.25">
      <c r="A1539" s="9"/>
      <c r="D1539" s="11"/>
      <c r="E1539" s="31"/>
      <c r="I1539" s="11"/>
      <c r="J1539" s="12"/>
      <c r="K1539" s="12"/>
      <c r="L1539" s="12"/>
    </row>
    <row r="1540" spans="1:12" ht="24" customHeight="1" x14ac:dyDescent="0.25">
      <c r="A1540" s="9"/>
      <c r="D1540" s="11"/>
      <c r="E1540" s="31"/>
      <c r="I1540" s="11"/>
      <c r="J1540" s="12"/>
      <c r="K1540" s="12"/>
      <c r="L1540" s="12"/>
    </row>
    <row r="1541" spans="1:12" ht="24" customHeight="1" x14ac:dyDescent="0.25">
      <c r="A1541" s="9"/>
      <c r="D1541" s="11"/>
      <c r="E1541" s="31"/>
      <c r="I1541" s="11"/>
      <c r="J1541" s="12"/>
      <c r="K1541" s="12"/>
      <c r="L1541" s="12"/>
    </row>
    <row r="1542" spans="1:12" ht="24" customHeight="1" x14ac:dyDescent="0.25">
      <c r="A1542" s="9"/>
      <c r="D1542" s="11"/>
      <c r="E1542" s="31"/>
      <c r="I1542" s="11"/>
      <c r="J1542" s="12"/>
      <c r="K1542" s="12"/>
      <c r="L1542" s="12"/>
    </row>
    <row r="1543" spans="1:12" ht="24" customHeight="1" x14ac:dyDescent="0.25">
      <c r="A1543" s="9"/>
      <c r="D1543" s="11"/>
      <c r="E1543" s="31"/>
      <c r="I1543" s="11"/>
      <c r="J1543" s="12"/>
      <c r="K1543" s="12"/>
      <c r="L1543" s="12"/>
    </row>
    <row r="1544" spans="1:12" ht="24" customHeight="1" x14ac:dyDescent="0.25">
      <c r="A1544" s="9"/>
      <c r="D1544" s="11"/>
      <c r="E1544" s="31"/>
      <c r="I1544" s="11"/>
      <c r="J1544" s="12"/>
      <c r="K1544" s="12"/>
      <c r="L1544" s="12"/>
    </row>
    <row r="1545" spans="1:12" ht="24" customHeight="1" x14ac:dyDescent="0.25">
      <c r="A1545" s="9"/>
      <c r="D1545" s="11"/>
      <c r="E1545" s="31"/>
      <c r="I1545" s="11"/>
      <c r="J1545" s="12"/>
      <c r="K1545" s="12"/>
      <c r="L1545" s="12"/>
    </row>
    <row r="1546" spans="1:12" ht="24" customHeight="1" x14ac:dyDescent="0.25">
      <c r="A1546" s="9"/>
      <c r="D1546" s="11"/>
      <c r="E1546" s="31"/>
      <c r="I1546" s="11"/>
      <c r="J1546" s="12"/>
      <c r="K1546" s="12"/>
      <c r="L1546" s="12"/>
    </row>
    <row r="1547" spans="1:12" ht="24" customHeight="1" x14ac:dyDescent="0.25">
      <c r="A1547" s="9"/>
      <c r="D1547" s="11"/>
      <c r="E1547" s="31"/>
      <c r="I1547" s="11"/>
      <c r="J1547" s="12"/>
      <c r="K1547" s="12"/>
      <c r="L1547" s="12"/>
    </row>
    <row r="1548" spans="1:12" ht="24" customHeight="1" x14ac:dyDescent="0.25">
      <c r="A1548" s="9"/>
      <c r="D1548" s="11"/>
      <c r="E1548" s="31"/>
      <c r="I1548" s="11"/>
      <c r="J1548" s="12"/>
      <c r="K1548" s="12"/>
      <c r="L1548" s="12"/>
    </row>
    <row r="1549" spans="1:12" ht="24" customHeight="1" x14ac:dyDescent="0.25">
      <c r="A1549" s="9"/>
      <c r="D1549" s="11"/>
      <c r="E1549" s="31"/>
      <c r="I1549" s="11"/>
      <c r="J1549" s="12"/>
      <c r="K1549" s="12"/>
      <c r="L1549" s="12"/>
    </row>
    <row r="1550" spans="1:12" ht="24" customHeight="1" x14ac:dyDescent="0.25">
      <c r="A1550" s="9"/>
      <c r="D1550" s="11"/>
      <c r="E1550" s="31"/>
      <c r="I1550" s="11"/>
      <c r="J1550" s="12"/>
      <c r="K1550" s="12"/>
      <c r="L1550" s="12"/>
    </row>
    <row r="1551" spans="1:12" ht="24" customHeight="1" x14ac:dyDescent="0.25">
      <c r="A1551" s="9"/>
      <c r="D1551" s="11"/>
      <c r="E1551" s="31"/>
      <c r="I1551" s="11"/>
      <c r="J1551" s="12"/>
      <c r="K1551" s="12"/>
      <c r="L1551" s="12"/>
    </row>
    <row r="1552" spans="1:12" ht="24" customHeight="1" x14ac:dyDescent="0.25">
      <c r="A1552" s="9"/>
      <c r="D1552" s="11"/>
      <c r="E1552" s="31"/>
      <c r="I1552" s="11"/>
      <c r="J1552" s="12"/>
      <c r="K1552" s="12"/>
      <c r="L1552" s="12"/>
    </row>
    <row r="1553" spans="1:12" ht="24" customHeight="1" x14ac:dyDescent="0.25">
      <c r="A1553" s="9"/>
      <c r="D1553" s="11"/>
      <c r="E1553" s="31"/>
      <c r="I1553" s="11"/>
      <c r="J1553" s="12"/>
      <c r="K1553" s="12"/>
      <c r="L1553" s="12"/>
    </row>
    <row r="1554" spans="1:12" ht="24" customHeight="1" x14ac:dyDescent="0.25">
      <c r="A1554" s="9"/>
      <c r="D1554" s="11"/>
      <c r="E1554" s="31"/>
      <c r="I1554" s="11"/>
      <c r="J1554" s="12"/>
      <c r="K1554" s="12"/>
      <c r="L1554" s="12"/>
    </row>
    <row r="1555" spans="1:12" ht="24" customHeight="1" x14ac:dyDescent="0.25">
      <c r="A1555" s="9"/>
      <c r="D1555" s="11"/>
      <c r="E1555" s="31"/>
      <c r="I1555" s="11"/>
      <c r="J1555" s="12"/>
      <c r="K1555" s="12"/>
      <c r="L1555" s="12"/>
    </row>
    <row r="1556" spans="1:12" ht="24" customHeight="1" x14ac:dyDescent="0.25">
      <c r="A1556" s="9"/>
      <c r="D1556" s="11"/>
      <c r="E1556" s="31"/>
      <c r="I1556" s="11"/>
      <c r="J1556" s="12"/>
      <c r="K1556" s="12"/>
      <c r="L1556" s="12"/>
    </row>
    <row r="1557" spans="1:12" ht="24" customHeight="1" x14ac:dyDescent="0.25">
      <c r="A1557" s="9"/>
      <c r="D1557" s="11"/>
      <c r="E1557" s="31"/>
      <c r="I1557" s="11"/>
      <c r="J1557" s="12"/>
      <c r="K1557" s="12"/>
      <c r="L1557" s="12"/>
    </row>
    <row r="1558" spans="1:12" ht="24" customHeight="1" x14ac:dyDescent="0.25">
      <c r="A1558" s="9"/>
      <c r="D1558" s="11"/>
      <c r="E1558" s="31"/>
      <c r="I1558" s="11"/>
      <c r="J1558" s="12"/>
      <c r="K1558" s="12"/>
      <c r="L1558" s="12"/>
    </row>
    <row r="1559" spans="1:12" ht="24" customHeight="1" x14ac:dyDescent="0.25">
      <c r="A1559" s="9"/>
      <c r="D1559" s="11"/>
      <c r="E1559" s="31"/>
      <c r="I1559" s="11"/>
      <c r="J1559" s="12"/>
      <c r="K1559" s="12"/>
      <c r="L1559" s="12"/>
    </row>
    <row r="1560" spans="1:12" ht="24" customHeight="1" x14ac:dyDescent="0.25">
      <c r="A1560" s="9"/>
      <c r="D1560" s="11"/>
      <c r="E1560" s="31"/>
      <c r="I1560" s="11"/>
      <c r="J1560" s="12"/>
      <c r="K1560" s="12"/>
      <c r="L1560" s="12"/>
    </row>
    <row r="1561" spans="1:12" ht="24" customHeight="1" x14ac:dyDescent="0.25">
      <c r="A1561" s="9"/>
      <c r="D1561" s="11"/>
      <c r="E1561" s="31"/>
      <c r="I1561" s="11"/>
      <c r="J1561" s="12"/>
      <c r="K1561" s="12"/>
      <c r="L1561" s="12"/>
    </row>
    <row r="1562" spans="1:12" ht="24" customHeight="1" x14ac:dyDescent="0.25">
      <c r="A1562" s="9"/>
      <c r="D1562" s="11"/>
      <c r="E1562" s="31"/>
      <c r="I1562" s="11"/>
      <c r="J1562" s="12"/>
      <c r="K1562" s="12"/>
      <c r="L1562" s="12"/>
    </row>
    <row r="1563" spans="1:12" ht="24" customHeight="1" x14ac:dyDescent="0.25">
      <c r="A1563" s="9"/>
      <c r="D1563" s="11"/>
      <c r="E1563" s="31"/>
      <c r="I1563" s="11"/>
      <c r="J1563" s="12"/>
      <c r="K1563" s="12"/>
      <c r="L1563" s="12"/>
    </row>
    <row r="1564" spans="1:12" ht="24" customHeight="1" x14ac:dyDescent="0.25">
      <c r="A1564" s="9"/>
      <c r="D1564" s="11"/>
      <c r="E1564" s="31"/>
      <c r="I1564" s="11"/>
      <c r="J1564" s="12"/>
      <c r="K1564" s="12"/>
      <c r="L1564" s="12"/>
    </row>
    <row r="1565" spans="1:12" ht="24" customHeight="1" x14ac:dyDescent="0.25">
      <c r="A1565" s="9"/>
      <c r="D1565" s="11"/>
      <c r="E1565" s="31"/>
      <c r="I1565" s="11"/>
      <c r="J1565" s="12"/>
      <c r="K1565" s="12"/>
      <c r="L1565" s="12"/>
    </row>
    <row r="1566" spans="1:12" ht="24" customHeight="1" x14ac:dyDescent="0.25">
      <c r="A1566" s="9"/>
      <c r="D1566" s="11"/>
      <c r="E1566" s="31"/>
      <c r="I1566" s="11"/>
      <c r="J1566" s="12"/>
      <c r="K1566" s="12"/>
      <c r="L1566" s="12"/>
    </row>
    <row r="1567" spans="1:12" ht="24" customHeight="1" x14ac:dyDescent="0.25">
      <c r="A1567" s="9"/>
      <c r="D1567" s="11"/>
      <c r="E1567" s="31"/>
      <c r="I1567" s="11"/>
      <c r="J1567" s="12"/>
      <c r="K1567" s="12"/>
      <c r="L1567" s="12"/>
    </row>
    <row r="1568" spans="1:12" ht="24" customHeight="1" x14ac:dyDescent="0.25">
      <c r="A1568" s="9"/>
      <c r="D1568" s="11"/>
      <c r="E1568" s="31"/>
      <c r="I1568" s="11"/>
      <c r="J1568" s="12"/>
      <c r="K1568" s="12"/>
      <c r="L1568" s="12"/>
    </row>
    <row r="1569" spans="1:12" ht="24" customHeight="1" x14ac:dyDescent="0.25">
      <c r="A1569" s="9"/>
      <c r="D1569" s="11"/>
      <c r="E1569" s="31"/>
      <c r="I1569" s="11"/>
      <c r="J1569" s="12"/>
      <c r="K1569" s="12"/>
      <c r="L1569" s="12"/>
    </row>
    <row r="1570" spans="1:12" ht="24" customHeight="1" x14ac:dyDescent="0.25">
      <c r="A1570" s="9"/>
      <c r="D1570" s="11"/>
      <c r="E1570" s="31"/>
      <c r="I1570" s="11"/>
      <c r="J1570" s="12"/>
      <c r="K1570" s="12"/>
      <c r="L1570" s="12"/>
    </row>
    <row r="1571" spans="1:12" ht="24" customHeight="1" x14ac:dyDescent="0.25">
      <c r="A1571" s="9"/>
      <c r="D1571" s="11"/>
      <c r="E1571" s="31"/>
      <c r="I1571" s="11"/>
      <c r="J1571" s="12"/>
      <c r="K1571" s="12"/>
      <c r="L1571" s="12"/>
    </row>
    <row r="1572" spans="1:12" ht="24" customHeight="1" x14ac:dyDescent="0.25">
      <c r="A1572" s="9"/>
      <c r="D1572" s="11"/>
      <c r="E1572" s="31"/>
      <c r="I1572" s="11"/>
      <c r="J1572" s="12"/>
      <c r="K1572" s="12"/>
      <c r="L1572" s="12"/>
    </row>
    <row r="1573" spans="1:12" ht="24" customHeight="1" x14ac:dyDescent="0.25">
      <c r="A1573" s="9"/>
      <c r="D1573" s="11"/>
      <c r="E1573" s="31"/>
      <c r="I1573" s="11"/>
      <c r="J1573" s="12"/>
      <c r="K1573" s="12"/>
      <c r="L1573" s="12"/>
    </row>
    <row r="1574" spans="1:12" ht="24" customHeight="1" x14ac:dyDescent="0.25">
      <c r="A1574" s="9"/>
      <c r="D1574" s="11"/>
      <c r="E1574" s="31"/>
      <c r="I1574" s="11"/>
      <c r="J1574" s="12"/>
      <c r="K1574" s="12"/>
      <c r="L1574" s="12"/>
    </row>
    <row r="1575" spans="1:12" ht="24" customHeight="1" x14ac:dyDescent="0.25">
      <c r="A1575" s="9"/>
      <c r="D1575" s="11"/>
      <c r="E1575" s="31"/>
      <c r="I1575" s="11"/>
      <c r="J1575" s="12"/>
      <c r="K1575" s="12"/>
      <c r="L1575" s="12"/>
    </row>
    <row r="1576" spans="1:12" ht="24" customHeight="1" x14ac:dyDescent="0.25">
      <c r="A1576" s="9"/>
      <c r="D1576" s="11"/>
      <c r="E1576" s="31"/>
      <c r="I1576" s="11"/>
      <c r="J1576" s="12"/>
      <c r="K1576" s="12"/>
      <c r="L1576" s="12"/>
    </row>
    <row r="1577" spans="1:12" ht="24" customHeight="1" x14ac:dyDescent="0.25">
      <c r="A1577" s="9"/>
      <c r="D1577" s="11"/>
      <c r="E1577" s="31"/>
      <c r="I1577" s="11"/>
      <c r="J1577" s="12"/>
      <c r="K1577" s="12"/>
      <c r="L1577" s="12"/>
    </row>
    <row r="1578" spans="1:12" ht="24" customHeight="1" x14ac:dyDescent="0.25">
      <c r="A1578" s="9"/>
      <c r="D1578" s="11"/>
      <c r="E1578" s="31"/>
      <c r="I1578" s="11"/>
      <c r="J1578" s="12"/>
      <c r="K1578" s="12"/>
      <c r="L1578" s="12"/>
    </row>
    <row r="1579" spans="1:12" ht="24" customHeight="1" x14ac:dyDescent="0.25">
      <c r="A1579" s="9"/>
      <c r="D1579" s="11"/>
      <c r="E1579" s="31"/>
      <c r="I1579" s="11"/>
      <c r="J1579" s="12"/>
      <c r="K1579" s="12"/>
      <c r="L1579" s="12"/>
    </row>
    <row r="1580" spans="1:12" ht="24" customHeight="1" x14ac:dyDescent="0.25">
      <c r="A1580" s="9"/>
      <c r="D1580" s="11"/>
      <c r="E1580" s="31"/>
      <c r="I1580" s="11"/>
      <c r="J1580" s="12"/>
      <c r="K1580" s="12"/>
      <c r="L1580" s="12"/>
    </row>
    <row r="1581" spans="1:12" ht="24" customHeight="1" x14ac:dyDescent="0.25">
      <c r="A1581" s="9"/>
      <c r="D1581" s="11"/>
      <c r="E1581" s="31"/>
      <c r="I1581" s="11"/>
      <c r="J1581" s="12"/>
      <c r="K1581" s="12"/>
      <c r="L1581" s="12"/>
    </row>
    <row r="1582" spans="1:12" ht="24" customHeight="1" x14ac:dyDescent="0.25">
      <c r="A1582" s="9"/>
      <c r="D1582" s="11"/>
      <c r="E1582" s="31"/>
      <c r="I1582" s="11"/>
      <c r="J1582" s="12"/>
      <c r="K1582" s="12"/>
      <c r="L1582" s="12"/>
    </row>
    <row r="1583" spans="1:12" ht="24" customHeight="1" x14ac:dyDescent="0.25">
      <c r="A1583" s="9"/>
      <c r="D1583" s="11"/>
      <c r="E1583" s="31"/>
      <c r="I1583" s="11"/>
      <c r="J1583" s="12"/>
      <c r="K1583" s="12"/>
      <c r="L1583" s="12"/>
    </row>
    <row r="1584" spans="1:12" ht="24" customHeight="1" x14ac:dyDescent="0.25">
      <c r="A1584" s="9"/>
      <c r="D1584" s="11"/>
      <c r="E1584" s="31"/>
      <c r="I1584" s="11"/>
      <c r="J1584" s="12"/>
      <c r="K1584" s="12"/>
      <c r="L1584" s="12"/>
    </row>
    <row r="1585" spans="1:12" ht="24" customHeight="1" x14ac:dyDescent="0.25">
      <c r="A1585" s="9"/>
      <c r="D1585" s="11"/>
      <c r="E1585" s="31"/>
      <c r="I1585" s="11"/>
      <c r="J1585" s="12"/>
      <c r="K1585" s="12"/>
      <c r="L1585" s="12"/>
    </row>
    <row r="1586" spans="1:12" ht="24" customHeight="1" x14ac:dyDescent="0.25">
      <c r="A1586" s="9"/>
      <c r="D1586" s="11"/>
      <c r="E1586" s="31"/>
      <c r="I1586" s="11"/>
      <c r="J1586" s="12"/>
      <c r="K1586" s="12"/>
      <c r="L1586" s="12"/>
    </row>
    <row r="1587" spans="1:12" ht="24" customHeight="1" x14ac:dyDescent="0.25">
      <c r="A1587" s="9"/>
      <c r="D1587" s="11"/>
      <c r="E1587" s="31"/>
      <c r="I1587" s="11"/>
      <c r="J1587" s="12"/>
      <c r="K1587" s="12"/>
      <c r="L1587" s="12"/>
    </row>
    <row r="1588" spans="1:12" ht="24" customHeight="1" x14ac:dyDescent="0.25">
      <c r="A1588" s="9"/>
      <c r="D1588" s="11"/>
      <c r="E1588" s="31"/>
      <c r="I1588" s="11"/>
      <c r="J1588" s="12"/>
      <c r="K1588" s="12"/>
      <c r="L1588" s="12"/>
    </row>
    <row r="1589" spans="1:12" ht="24" customHeight="1" x14ac:dyDescent="0.25">
      <c r="A1589" s="9"/>
      <c r="D1589" s="11"/>
      <c r="E1589" s="31"/>
      <c r="I1589" s="11"/>
      <c r="J1589" s="12"/>
      <c r="K1589" s="12"/>
      <c r="L1589" s="12"/>
    </row>
    <row r="1590" spans="1:12" ht="24" customHeight="1" x14ac:dyDescent="0.25">
      <c r="A1590" s="9"/>
      <c r="D1590" s="11"/>
      <c r="E1590" s="31"/>
      <c r="I1590" s="11"/>
      <c r="J1590" s="12"/>
      <c r="K1590" s="12"/>
      <c r="L1590" s="12"/>
    </row>
    <row r="1591" spans="1:12" ht="24" customHeight="1" x14ac:dyDescent="0.25">
      <c r="A1591" s="9"/>
      <c r="D1591" s="11"/>
      <c r="E1591" s="31"/>
      <c r="I1591" s="11"/>
      <c r="J1591" s="12"/>
      <c r="K1591" s="12"/>
      <c r="L1591" s="12"/>
    </row>
    <row r="1592" spans="1:12" ht="24" customHeight="1" x14ac:dyDescent="0.25">
      <c r="A1592" s="9"/>
      <c r="D1592" s="11"/>
      <c r="E1592" s="31"/>
      <c r="I1592" s="11"/>
      <c r="J1592" s="12"/>
      <c r="K1592" s="12"/>
      <c r="L1592" s="12"/>
    </row>
    <row r="1593" spans="1:12" ht="24" customHeight="1" x14ac:dyDescent="0.25">
      <c r="A1593" s="9"/>
      <c r="D1593" s="11"/>
      <c r="E1593" s="31"/>
      <c r="I1593" s="11"/>
      <c r="J1593" s="12"/>
      <c r="K1593" s="12"/>
      <c r="L1593" s="12"/>
    </row>
    <row r="1594" spans="1:12" ht="24" customHeight="1" x14ac:dyDescent="0.25">
      <c r="A1594" s="9"/>
      <c r="D1594" s="11"/>
      <c r="E1594" s="31"/>
      <c r="I1594" s="11"/>
      <c r="J1594" s="12"/>
      <c r="K1594" s="12"/>
      <c r="L1594" s="12"/>
    </row>
    <row r="1595" spans="1:12" ht="24" customHeight="1" x14ac:dyDescent="0.25">
      <c r="A1595" s="9"/>
      <c r="D1595" s="11"/>
      <c r="E1595" s="31"/>
      <c r="I1595" s="11"/>
      <c r="J1595" s="12"/>
      <c r="K1595" s="12"/>
      <c r="L1595" s="12"/>
    </row>
    <row r="1596" spans="1:12" ht="24" customHeight="1" x14ac:dyDescent="0.25">
      <c r="A1596" s="9"/>
      <c r="D1596" s="11"/>
      <c r="E1596" s="31"/>
      <c r="I1596" s="11"/>
      <c r="J1596" s="12"/>
      <c r="K1596" s="12"/>
      <c r="L1596" s="12"/>
    </row>
    <row r="1597" spans="1:12" ht="24" customHeight="1" x14ac:dyDescent="0.25">
      <c r="A1597" s="9"/>
      <c r="D1597" s="11"/>
      <c r="E1597" s="31"/>
      <c r="I1597" s="11"/>
      <c r="J1597" s="12"/>
      <c r="K1597" s="12"/>
      <c r="L1597" s="12"/>
    </row>
    <row r="1598" spans="1:12" ht="24" customHeight="1" x14ac:dyDescent="0.25">
      <c r="A1598" s="9"/>
      <c r="D1598" s="11"/>
      <c r="E1598" s="31"/>
      <c r="I1598" s="11"/>
      <c r="J1598" s="12"/>
      <c r="K1598" s="12"/>
      <c r="L1598" s="12"/>
    </row>
    <row r="1599" spans="1:12" ht="24" customHeight="1" x14ac:dyDescent="0.25">
      <c r="A1599" s="9"/>
      <c r="D1599" s="11"/>
      <c r="E1599" s="31"/>
      <c r="I1599" s="11"/>
      <c r="J1599" s="12"/>
      <c r="K1599" s="12"/>
      <c r="L1599" s="12"/>
    </row>
    <row r="1600" spans="1:12" ht="24" customHeight="1" x14ac:dyDescent="0.25">
      <c r="A1600" s="9"/>
      <c r="D1600" s="11"/>
      <c r="E1600" s="31"/>
      <c r="I1600" s="11"/>
      <c r="J1600" s="12"/>
      <c r="K1600" s="12"/>
      <c r="L1600" s="12"/>
    </row>
    <row r="1601" spans="1:12" ht="24" customHeight="1" x14ac:dyDescent="0.25">
      <c r="A1601" s="9"/>
      <c r="D1601" s="11"/>
      <c r="E1601" s="31"/>
      <c r="I1601" s="11"/>
      <c r="J1601" s="12"/>
      <c r="K1601" s="12"/>
      <c r="L1601" s="12"/>
    </row>
    <row r="1602" spans="1:12" ht="24" customHeight="1" x14ac:dyDescent="0.25">
      <c r="A1602" s="9"/>
      <c r="D1602" s="11"/>
      <c r="E1602" s="31"/>
      <c r="I1602" s="11"/>
      <c r="J1602" s="12"/>
      <c r="K1602" s="12"/>
      <c r="L1602" s="12"/>
    </row>
    <row r="1603" spans="1:12" ht="24" customHeight="1" x14ac:dyDescent="0.25">
      <c r="A1603" s="9"/>
      <c r="D1603" s="11"/>
      <c r="E1603" s="31"/>
      <c r="I1603" s="11"/>
      <c r="J1603" s="12"/>
      <c r="K1603" s="12"/>
      <c r="L1603" s="12"/>
    </row>
    <row r="1604" spans="1:12" ht="24" customHeight="1" x14ac:dyDescent="0.25">
      <c r="A1604" s="9"/>
      <c r="D1604" s="11"/>
      <c r="E1604" s="31"/>
      <c r="I1604" s="11"/>
      <c r="J1604" s="12"/>
      <c r="K1604" s="12"/>
      <c r="L1604" s="12"/>
    </row>
  </sheetData>
  <autoFilter ref="A1:L1384" xr:uid="{00000000-0009-0000-0000-000000000000}">
    <filterColumn colId="3" showButton="0"/>
    <filterColumn colId="9" showButton="0"/>
    <filterColumn colId="10" showButton="0"/>
    <sortState ref="A6:L1384">
      <sortCondition ref="A1:A1384"/>
    </sortState>
  </autoFilter>
  <sortState ref="A4:L1458">
    <sortCondition ref="B4:B1458"/>
    <sortCondition ref="A4:A1458"/>
  </sortState>
  <mergeCells count="9">
    <mergeCell ref="G1:G3"/>
    <mergeCell ref="H1:H3"/>
    <mergeCell ref="D1:E2"/>
    <mergeCell ref="I1:I3"/>
    <mergeCell ref="F1:F3"/>
    <mergeCell ref="J1:L2"/>
    <mergeCell ref="C1:C3"/>
    <mergeCell ref="A1:A3"/>
    <mergeCell ref="B1:B3"/>
  </mergeCells>
  <conditionalFormatting sqref="J4:K1604">
    <cfRule type="cellIs" dxfId="8" priority="33" operator="greaterThanOrEqual">
      <formula>0.6</formula>
    </cfRule>
    <cfRule type="cellIs" dxfId="7" priority="34" operator="between">
      <formula>0.58</formula>
      <formula>0.6</formula>
    </cfRule>
    <cfRule type="cellIs" dxfId="6" priority="35" operator="lessThan">
      <formula>0.58</formula>
    </cfRule>
  </conditionalFormatting>
  <conditionalFormatting sqref="L4:L1604">
    <cfRule type="cellIs" dxfId="5" priority="7" operator="greaterThan">
      <formula>3%</formula>
    </cfRule>
  </conditionalFormatting>
  <pageMargins left="0.25" right="0.25" top="0.75" bottom="0.75" header="0.3" footer="0.3"/>
  <pageSetup paperSize="8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09D6F-E781-4294-A4A0-927AB1794119}">
  <dimension ref="A1:I1603"/>
  <sheetViews>
    <sheetView workbookViewId="0">
      <selection activeCell="N29" sqref="N29"/>
    </sheetView>
  </sheetViews>
  <sheetFormatPr baseColWidth="10" defaultRowHeight="15" x14ac:dyDescent="0.25"/>
  <cols>
    <col min="1" max="1" width="20.85546875" style="2" bestFit="1" customWidth="1"/>
    <col min="2" max="2" width="11.28515625" bestFit="1" customWidth="1"/>
    <col min="3" max="3" width="20.42578125" style="3" bestFit="1" customWidth="1"/>
    <col min="4" max="4" width="16.5703125" style="26" customWidth="1"/>
    <col min="5" max="5" width="12.140625" style="26" bestFit="1" customWidth="1"/>
    <col min="6" max="6" width="15.5703125" bestFit="1" customWidth="1"/>
    <col min="7" max="7" width="14.42578125" bestFit="1" customWidth="1"/>
    <col min="8" max="9" width="12.28515625" bestFit="1" customWidth="1"/>
  </cols>
  <sheetData>
    <row r="1" spans="1:9" x14ac:dyDescent="0.25">
      <c r="A1" s="2" t="s">
        <v>428</v>
      </c>
      <c r="B1" s="4" t="s">
        <v>0</v>
      </c>
      <c r="C1" s="3" t="s">
        <v>4</v>
      </c>
      <c r="D1" s="26" t="s">
        <v>526</v>
      </c>
      <c r="E1" s="26" t="s">
        <v>525</v>
      </c>
      <c r="F1" s="32" t="s">
        <v>530</v>
      </c>
      <c r="G1" s="4" t="s">
        <v>528</v>
      </c>
      <c r="H1" s="4" t="s">
        <v>527</v>
      </c>
      <c r="I1" s="4" t="s">
        <v>529</v>
      </c>
    </row>
    <row r="2" spans="1:9" x14ac:dyDescent="0.25">
      <c r="A2" s="2">
        <v>43103</v>
      </c>
      <c r="B2" s="4" t="s">
        <v>230</v>
      </c>
      <c r="C2" s="3">
        <v>5898</v>
      </c>
      <c r="D2" s="26">
        <v>0.49230000000000002</v>
      </c>
      <c r="E2" s="26">
        <v>0.54956666666666665</v>
      </c>
      <c r="F2" s="4">
        <v>1.57</v>
      </c>
      <c r="G2" s="4">
        <v>0.68643312101910836</v>
      </c>
      <c r="H2" s="4">
        <v>0.6499575371549895</v>
      </c>
      <c r="I2" s="4">
        <v>3.6475583864118866E-2</v>
      </c>
    </row>
    <row r="3" spans="1:9" x14ac:dyDescent="0.25">
      <c r="A3" s="2">
        <v>43103</v>
      </c>
      <c r="B3" s="4" t="s">
        <v>440</v>
      </c>
      <c r="C3" s="3">
        <v>3500</v>
      </c>
      <c r="D3" s="26">
        <v>0.58772000000000002</v>
      </c>
      <c r="E3" s="26">
        <v>0.61970000000000003</v>
      </c>
      <c r="F3" s="4">
        <v>1.4850000000000001</v>
      </c>
      <c r="G3" s="4">
        <v>0.60422895622895623</v>
      </c>
      <c r="H3" s="4">
        <v>0.58269360269360271</v>
      </c>
      <c r="I3" s="4">
        <v>2.1535353535353519E-2</v>
      </c>
    </row>
    <row r="4" spans="1:9" x14ac:dyDescent="0.25">
      <c r="A4" s="2">
        <v>43105</v>
      </c>
      <c r="B4" s="4" t="s">
        <v>214</v>
      </c>
      <c r="C4" s="3">
        <v>5640</v>
      </c>
      <c r="D4" s="26">
        <v>0.63339999999999996</v>
      </c>
      <c r="E4" s="26">
        <v>0.76885833333333331</v>
      </c>
      <c r="F4" s="4">
        <v>2.008</v>
      </c>
      <c r="G4" s="4">
        <v>0.68456175298804778</v>
      </c>
      <c r="H4" s="4">
        <v>0.61710242363877832</v>
      </c>
      <c r="I4" s="4">
        <v>6.7459329349269459E-2</v>
      </c>
    </row>
    <row r="5" spans="1:9" x14ac:dyDescent="0.25">
      <c r="A5" s="2">
        <v>43105</v>
      </c>
      <c r="B5" s="4" t="s">
        <v>440</v>
      </c>
      <c r="C5" s="3">
        <v>11380</v>
      </c>
      <c r="D5" s="26">
        <v>0.58772000000000002</v>
      </c>
      <c r="E5" s="26">
        <v>0.58809999999999996</v>
      </c>
      <c r="F5" s="18">
        <v>1.4850000000000001</v>
      </c>
      <c r="G5" s="18">
        <v>0.60422895622895623</v>
      </c>
      <c r="H5" s="18">
        <v>0.60397306397306405</v>
      </c>
      <c r="I5" s="18">
        <v>2.5589225589217612E-4</v>
      </c>
    </row>
    <row r="6" spans="1:9" x14ac:dyDescent="0.25">
      <c r="A6" s="2">
        <v>43105</v>
      </c>
      <c r="B6" s="4" t="s">
        <v>441</v>
      </c>
      <c r="C6" s="3">
        <v>8316</v>
      </c>
      <c r="D6" s="26">
        <v>0.51390000000000002</v>
      </c>
      <c r="E6" s="26">
        <v>0.61439999999999995</v>
      </c>
      <c r="F6" s="18">
        <v>1.349</v>
      </c>
      <c r="G6" s="18">
        <v>0.61905114899925873</v>
      </c>
      <c r="H6" s="18">
        <v>0.54455151964418091</v>
      </c>
      <c r="I6" s="18">
        <v>7.4499629355077812E-2</v>
      </c>
    </row>
    <row r="7" spans="1:9" x14ac:dyDescent="0.25">
      <c r="A7" s="2">
        <v>43108</v>
      </c>
      <c r="B7" s="4" t="s">
        <v>27</v>
      </c>
      <c r="C7" s="3">
        <v>1176</v>
      </c>
      <c r="D7" s="26">
        <v>2.0328999999999997</v>
      </c>
      <c r="E7" s="26">
        <v>2.3262833333333335</v>
      </c>
      <c r="F7" s="18">
        <v>6.4640000000000004</v>
      </c>
      <c r="G7" s="18">
        <v>0.68550433168316838</v>
      </c>
      <c r="H7" s="18">
        <v>0.6401170585808581</v>
      </c>
      <c r="I7" s="18">
        <v>4.5387273102310277E-2</v>
      </c>
    </row>
    <row r="8" spans="1:9" x14ac:dyDescent="0.25">
      <c r="A8" s="2">
        <v>43108</v>
      </c>
      <c r="B8" s="4" t="s">
        <v>90</v>
      </c>
      <c r="C8" s="3">
        <v>6504</v>
      </c>
      <c r="D8" s="26">
        <v>0.69869999999999999</v>
      </c>
      <c r="E8" s="26">
        <v>0.64795000000000003</v>
      </c>
      <c r="F8" s="18">
        <v>1.68</v>
      </c>
      <c r="G8" s="18">
        <v>0.58410714285714282</v>
      </c>
      <c r="H8" s="18">
        <v>0.61431547619047611</v>
      </c>
      <c r="I8" s="18">
        <v>-3.0208333333333282E-2</v>
      </c>
    </row>
    <row r="9" spans="1:9" x14ac:dyDescent="0.25">
      <c r="A9" s="2">
        <v>43108</v>
      </c>
      <c r="B9" s="4" t="s">
        <v>101</v>
      </c>
      <c r="C9" s="3">
        <v>37584</v>
      </c>
      <c r="D9" s="26">
        <v>0.74429999999999996</v>
      </c>
      <c r="E9" s="26">
        <v>0.69720000000000004</v>
      </c>
      <c r="F9" s="18">
        <v>1.821</v>
      </c>
      <c r="G9" s="18">
        <v>0.59126853377265232</v>
      </c>
      <c r="H9" s="18">
        <v>0.61713344316309715</v>
      </c>
      <c r="I9" s="18">
        <v>-2.5864909390444835E-2</v>
      </c>
    </row>
    <row r="10" spans="1:9" x14ac:dyDescent="0.25">
      <c r="A10" s="2">
        <v>43108</v>
      </c>
      <c r="B10" s="4" t="s">
        <v>172</v>
      </c>
      <c r="C10" s="3">
        <v>2024</v>
      </c>
      <c r="D10" s="26">
        <v>2.229975</v>
      </c>
      <c r="E10" s="26">
        <v>2.9331999999999998</v>
      </c>
      <c r="F10" s="18">
        <v>6.32</v>
      </c>
      <c r="G10" s="18">
        <v>0.64715585443037982</v>
      </c>
      <c r="H10" s="18">
        <v>0.5358860759493671</v>
      </c>
      <c r="I10" s="18">
        <v>0.11126977848101272</v>
      </c>
    </row>
    <row r="11" spans="1:9" x14ac:dyDescent="0.25">
      <c r="A11" s="2">
        <v>43108</v>
      </c>
      <c r="B11" s="4" t="s">
        <v>230</v>
      </c>
      <c r="C11" s="3">
        <v>18936</v>
      </c>
      <c r="D11" s="26">
        <v>0.49230000000000002</v>
      </c>
      <c r="E11" s="26">
        <v>0.60206666666666664</v>
      </c>
      <c r="F11" s="18">
        <v>1.57</v>
      </c>
      <c r="G11" s="18">
        <v>0.68643312101910836</v>
      </c>
      <c r="H11" s="18">
        <v>0.61651804670912957</v>
      </c>
      <c r="I11" s="18">
        <v>6.9915074309978786E-2</v>
      </c>
    </row>
    <row r="12" spans="1:9" x14ac:dyDescent="0.25">
      <c r="A12" s="2">
        <v>43108</v>
      </c>
      <c r="B12" s="4" t="s">
        <v>214</v>
      </c>
      <c r="C12" s="3">
        <v>14160</v>
      </c>
      <c r="D12" s="26">
        <v>0.63339999999999996</v>
      </c>
      <c r="E12" s="26">
        <v>0.66376666666666673</v>
      </c>
      <c r="F12" s="18">
        <v>2.008</v>
      </c>
      <c r="G12" s="18">
        <v>0.68456175298804778</v>
      </c>
      <c r="H12" s="18">
        <v>0.66943891102257636</v>
      </c>
      <c r="I12" s="18">
        <v>1.5122841965471425E-2</v>
      </c>
    </row>
    <row r="13" spans="1:9" x14ac:dyDescent="0.25">
      <c r="A13" s="2">
        <v>43108</v>
      </c>
      <c r="B13" s="4" t="s">
        <v>440</v>
      </c>
      <c r="C13" s="3">
        <v>9970</v>
      </c>
      <c r="D13" s="26">
        <v>0.58772000000000002</v>
      </c>
      <c r="E13" s="26">
        <v>0.57179999999999997</v>
      </c>
      <c r="F13" s="18">
        <v>1.4850000000000001</v>
      </c>
      <c r="G13" s="18">
        <v>0.60422895622895623</v>
      </c>
      <c r="H13" s="18">
        <v>0.61494949494949502</v>
      </c>
      <c r="I13" s="18">
        <v>-1.0720538720538795E-2</v>
      </c>
    </row>
    <row r="14" spans="1:9" x14ac:dyDescent="0.25">
      <c r="A14" s="2">
        <v>43108</v>
      </c>
      <c r="B14" s="4" t="s">
        <v>441</v>
      </c>
      <c r="C14" s="3">
        <v>7692</v>
      </c>
      <c r="D14" s="26">
        <v>0.51390000000000002</v>
      </c>
      <c r="E14" s="26">
        <v>0.63370000000000004</v>
      </c>
      <c r="F14" s="18">
        <v>1.349</v>
      </c>
      <c r="G14" s="18">
        <v>0.61905114899925873</v>
      </c>
      <c r="H14" s="18">
        <v>0.53024462564862862</v>
      </c>
      <c r="I14" s="18">
        <v>8.8806523350630107E-2</v>
      </c>
    </row>
    <row r="15" spans="1:9" x14ac:dyDescent="0.25">
      <c r="A15" s="2">
        <v>43109</v>
      </c>
      <c r="B15" s="4" t="s">
        <v>99</v>
      </c>
      <c r="C15" s="3">
        <v>14574</v>
      </c>
      <c r="D15" s="26">
        <v>2.6633000000000004</v>
      </c>
      <c r="E15" s="26">
        <v>2.6326999999999998</v>
      </c>
      <c r="F15" s="18">
        <v>5.3490000000000002</v>
      </c>
      <c r="G15" s="18">
        <v>0.50209384931762935</v>
      </c>
      <c r="H15" s="18">
        <v>0.50781454477472432</v>
      </c>
      <c r="I15" s="18">
        <v>-5.7206954570949708E-3</v>
      </c>
    </row>
    <row r="16" spans="1:9" x14ac:dyDescent="0.25">
      <c r="A16" s="2">
        <v>43109</v>
      </c>
      <c r="B16" s="4" t="s">
        <v>103</v>
      </c>
      <c r="C16" s="3">
        <v>3258</v>
      </c>
      <c r="D16" s="26">
        <v>1.4773500000000002</v>
      </c>
      <c r="E16" s="26">
        <v>1.7692000000000001</v>
      </c>
      <c r="F16" s="18">
        <v>4.8170000000000002</v>
      </c>
      <c r="G16" s="18">
        <v>0.69330496159435329</v>
      </c>
      <c r="H16" s="18">
        <v>0.63271745899937715</v>
      </c>
      <c r="I16" s="18">
        <v>6.0587502594976139E-2</v>
      </c>
    </row>
    <row r="17" spans="1:9" x14ac:dyDescent="0.25">
      <c r="A17" s="2">
        <v>43109</v>
      </c>
      <c r="B17" s="4" t="s">
        <v>152</v>
      </c>
      <c r="C17" s="3">
        <v>8100</v>
      </c>
      <c r="D17" s="26">
        <v>0.48133333333333334</v>
      </c>
      <c r="E17" s="26">
        <v>0.5998</v>
      </c>
      <c r="F17" s="18">
        <v>1.621</v>
      </c>
      <c r="G17" s="18">
        <v>0.70306395229282337</v>
      </c>
      <c r="H17" s="18">
        <v>0.62998149290561378</v>
      </c>
      <c r="I17" s="18">
        <v>7.3082459387209586E-2</v>
      </c>
    </row>
    <row r="18" spans="1:9" x14ac:dyDescent="0.25">
      <c r="A18" s="2">
        <v>43109</v>
      </c>
      <c r="B18" s="4" t="s">
        <v>153</v>
      </c>
      <c r="C18" s="3">
        <v>8256</v>
      </c>
      <c r="D18" s="26">
        <v>0.48270000000000007</v>
      </c>
      <c r="E18" s="26">
        <v>0.51839999999999997</v>
      </c>
      <c r="F18" s="18">
        <v>1.621</v>
      </c>
      <c r="G18" s="18">
        <v>0.70222085132634171</v>
      </c>
      <c r="H18" s="18">
        <v>0.68019740900678594</v>
      </c>
      <c r="I18" s="18">
        <v>2.2023442319555775E-2</v>
      </c>
    </row>
    <row r="19" spans="1:9" x14ac:dyDescent="0.25">
      <c r="A19" s="2">
        <v>43109</v>
      </c>
      <c r="B19" s="4" t="s">
        <v>208</v>
      </c>
      <c r="C19" s="3">
        <v>3480</v>
      </c>
      <c r="D19" s="26">
        <v>1.5879000000000001</v>
      </c>
      <c r="E19" s="26">
        <v>1.9612000000000001</v>
      </c>
      <c r="F19" s="18">
        <v>5.6429999999999998</v>
      </c>
      <c r="G19" s="18">
        <v>0.71860712387028169</v>
      </c>
      <c r="H19" s="18">
        <v>0.65245436824384195</v>
      </c>
      <c r="I19" s="18">
        <v>6.6152755626439741E-2</v>
      </c>
    </row>
    <row r="20" spans="1:9" x14ac:dyDescent="0.25">
      <c r="A20" s="2">
        <v>43109</v>
      </c>
      <c r="B20" s="4" t="s">
        <v>440</v>
      </c>
      <c r="C20" s="3">
        <v>7520</v>
      </c>
      <c r="D20" s="26">
        <v>0.58772000000000002</v>
      </c>
      <c r="E20" s="26">
        <v>0.55220000000000002</v>
      </c>
      <c r="F20" s="18">
        <v>1.4850000000000001</v>
      </c>
      <c r="G20" s="18">
        <v>0.60422895622895623</v>
      </c>
      <c r="H20" s="18">
        <v>0.62814814814814812</v>
      </c>
      <c r="I20" s="18">
        <v>-2.3919191919191896E-2</v>
      </c>
    </row>
    <row r="21" spans="1:9" x14ac:dyDescent="0.25">
      <c r="A21" s="2">
        <v>43109</v>
      </c>
      <c r="B21" s="4" t="s">
        <v>441</v>
      </c>
      <c r="C21" s="3">
        <v>9348</v>
      </c>
      <c r="D21" s="26">
        <v>0.51390000000000002</v>
      </c>
      <c r="E21" s="26">
        <v>0.51680000000000004</v>
      </c>
      <c r="F21" s="18">
        <v>1.349</v>
      </c>
      <c r="G21" s="18">
        <v>0.61905114899925873</v>
      </c>
      <c r="H21" s="18">
        <v>0.61690140845070418</v>
      </c>
      <c r="I21" s="18">
        <v>2.1497405485545462E-3</v>
      </c>
    </row>
    <row r="22" spans="1:9" x14ac:dyDescent="0.25">
      <c r="A22" s="2">
        <v>43110</v>
      </c>
      <c r="B22" s="4" t="s">
        <v>211</v>
      </c>
      <c r="C22" s="3">
        <v>6702</v>
      </c>
      <c r="D22" s="26">
        <v>1.4575333333333331</v>
      </c>
      <c r="E22" s="26">
        <v>1.3720000000000001</v>
      </c>
      <c r="F22" s="18">
        <v>3.2160000000000002</v>
      </c>
      <c r="G22" s="18">
        <v>0.54678689883913767</v>
      </c>
      <c r="H22" s="18">
        <v>0.5733830845771144</v>
      </c>
      <c r="I22" s="18">
        <v>-2.659618573797673E-2</v>
      </c>
    </row>
    <row r="23" spans="1:9" x14ac:dyDescent="0.25">
      <c r="A23" s="2">
        <v>43110</v>
      </c>
      <c r="B23" s="4" t="s">
        <v>440</v>
      </c>
      <c r="C23" s="3">
        <v>17420</v>
      </c>
      <c r="D23" s="26">
        <v>0.58772000000000002</v>
      </c>
      <c r="E23" s="26">
        <v>0.67149999999999999</v>
      </c>
      <c r="F23" s="18">
        <v>1.4850000000000001</v>
      </c>
      <c r="G23" s="18">
        <v>0.60422895622895623</v>
      </c>
      <c r="H23" s="18">
        <v>0.54781144781144786</v>
      </c>
      <c r="I23" s="18">
        <v>5.6417508417508366E-2</v>
      </c>
    </row>
    <row r="24" spans="1:9" x14ac:dyDescent="0.25">
      <c r="A24" s="2">
        <v>43110</v>
      </c>
      <c r="B24" s="4" t="s">
        <v>441</v>
      </c>
      <c r="C24" s="3">
        <v>16002</v>
      </c>
      <c r="D24" s="26">
        <v>0.51390000000000002</v>
      </c>
      <c r="E24" s="26">
        <v>0.53449999999999998</v>
      </c>
      <c r="F24" s="18">
        <v>1.349</v>
      </c>
      <c r="G24" s="18">
        <v>0.61905114899925873</v>
      </c>
      <c r="H24" s="18">
        <v>0.60378057820607856</v>
      </c>
      <c r="I24" s="18">
        <v>1.5270570793180172E-2</v>
      </c>
    </row>
    <row r="25" spans="1:9" x14ac:dyDescent="0.25">
      <c r="A25" s="2">
        <v>43110</v>
      </c>
      <c r="B25" s="4" t="s">
        <v>442</v>
      </c>
      <c r="C25" s="3">
        <v>10362</v>
      </c>
      <c r="D25" s="26">
        <v>0.60636666666666661</v>
      </c>
      <c r="E25" s="26">
        <v>0.52769999999999995</v>
      </c>
      <c r="F25" s="18">
        <v>1.4750000000000001</v>
      </c>
      <c r="G25" s="18">
        <v>0.58890395480225999</v>
      </c>
      <c r="H25" s="18">
        <v>0.64223728813559333</v>
      </c>
      <c r="I25" s="18">
        <v>-5.3333333333333344E-2</v>
      </c>
    </row>
    <row r="26" spans="1:9" x14ac:dyDescent="0.25">
      <c r="A26" s="2">
        <v>43110</v>
      </c>
      <c r="B26" s="4" t="s">
        <v>430</v>
      </c>
      <c r="C26" s="3">
        <v>3804</v>
      </c>
      <c r="D26" s="26">
        <v>2.8742000000000001</v>
      </c>
      <c r="E26" s="26">
        <v>3.2827999999999999</v>
      </c>
      <c r="F26" s="18">
        <v>7.4450000000000003</v>
      </c>
      <c r="G26" s="18">
        <v>0.61394224311618539</v>
      </c>
      <c r="H26" s="18">
        <v>0.55905977165883147</v>
      </c>
      <c r="I26" s="18">
        <v>5.4882471457353921E-2</v>
      </c>
    </row>
    <row r="27" spans="1:9" x14ac:dyDescent="0.25">
      <c r="A27" s="2">
        <v>43111</v>
      </c>
      <c r="B27" s="4" t="s">
        <v>41</v>
      </c>
      <c r="C27" s="3">
        <v>457</v>
      </c>
      <c r="D27" s="26">
        <v>3.3982999999999999</v>
      </c>
      <c r="E27" s="26">
        <v>4.1961000000000004</v>
      </c>
      <c r="F27" s="18">
        <v>10.922000000000001</v>
      </c>
      <c r="G27" s="18">
        <v>0.6888573521333089</v>
      </c>
      <c r="H27" s="18">
        <v>0.61581212232191906</v>
      </c>
      <c r="I27" s="18">
        <v>7.3045229811389834E-2</v>
      </c>
    </row>
    <row r="28" spans="1:9" x14ac:dyDescent="0.25">
      <c r="A28" s="2">
        <v>43111</v>
      </c>
      <c r="B28" s="4" t="s">
        <v>141</v>
      </c>
      <c r="C28" s="3">
        <v>3076</v>
      </c>
      <c r="D28" s="26">
        <v>3.3873999999999995</v>
      </c>
      <c r="E28" s="26">
        <v>3.6690999999999998</v>
      </c>
      <c r="F28" s="18">
        <v>9.1389999999999993</v>
      </c>
      <c r="G28" s="18">
        <v>0.62934675566254517</v>
      </c>
      <c r="H28" s="18">
        <v>0.59852281431228793</v>
      </c>
      <c r="I28" s="18">
        <v>3.0823941350257233E-2</v>
      </c>
    </row>
    <row r="29" spans="1:9" x14ac:dyDescent="0.25">
      <c r="A29" s="2">
        <v>43111</v>
      </c>
      <c r="B29" s="4" t="s">
        <v>214</v>
      </c>
      <c r="C29" s="3">
        <v>13644</v>
      </c>
      <c r="D29" s="26">
        <v>0.63339999999999996</v>
      </c>
      <c r="E29" s="26">
        <v>0.69612499999999999</v>
      </c>
      <c r="F29" s="18">
        <v>2.008</v>
      </c>
      <c r="G29" s="18">
        <v>0.68456175298804778</v>
      </c>
      <c r="H29" s="18">
        <v>0.65332420318725104</v>
      </c>
      <c r="I29" s="18">
        <v>3.1237549800796734E-2</v>
      </c>
    </row>
    <row r="30" spans="1:9" x14ac:dyDescent="0.25">
      <c r="A30" s="2">
        <v>43111</v>
      </c>
      <c r="B30" s="4" t="s">
        <v>440</v>
      </c>
      <c r="C30" s="3">
        <v>17380</v>
      </c>
      <c r="D30" s="26">
        <v>0.58772000000000002</v>
      </c>
      <c r="E30" s="26">
        <v>0.63549999999999995</v>
      </c>
      <c r="F30" s="18">
        <v>1.4850000000000001</v>
      </c>
      <c r="G30" s="18">
        <v>0.60422895622895623</v>
      </c>
      <c r="H30" s="18">
        <v>0.57205387205387215</v>
      </c>
      <c r="I30" s="18">
        <v>3.2175084175084079E-2</v>
      </c>
    </row>
    <row r="31" spans="1:9" x14ac:dyDescent="0.25">
      <c r="A31" s="2">
        <v>43111</v>
      </c>
      <c r="B31" s="4" t="s">
        <v>224</v>
      </c>
      <c r="C31" s="3">
        <v>581</v>
      </c>
      <c r="D31" s="26">
        <v>6.3479999999999999</v>
      </c>
      <c r="E31" s="26">
        <v>7.6791</v>
      </c>
      <c r="F31" s="18">
        <v>18.707000000000001</v>
      </c>
      <c r="G31" s="18">
        <v>0.66066178435879619</v>
      </c>
      <c r="H31" s="18">
        <v>0.58950660180681025</v>
      </c>
      <c r="I31" s="18">
        <v>7.115518255198594E-2</v>
      </c>
    </row>
    <row r="32" spans="1:9" x14ac:dyDescent="0.25">
      <c r="A32" s="2">
        <v>43111</v>
      </c>
      <c r="B32" s="4" t="s">
        <v>226</v>
      </c>
      <c r="C32" s="3">
        <v>6160</v>
      </c>
      <c r="D32" s="26">
        <v>1.6523000000000001</v>
      </c>
      <c r="E32" s="26">
        <v>1.6405000000000001</v>
      </c>
      <c r="F32" s="18">
        <v>4.3689999999999998</v>
      </c>
      <c r="G32" s="18">
        <v>0.62181277180132744</v>
      </c>
      <c r="H32" s="18">
        <v>0.62451361867704269</v>
      </c>
      <c r="I32" s="18">
        <v>-2.7008468757152571E-3</v>
      </c>
    </row>
    <row r="33" spans="1:9" x14ac:dyDescent="0.25">
      <c r="A33" s="2">
        <v>43112</v>
      </c>
      <c r="B33" s="4" t="s">
        <v>45</v>
      </c>
      <c r="C33" s="3">
        <v>199</v>
      </c>
      <c r="D33" s="26">
        <v>10.477399999999999</v>
      </c>
      <c r="E33" s="26">
        <v>15.3005</v>
      </c>
      <c r="F33" s="18">
        <v>32.927</v>
      </c>
      <c r="G33" s="18">
        <v>0.68179913141191117</v>
      </c>
      <c r="H33" s="18">
        <v>0.53532055759710873</v>
      </c>
      <c r="I33" s="18">
        <v>0.14647857381480245</v>
      </c>
    </row>
    <row r="34" spans="1:9" x14ac:dyDescent="0.25">
      <c r="A34" s="2">
        <v>43112</v>
      </c>
      <c r="B34" s="4" t="s">
        <v>102</v>
      </c>
      <c r="C34" s="3">
        <v>3180</v>
      </c>
      <c r="D34" s="26">
        <v>1.87</v>
      </c>
      <c r="E34" s="26">
        <v>2.2829000000000002</v>
      </c>
      <c r="F34" s="18">
        <v>5.9690000000000003</v>
      </c>
      <c r="G34" s="18">
        <v>0.6867146925783213</v>
      </c>
      <c r="H34" s="18">
        <v>0.61754062657061481</v>
      </c>
      <c r="I34" s="18">
        <v>6.9174066007706481E-2</v>
      </c>
    </row>
    <row r="35" spans="1:9" x14ac:dyDescent="0.25">
      <c r="A35" s="2">
        <v>43112</v>
      </c>
      <c r="B35" s="4" t="s">
        <v>111</v>
      </c>
      <c r="C35" s="3">
        <v>3070</v>
      </c>
      <c r="D35" s="26">
        <v>1.2275400000000001</v>
      </c>
      <c r="E35" s="26">
        <v>1.4059999999999999</v>
      </c>
      <c r="F35" s="18">
        <v>2.8380000000000001</v>
      </c>
      <c r="G35" s="18">
        <v>0.567463002114165</v>
      </c>
      <c r="H35" s="18">
        <v>0.50458069062720234</v>
      </c>
      <c r="I35" s="18">
        <v>6.2882311486962661E-2</v>
      </c>
    </row>
    <row r="36" spans="1:9" x14ac:dyDescent="0.25">
      <c r="A36" s="2">
        <v>43112</v>
      </c>
      <c r="B36" s="4" t="s">
        <v>189</v>
      </c>
      <c r="C36" s="3">
        <v>4536</v>
      </c>
      <c r="D36" s="26">
        <v>1.1616</v>
      </c>
      <c r="E36" s="26">
        <v>1.2677</v>
      </c>
      <c r="F36" s="18">
        <v>3.4129999999999998</v>
      </c>
      <c r="G36" s="18">
        <v>0.659654263111632</v>
      </c>
      <c r="H36" s="18">
        <v>0.62856724289481392</v>
      </c>
      <c r="I36" s="18">
        <v>3.1087020216818084E-2</v>
      </c>
    </row>
    <row r="37" spans="1:9" x14ac:dyDescent="0.25">
      <c r="A37" s="2">
        <v>43112</v>
      </c>
      <c r="B37" s="4" t="s">
        <v>440</v>
      </c>
      <c r="C37" s="3">
        <v>16910</v>
      </c>
      <c r="D37" s="26">
        <v>0.58772000000000002</v>
      </c>
      <c r="E37" s="26">
        <v>0.56279999999999997</v>
      </c>
      <c r="F37" s="18">
        <v>1.4850000000000001</v>
      </c>
      <c r="G37" s="18">
        <v>0.60422895622895623</v>
      </c>
      <c r="H37" s="18">
        <v>0.62101010101010101</v>
      </c>
      <c r="I37" s="18">
        <v>-1.6781144781144786E-2</v>
      </c>
    </row>
    <row r="38" spans="1:9" x14ac:dyDescent="0.25">
      <c r="A38" s="2">
        <v>43112</v>
      </c>
      <c r="B38" s="4" t="s">
        <v>226</v>
      </c>
      <c r="C38" s="3">
        <v>6161</v>
      </c>
      <c r="D38" s="26">
        <v>1.6523000000000001</v>
      </c>
      <c r="E38" s="26">
        <v>1.6547000000000001</v>
      </c>
      <c r="F38" s="18">
        <v>4.3689999999999998</v>
      </c>
      <c r="G38" s="18">
        <v>0.62181277180132744</v>
      </c>
      <c r="H38" s="18">
        <v>0.62126344701304648</v>
      </c>
      <c r="I38" s="18">
        <v>5.4932478828095821E-4</v>
      </c>
    </row>
    <row r="39" spans="1:9" x14ac:dyDescent="0.25">
      <c r="A39" s="2">
        <v>43115</v>
      </c>
      <c r="B39" s="4" t="s">
        <v>15</v>
      </c>
      <c r="C39" s="3">
        <v>948</v>
      </c>
      <c r="D39" s="26">
        <v>3.0330999999999997</v>
      </c>
      <c r="E39" s="26">
        <v>3.5619999999999998</v>
      </c>
      <c r="F39" s="18">
        <v>8.8729999999999993</v>
      </c>
      <c r="G39" s="18">
        <v>0.65816522033134228</v>
      </c>
      <c r="H39" s="18">
        <v>0.59855742139073598</v>
      </c>
      <c r="I39" s="18">
        <v>5.9607798940606305E-2</v>
      </c>
    </row>
    <row r="40" spans="1:9" x14ac:dyDescent="0.25">
      <c r="A40" s="2">
        <v>43115</v>
      </c>
      <c r="B40" s="4" t="s">
        <v>37</v>
      </c>
      <c r="C40" s="3">
        <v>214</v>
      </c>
      <c r="D40" s="26">
        <v>3.4125000000000001</v>
      </c>
      <c r="E40" s="26">
        <v>5.3109999999999999</v>
      </c>
      <c r="F40" s="18">
        <v>13.912000000000001</v>
      </c>
      <c r="G40" s="18">
        <v>0.75470816561242093</v>
      </c>
      <c r="H40" s="18">
        <v>0.61824324324324331</v>
      </c>
      <c r="I40" s="18">
        <v>0.13646492236917762</v>
      </c>
    </row>
    <row r="41" spans="1:9" x14ac:dyDescent="0.25">
      <c r="A41" s="2">
        <v>43115</v>
      </c>
      <c r="B41" s="4" t="s">
        <v>40</v>
      </c>
      <c r="C41" s="3">
        <v>167</v>
      </c>
      <c r="D41" s="26">
        <v>6.0608000000000004</v>
      </c>
      <c r="E41" s="26">
        <v>7.1959</v>
      </c>
      <c r="F41" s="18">
        <v>19.855</v>
      </c>
      <c r="G41" s="18">
        <v>0.69474691513472675</v>
      </c>
      <c r="H41" s="18">
        <v>0.63757743641400155</v>
      </c>
      <c r="I41" s="18">
        <v>5.7169478720725198E-2</v>
      </c>
    </row>
    <row r="42" spans="1:9" x14ac:dyDescent="0.25">
      <c r="A42" s="2">
        <v>43115</v>
      </c>
      <c r="B42" s="4" t="s">
        <v>47</v>
      </c>
      <c r="C42" s="3">
        <v>78</v>
      </c>
      <c r="D42" s="26">
        <v>6.3164999999999996</v>
      </c>
      <c r="E42" s="26">
        <v>6.2872000000000003</v>
      </c>
      <c r="F42" s="18">
        <v>19.210999999999999</v>
      </c>
      <c r="G42" s="18">
        <v>0.67120399770964556</v>
      </c>
      <c r="H42" s="18">
        <v>0.67272916558221851</v>
      </c>
      <c r="I42" s="18">
        <v>-1.5251678725729525E-3</v>
      </c>
    </row>
    <row r="43" spans="1:9" x14ac:dyDescent="0.25">
      <c r="A43" s="2">
        <v>43115</v>
      </c>
      <c r="B43" s="4" t="s">
        <v>159</v>
      </c>
      <c r="C43" s="3">
        <v>15648</v>
      </c>
      <c r="D43" s="26">
        <v>0.69755</v>
      </c>
      <c r="E43" s="26">
        <v>0.68140000000000001</v>
      </c>
      <c r="F43" s="18">
        <v>2.1339999999999999</v>
      </c>
      <c r="G43" s="18">
        <v>0.67312558575445169</v>
      </c>
      <c r="H43" s="18">
        <v>0.6806935332708528</v>
      </c>
      <c r="I43" s="18">
        <v>-7.567947516401107E-3</v>
      </c>
    </row>
    <row r="44" spans="1:9" x14ac:dyDescent="0.25">
      <c r="A44" s="2">
        <v>43115</v>
      </c>
      <c r="B44" s="4" t="s">
        <v>178</v>
      </c>
      <c r="C44" s="3">
        <v>8850</v>
      </c>
      <c r="D44" s="26">
        <v>0.51881666666666659</v>
      </c>
      <c r="E44" s="26">
        <v>0.61280000000000001</v>
      </c>
      <c r="F44" s="18">
        <v>1.5720000000000001</v>
      </c>
      <c r="G44" s="18">
        <v>0.6699639525021206</v>
      </c>
      <c r="H44" s="18">
        <v>0.61017811704834601</v>
      </c>
      <c r="I44" s="18">
        <v>5.9785835453774583E-2</v>
      </c>
    </row>
    <row r="45" spans="1:9" x14ac:dyDescent="0.25">
      <c r="A45" s="2">
        <v>43115</v>
      </c>
      <c r="B45" s="4" t="s">
        <v>214</v>
      </c>
      <c r="C45" s="3">
        <v>10092</v>
      </c>
      <c r="D45" s="26">
        <v>0.63339999999999996</v>
      </c>
      <c r="E45" s="26">
        <v>0.64995000000000003</v>
      </c>
      <c r="F45" s="18">
        <v>2.008</v>
      </c>
      <c r="G45" s="18">
        <v>0.68456175298804778</v>
      </c>
      <c r="H45" s="18">
        <v>0.67631972111553784</v>
      </c>
      <c r="I45" s="18">
        <v>8.2420318725099362E-3</v>
      </c>
    </row>
    <row r="46" spans="1:9" x14ac:dyDescent="0.25">
      <c r="A46" s="2">
        <v>43115</v>
      </c>
      <c r="B46" s="4" t="s">
        <v>441</v>
      </c>
      <c r="C46" s="3">
        <v>15810</v>
      </c>
      <c r="D46" s="26">
        <v>0.51390000000000002</v>
      </c>
      <c r="E46" s="26">
        <v>0.58709999999999996</v>
      </c>
      <c r="F46" s="18">
        <v>1.349</v>
      </c>
      <c r="G46" s="18">
        <v>0.61905114899925873</v>
      </c>
      <c r="H46" s="18">
        <v>0.56478873239436622</v>
      </c>
      <c r="I46" s="18">
        <v>5.4262416604892505E-2</v>
      </c>
    </row>
    <row r="47" spans="1:9" x14ac:dyDescent="0.25">
      <c r="A47" s="2">
        <v>43116</v>
      </c>
      <c r="B47" s="4" t="s">
        <v>443</v>
      </c>
      <c r="C47" s="3">
        <v>34</v>
      </c>
      <c r="D47" s="26">
        <v>13.318899999999999</v>
      </c>
      <c r="E47" s="26">
        <v>15.4039</v>
      </c>
      <c r="F47" s="18">
        <v>36.616</v>
      </c>
      <c r="G47" s="18">
        <v>0.63625464277911292</v>
      </c>
      <c r="H47" s="18">
        <v>0.57931232248197506</v>
      </c>
      <c r="I47" s="18">
        <v>5.6942320297137861E-2</v>
      </c>
    </row>
    <row r="48" spans="1:9" x14ac:dyDescent="0.25">
      <c r="A48" s="2">
        <v>43116</v>
      </c>
      <c r="B48" s="4" t="s">
        <v>78</v>
      </c>
      <c r="C48" s="3">
        <v>254</v>
      </c>
      <c r="D48" s="26">
        <v>4.3785999999999996</v>
      </c>
      <c r="E48" s="26">
        <v>6.6512000000000002</v>
      </c>
      <c r="F48" s="18">
        <v>18.584</v>
      </c>
      <c r="G48" s="18">
        <v>0.7643887214808438</v>
      </c>
      <c r="H48" s="18">
        <v>0.64210073181231164</v>
      </c>
      <c r="I48" s="18">
        <v>0.12228798966853216</v>
      </c>
    </row>
    <row r="49" spans="1:9" x14ac:dyDescent="0.25">
      <c r="A49" s="2">
        <v>43116</v>
      </c>
      <c r="B49" s="4" t="s">
        <v>79</v>
      </c>
      <c r="C49" s="3">
        <v>191</v>
      </c>
      <c r="D49" s="26">
        <v>3.9895</v>
      </c>
      <c r="E49" s="26">
        <v>3.6576</v>
      </c>
      <c r="F49" s="18">
        <v>15.539</v>
      </c>
      <c r="G49" s="18">
        <v>0.743258896968917</v>
      </c>
      <c r="H49" s="18">
        <v>0.76461805779007652</v>
      </c>
      <c r="I49" s="18">
        <v>-2.1359160821159628E-2</v>
      </c>
    </row>
    <row r="50" spans="1:9" x14ac:dyDescent="0.25">
      <c r="A50" s="2">
        <v>43116</v>
      </c>
      <c r="B50" s="4" t="s">
        <v>128</v>
      </c>
      <c r="C50" s="3">
        <v>49536</v>
      </c>
      <c r="D50" s="26">
        <v>0.224</v>
      </c>
      <c r="E50" s="26">
        <v>0.25156944444444446</v>
      </c>
      <c r="F50" s="18">
        <v>0.57199999999999995</v>
      </c>
      <c r="G50" s="18">
        <v>0.60839160839160844</v>
      </c>
      <c r="H50" s="18">
        <v>0.56019327894327886</v>
      </c>
      <c r="I50" s="18">
        <v>4.819832944832958E-2</v>
      </c>
    </row>
    <row r="51" spans="1:9" x14ac:dyDescent="0.25">
      <c r="A51" s="2">
        <v>43116</v>
      </c>
      <c r="B51" s="4" t="s">
        <v>177</v>
      </c>
      <c r="C51" s="3">
        <v>5736</v>
      </c>
      <c r="D51" s="26">
        <v>0.85948333333333349</v>
      </c>
      <c r="E51" s="26">
        <v>1.0148333333333337</v>
      </c>
      <c r="F51" s="18">
        <v>2.4900000000000002</v>
      </c>
      <c r="G51" s="18">
        <v>0.65482597054886216</v>
      </c>
      <c r="H51" s="18">
        <v>0.59243641231593036</v>
      </c>
      <c r="I51" s="18">
        <v>6.2389558232931797E-2</v>
      </c>
    </row>
    <row r="52" spans="1:9" x14ac:dyDescent="0.25">
      <c r="A52" s="2">
        <v>43116</v>
      </c>
      <c r="B52" s="4" t="s">
        <v>185</v>
      </c>
      <c r="C52" s="3">
        <v>2700</v>
      </c>
      <c r="D52" s="26">
        <v>0.66046666666666665</v>
      </c>
      <c r="E52" s="26">
        <v>0.74780000000000002</v>
      </c>
      <c r="F52" s="18">
        <v>2.5299999999999998</v>
      </c>
      <c r="G52" s="18">
        <v>0.73894598155467717</v>
      </c>
      <c r="H52" s="18">
        <v>0.70442687747035571</v>
      </c>
      <c r="I52" s="18">
        <v>3.4519104084321461E-2</v>
      </c>
    </row>
    <row r="53" spans="1:9" x14ac:dyDescent="0.25">
      <c r="A53" s="2">
        <v>43116</v>
      </c>
      <c r="B53" s="4" t="s">
        <v>186</v>
      </c>
      <c r="C53" s="3">
        <v>10680</v>
      </c>
      <c r="D53" s="26">
        <v>0.61144999999999994</v>
      </c>
      <c r="E53" s="26">
        <v>0.59719999999999995</v>
      </c>
      <c r="F53" s="18">
        <v>2.3199999999999998</v>
      </c>
      <c r="G53" s="18">
        <v>0.73644396551724123</v>
      </c>
      <c r="H53" s="18">
        <v>0.74258620689655164</v>
      </c>
      <c r="I53" s="18">
        <v>-6.1422413793104091E-3</v>
      </c>
    </row>
    <row r="54" spans="1:9" x14ac:dyDescent="0.25">
      <c r="A54" s="2">
        <v>43116</v>
      </c>
      <c r="B54" s="4" t="s">
        <v>212</v>
      </c>
      <c r="C54" s="3">
        <v>16872</v>
      </c>
      <c r="D54" s="26">
        <v>1.4978166666666668</v>
      </c>
      <c r="E54" s="26">
        <v>1.5918000000000001</v>
      </c>
      <c r="F54" s="18">
        <v>3.5750000000000002</v>
      </c>
      <c r="G54" s="18">
        <v>0.58103030303030301</v>
      </c>
      <c r="H54" s="18">
        <v>0.55474125874125868</v>
      </c>
      <c r="I54" s="18">
        <v>2.6289044289044328E-2</v>
      </c>
    </row>
    <row r="55" spans="1:9" x14ac:dyDescent="0.25">
      <c r="A55" s="2">
        <v>43116</v>
      </c>
      <c r="B55" s="4" t="s">
        <v>213</v>
      </c>
      <c r="C55" s="3">
        <v>546</v>
      </c>
      <c r="D55" s="26">
        <v>1.1313583333333332</v>
      </c>
      <c r="E55" s="26">
        <v>2.0341</v>
      </c>
      <c r="F55" s="18">
        <v>5.3</v>
      </c>
      <c r="G55" s="18">
        <v>0.78653616352201261</v>
      </c>
      <c r="H55" s="18">
        <v>0.6162075471698113</v>
      </c>
      <c r="I55" s="18">
        <v>0.17032861635220131</v>
      </c>
    </row>
    <row r="56" spans="1:9" x14ac:dyDescent="0.25">
      <c r="A56" s="2">
        <v>43117</v>
      </c>
      <c r="B56" s="4" t="s">
        <v>116</v>
      </c>
      <c r="C56" s="3">
        <v>3755</v>
      </c>
      <c r="D56" s="26">
        <v>3.1036999999999999</v>
      </c>
      <c r="E56" s="26">
        <v>3.1703999999999999</v>
      </c>
      <c r="F56" s="18">
        <v>7.9889999999999999</v>
      </c>
      <c r="G56" s="18">
        <v>0.61150331706095884</v>
      </c>
      <c r="H56" s="18">
        <v>0.60315433721366885</v>
      </c>
      <c r="I56" s="18">
        <v>8.3489798472899945E-3</v>
      </c>
    </row>
    <row r="57" spans="1:9" x14ac:dyDescent="0.25">
      <c r="A57" s="2">
        <v>43117</v>
      </c>
      <c r="B57" s="4" t="s">
        <v>185</v>
      </c>
      <c r="C57" s="3">
        <v>7362</v>
      </c>
      <c r="D57" s="26">
        <v>0.66046666666666665</v>
      </c>
      <c r="E57" s="26">
        <v>0.73893333333333333</v>
      </c>
      <c r="F57" s="18">
        <v>2.5299999999999998</v>
      </c>
      <c r="G57" s="18">
        <v>0.73894598155467717</v>
      </c>
      <c r="H57" s="18">
        <v>0.70793148880105405</v>
      </c>
      <c r="I57" s="18">
        <v>3.1014492753623113E-2</v>
      </c>
    </row>
    <row r="58" spans="1:9" x14ac:dyDescent="0.25">
      <c r="A58" s="2">
        <v>43117</v>
      </c>
      <c r="B58" s="4" t="s">
        <v>212</v>
      </c>
      <c r="C58" s="3">
        <v>17544</v>
      </c>
      <c r="D58" s="26">
        <v>1.4978166666666668</v>
      </c>
      <c r="E58" s="26">
        <v>1.5941000000000001</v>
      </c>
      <c r="F58" s="18">
        <v>3.5750000000000002</v>
      </c>
      <c r="G58" s="18">
        <v>0.58103030303030301</v>
      </c>
      <c r="H58" s="18">
        <v>0.55409790209790211</v>
      </c>
      <c r="I58" s="18">
        <v>2.6932400932400905E-2</v>
      </c>
    </row>
    <row r="59" spans="1:9" x14ac:dyDescent="0.25">
      <c r="A59" s="2">
        <v>43117</v>
      </c>
      <c r="B59" s="4" t="s">
        <v>454</v>
      </c>
      <c r="C59" s="3">
        <v>10080</v>
      </c>
      <c r="D59" s="26">
        <v>0.71589999999999998</v>
      </c>
      <c r="E59" s="26">
        <v>0.73089999999999999</v>
      </c>
      <c r="F59" s="18">
        <v>2.7</v>
      </c>
      <c r="G59" s="18">
        <v>0.73485185185185187</v>
      </c>
      <c r="H59" s="18">
        <v>0.72929629629629611</v>
      </c>
      <c r="I59" s="18">
        <v>5.555555555555646E-3</v>
      </c>
    </row>
    <row r="60" spans="1:9" x14ac:dyDescent="0.25">
      <c r="A60" s="2">
        <v>43118</v>
      </c>
      <c r="B60" s="4" t="s">
        <v>100</v>
      </c>
      <c r="C60" s="3">
        <v>6060</v>
      </c>
      <c r="D60" s="26">
        <v>3.3584000000000001</v>
      </c>
      <c r="E60" s="26">
        <v>3.2690000000000001</v>
      </c>
      <c r="F60" s="18">
        <v>7.6280000000000001</v>
      </c>
      <c r="G60" s="18">
        <v>0.55972732039853179</v>
      </c>
      <c r="H60" s="18">
        <v>0.57144729942317773</v>
      </c>
      <c r="I60" s="18">
        <v>-1.1719979024645943E-2</v>
      </c>
    </row>
    <row r="61" spans="1:9" x14ac:dyDescent="0.25">
      <c r="A61" s="2">
        <v>43118</v>
      </c>
      <c r="B61" s="4" t="s">
        <v>105</v>
      </c>
      <c r="C61" s="3">
        <v>1945</v>
      </c>
      <c r="D61" s="26">
        <v>9.2725000000000009</v>
      </c>
      <c r="E61" s="26">
        <v>8.8362999999999996</v>
      </c>
      <c r="F61" s="18">
        <v>22.228999999999999</v>
      </c>
      <c r="G61" s="18">
        <v>0.58286472625849106</v>
      </c>
      <c r="H61" s="18">
        <v>0.60248774123892213</v>
      </c>
      <c r="I61" s="18">
        <v>-1.9623014980431064E-2</v>
      </c>
    </row>
    <row r="62" spans="1:9" x14ac:dyDescent="0.25">
      <c r="A62" s="2">
        <v>43118</v>
      </c>
      <c r="B62" s="4" t="s">
        <v>230</v>
      </c>
      <c r="C62" s="3">
        <v>16134</v>
      </c>
      <c r="D62" s="26">
        <v>0.49230000000000002</v>
      </c>
      <c r="E62" s="26">
        <v>0.58413333333333328</v>
      </c>
      <c r="F62" s="18">
        <v>1.57</v>
      </c>
      <c r="G62" s="18">
        <v>0.68643312101910836</v>
      </c>
      <c r="H62" s="18">
        <v>0.62794055201698518</v>
      </c>
      <c r="I62" s="18">
        <v>5.8492569002123185E-2</v>
      </c>
    </row>
    <row r="63" spans="1:9" x14ac:dyDescent="0.25">
      <c r="A63" s="2">
        <v>43118</v>
      </c>
      <c r="B63" s="4" t="s">
        <v>455</v>
      </c>
      <c r="C63" s="3">
        <v>10782</v>
      </c>
      <c r="D63" s="26">
        <v>0.69810000000000005</v>
      </c>
      <c r="E63" s="26">
        <v>0.84919999999999995</v>
      </c>
      <c r="F63" s="18">
        <v>2.44</v>
      </c>
      <c r="G63" s="18">
        <v>0.71389344262295074</v>
      </c>
      <c r="H63" s="18">
        <v>0.65196721311475414</v>
      </c>
      <c r="I63" s="18">
        <v>6.1926229508196595E-2</v>
      </c>
    </row>
    <row r="64" spans="1:9" x14ac:dyDescent="0.25">
      <c r="A64" s="2">
        <v>43118</v>
      </c>
      <c r="B64" s="4" t="s">
        <v>454</v>
      </c>
      <c r="C64" s="3">
        <v>12906</v>
      </c>
      <c r="D64" s="26">
        <v>0.71589999999999998</v>
      </c>
      <c r="E64" s="26">
        <v>0.74980000000000002</v>
      </c>
      <c r="F64" s="18">
        <v>2.7</v>
      </c>
      <c r="G64" s="18">
        <v>0.73485185185185187</v>
      </c>
      <c r="H64" s="18">
        <v>0.72229629629629633</v>
      </c>
      <c r="I64" s="18">
        <v>1.2555555555555542E-2</v>
      </c>
    </row>
    <row r="65" spans="1:9" x14ac:dyDescent="0.25">
      <c r="A65" s="2">
        <v>43119</v>
      </c>
      <c r="B65" s="4" t="s">
        <v>80</v>
      </c>
      <c r="C65" s="3">
        <v>329</v>
      </c>
      <c r="D65" s="26">
        <v>4.6836000000000002</v>
      </c>
      <c r="E65" s="26">
        <v>6.9153000000000002</v>
      </c>
      <c r="F65" s="18">
        <v>16.216000000000001</v>
      </c>
      <c r="G65" s="18">
        <v>0.71117414898865317</v>
      </c>
      <c r="H65" s="18">
        <v>0.5735508140108535</v>
      </c>
      <c r="I65" s="18">
        <v>0.13762333497779966</v>
      </c>
    </row>
    <row r="66" spans="1:9" x14ac:dyDescent="0.25">
      <c r="A66" s="2">
        <v>43119</v>
      </c>
      <c r="B66" s="4" t="s">
        <v>128</v>
      </c>
      <c r="C66" s="3">
        <v>50256</v>
      </c>
      <c r="D66" s="26">
        <v>0.224</v>
      </c>
      <c r="E66" s="26">
        <v>0.23924305555555556</v>
      </c>
      <c r="F66" s="18">
        <v>0.57199999999999995</v>
      </c>
      <c r="G66" s="18">
        <v>0.60839160839160844</v>
      </c>
      <c r="H66" s="18">
        <v>0.58174290986790977</v>
      </c>
      <c r="I66" s="18">
        <v>2.6648698523698663E-2</v>
      </c>
    </row>
    <row r="67" spans="1:9" x14ac:dyDescent="0.25">
      <c r="A67" s="2">
        <v>43119</v>
      </c>
      <c r="B67" s="4" t="s">
        <v>187</v>
      </c>
      <c r="C67" s="3">
        <v>9858</v>
      </c>
      <c r="D67" s="26">
        <v>0.6227166666666667</v>
      </c>
      <c r="E67" s="26">
        <v>0.67989999999999995</v>
      </c>
      <c r="F67" s="18">
        <v>2.3199999999999998</v>
      </c>
      <c r="G67" s="18">
        <v>0.73158764367816076</v>
      </c>
      <c r="H67" s="18">
        <v>0.70693965517241375</v>
      </c>
      <c r="I67" s="18">
        <v>2.464798850574712E-2</v>
      </c>
    </row>
    <row r="68" spans="1:9" x14ac:dyDescent="0.25">
      <c r="A68" s="2">
        <v>43119</v>
      </c>
      <c r="B68" s="4" t="s">
        <v>211</v>
      </c>
      <c r="C68" s="3">
        <v>14760</v>
      </c>
      <c r="D68" s="26">
        <v>1.4575333333333331</v>
      </c>
      <c r="E68" s="26">
        <v>1.3681666666666663</v>
      </c>
      <c r="F68" s="18">
        <v>3.2160000000000002</v>
      </c>
      <c r="G68" s="18">
        <v>0.54678689883913767</v>
      </c>
      <c r="H68" s="18">
        <v>0.57457504145936988</v>
      </c>
      <c r="I68" s="18">
        <v>-2.7788142620232215E-2</v>
      </c>
    </row>
    <row r="69" spans="1:9" x14ac:dyDescent="0.25">
      <c r="A69" s="2">
        <v>43119</v>
      </c>
      <c r="B69" s="4" t="s">
        <v>456</v>
      </c>
      <c r="C69" s="3">
        <v>2568</v>
      </c>
      <c r="D69" s="26">
        <v>3.2147000000000001</v>
      </c>
      <c r="E69" s="26">
        <v>3.319</v>
      </c>
      <c r="F69" s="18">
        <v>9.49</v>
      </c>
      <c r="G69" s="18">
        <v>0.6612539515279241</v>
      </c>
      <c r="H69" s="18">
        <v>0.65026343519494201</v>
      </c>
      <c r="I69" s="18">
        <v>1.0990516332982092E-2</v>
      </c>
    </row>
    <row r="70" spans="1:9" x14ac:dyDescent="0.25">
      <c r="A70" s="2">
        <v>43122</v>
      </c>
      <c r="B70" s="4" t="s">
        <v>128</v>
      </c>
      <c r="C70" s="3">
        <v>50904</v>
      </c>
      <c r="D70" s="26">
        <v>0.224</v>
      </c>
      <c r="E70" s="26">
        <v>0.2481763888888889</v>
      </c>
      <c r="F70" s="18">
        <v>0.57199999999999995</v>
      </c>
      <c r="G70" s="18">
        <v>0.60839160839160844</v>
      </c>
      <c r="H70" s="18">
        <v>0.56612519425019414</v>
      </c>
      <c r="I70" s="18">
        <v>4.2266414141414299E-2</v>
      </c>
    </row>
    <row r="71" spans="1:9" x14ac:dyDescent="0.25">
      <c r="A71" s="2">
        <v>43122</v>
      </c>
      <c r="B71" s="4" t="s">
        <v>173</v>
      </c>
      <c r="C71" s="3">
        <v>524</v>
      </c>
      <c r="D71" s="26">
        <v>5.5087000000000002</v>
      </c>
      <c r="E71" s="26">
        <v>6.4730999999999996</v>
      </c>
      <c r="F71" s="18">
        <v>15.074999999999999</v>
      </c>
      <c r="G71" s="18">
        <v>0.634580431177446</v>
      </c>
      <c r="H71" s="18">
        <v>0.57060696517412945</v>
      </c>
      <c r="I71" s="18">
        <v>6.3973466003316548E-2</v>
      </c>
    </row>
    <row r="72" spans="1:9" x14ac:dyDescent="0.25">
      <c r="A72" s="2">
        <v>43122</v>
      </c>
      <c r="B72" s="4" t="s">
        <v>180</v>
      </c>
      <c r="C72" s="3">
        <v>2792</v>
      </c>
      <c r="D72" s="26">
        <v>0.81732499999999997</v>
      </c>
      <c r="E72" s="26">
        <v>1.3017000000000001</v>
      </c>
      <c r="F72" s="18">
        <v>2.496</v>
      </c>
      <c r="G72" s="18">
        <v>0.67254607371794872</v>
      </c>
      <c r="H72" s="18">
        <v>0.47848557692307697</v>
      </c>
      <c r="I72" s="18">
        <v>0.19406049679487181</v>
      </c>
    </row>
    <row r="73" spans="1:9" x14ac:dyDescent="0.25">
      <c r="A73" s="2">
        <v>43122</v>
      </c>
      <c r="B73" s="4" t="s">
        <v>196</v>
      </c>
      <c r="C73" s="3">
        <v>15576</v>
      </c>
      <c r="D73" s="26">
        <v>1.2207833333333331</v>
      </c>
      <c r="E73" s="26">
        <v>1.3136000000000001</v>
      </c>
      <c r="F73" s="18">
        <v>3.2349999999999999</v>
      </c>
      <c r="G73" s="18">
        <v>0.62263266357547653</v>
      </c>
      <c r="H73" s="18">
        <v>0.59394126738794428</v>
      </c>
      <c r="I73" s="18">
        <v>2.8691396187532248E-2</v>
      </c>
    </row>
    <row r="74" spans="1:9" x14ac:dyDescent="0.25">
      <c r="A74" s="2">
        <v>43122</v>
      </c>
      <c r="B74" s="4" t="s">
        <v>457</v>
      </c>
      <c r="C74" s="3">
        <v>2808</v>
      </c>
      <c r="D74" s="26">
        <v>3.1250666666666667</v>
      </c>
      <c r="E74" s="26">
        <v>3.3803000000000001</v>
      </c>
      <c r="F74" s="18">
        <v>9.49</v>
      </c>
      <c r="G74" s="18">
        <v>0.67069898138391282</v>
      </c>
      <c r="H74" s="18">
        <v>0.64380400421496309</v>
      </c>
      <c r="I74" s="18">
        <v>2.689497716894973E-2</v>
      </c>
    </row>
    <row r="75" spans="1:9" x14ac:dyDescent="0.25">
      <c r="A75" s="2">
        <v>43123</v>
      </c>
      <c r="B75" s="4" t="s">
        <v>35</v>
      </c>
      <c r="C75" s="3">
        <v>1016</v>
      </c>
      <c r="D75" s="26">
        <v>0.67600312500000004</v>
      </c>
      <c r="E75" s="26">
        <v>1.052</v>
      </c>
      <c r="F75" s="18">
        <v>2.839</v>
      </c>
      <c r="G75" s="18">
        <v>0.7618868879887285</v>
      </c>
      <c r="H75" s="18">
        <v>0.62944698837618873</v>
      </c>
      <c r="I75" s="18">
        <v>0.13243989961253977</v>
      </c>
    </row>
    <row r="76" spans="1:9" x14ac:dyDescent="0.25">
      <c r="A76" s="2">
        <v>43123</v>
      </c>
      <c r="B76" s="4" t="s">
        <v>43</v>
      </c>
      <c r="C76" s="3">
        <v>832</v>
      </c>
      <c r="D76" s="26">
        <v>0.52411874999999997</v>
      </c>
      <c r="E76" s="26">
        <v>0.61775000000000002</v>
      </c>
      <c r="F76" s="18">
        <v>1.1499999999999999</v>
      </c>
      <c r="G76" s="18">
        <v>0.54424456521739129</v>
      </c>
      <c r="H76" s="18">
        <v>0.46282608695652167</v>
      </c>
      <c r="I76" s="18">
        <v>8.141847826086962E-2</v>
      </c>
    </row>
    <row r="77" spans="1:9" x14ac:dyDescent="0.25">
      <c r="A77" s="2">
        <v>43123</v>
      </c>
      <c r="B77" s="4" t="s">
        <v>67</v>
      </c>
      <c r="C77" s="3">
        <v>560</v>
      </c>
      <c r="D77" s="26">
        <v>0.55610000000000004</v>
      </c>
      <c r="E77" s="26">
        <v>0.82389999999999997</v>
      </c>
      <c r="F77" s="18">
        <v>1.875</v>
      </c>
      <c r="G77" s="18">
        <v>0.70341333333333333</v>
      </c>
      <c r="H77" s="18">
        <v>0.56058666666666668</v>
      </c>
      <c r="I77" s="18">
        <v>0.14282666666666666</v>
      </c>
    </row>
    <row r="78" spans="1:9" x14ac:dyDescent="0.25">
      <c r="A78" s="2">
        <v>43123</v>
      </c>
      <c r="B78" s="4" t="s">
        <v>93</v>
      </c>
      <c r="C78" s="3">
        <v>706</v>
      </c>
      <c r="D78" s="26">
        <v>19.562900000000003</v>
      </c>
      <c r="E78" s="26">
        <v>17.831700000000001</v>
      </c>
      <c r="F78" s="18">
        <v>54.418999999999997</v>
      </c>
      <c r="G78" s="18">
        <v>0.64051342362042674</v>
      </c>
      <c r="H78" s="18">
        <v>0.67232584207721569</v>
      </c>
      <c r="I78" s="18">
        <v>-3.1812418456788949E-2</v>
      </c>
    </row>
    <row r="79" spans="1:9" x14ac:dyDescent="0.25">
      <c r="A79" s="2">
        <v>43123</v>
      </c>
      <c r="B79" s="4" t="s">
        <v>124</v>
      </c>
      <c r="C79" s="3">
        <v>810</v>
      </c>
      <c r="D79" s="26">
        <v>1.2571000000000001</v>
      </c>
      <c r="E79" s="26">
        <v>1.1916</v>
      </c>
      <c r="F79" s="18">
        <v>5.4</v>
      </c>
      <c r="G79" s="18">
        <v>0.76720370370370372</v>
      </c>
      <c r="H79" s="18">
        <v>0.77933333333333332</v>
      </c>
      <c r="I79" s="18">
        <v>-1.2129629629629712E-2</v>
      </c>
    </row>
    <row r="80" spans="1:9" x14ac:dyDescent="0.25">
      <c r="A80" s="2">
        <v>43123</v>
      </c>
      <c r="B80" s="4" t="s">
        <v>125</v>
      </c>
      <c r="C80" s="3">
        <v>1488</v>
      </c>
      <c r="D80" s="26">
        <v>1.7374000000000001</v>
      </c>
      <c r="E80" s="26">
        <v>1.6908000000000001</v>
      </c>
      <c r="F80" s="18">
        <v>7.4560000000000004</v>
      </c>
      <c r="G80" s="18">
        <v>0.76697961373390555</v>
      </c>
      <c r="H80" s="18">
        <v>0.77322961373390564</v>
      </c>
      <c r="I80" s="18">
        <v>-6.2499999999999778E-3</v>
      </c>
    </row>
    <row r="81" spans="1:9" x14ac:dyDescent="0.25">
      <c r="A81" s="2">
        <v>43123</v>
      </c>
      <c r="B81" s="4" t="s">
        <v>126</v>
      </c>
      <c r="C81" s="3">
        <v>54</v>
      </c>
      <c r="D81" s="26">
        <v>2.4900000000000002</v>
      </c>
      <c r="E81" s="26">
        <v>2.3881999999999999</v>
      </c>
      <c r="F81" s="18">
        <v>9.8320000000000007</v>
      </c>
      <c r="G81" s="18">
        <v>0.74674532139951189</v>
      </c>
      <c r="H81" s="18">
        <v>0.75709926769731484</v>
      </c>
      <c r="I81" s="18">
        <v>-1.0353946297803174E-2</v>
      </c>
    </row>
    <row r="82" spans="1:9" x14ac:dyDescent="0.25">
      <c r="A82" s="2">
        <v>43123</v>
      </c>
      <c r="B82" s="4" t="s">
        <v>127</v>
      </c>
      <c r="C82" s="3">
        <v>1824</v>
      </c>
      <c r="D82" s="26">
        <v>0.80194166666666677</v>
      </c>
      <c r="E82" s="26">
        <v>0.84240000000000004</v>
      </c>
      <c r="F82" s="18">
        <v>2.1349999999999998</v>
      </c>
      <c r="G82" s="18">
        <v>0.62438329430132711</v>
      </c>
      <c r="H82" s="18">
        <v>0.60543325526932079</v>
      </c>
      <c r="I82" s="18">
        <v>1.8950039032006316E-2</v>
      </c>
    </row>
    <row r="83" spans="1:9" x14ac:dyDescent="0.25">
      <c r="A83" s="2">
        <v>43123</v>
      </c>
      <c r="B83" s="4" t="s">
        <v>143</v>
      </c>
      <c r="C83" s="3">
        <v>2214</v>
      </c>
      <c r="D83" s="26">
        <v>2.1779999999999999</v>
      </c>
      <c r="E83" s="26">
        <v>2.1208999999999998</v>
      </c>
      <c r="F83" s="18">
        <v>5.2279999999999998</v>
      </c>
      <c r="G83" s="18">
        <v>0.58339709257842387</v>
      </c>
      <c r="H83" s="18">
        <v>0.59431905126243312</v>
      </c>
      <c r="I83" s="18">
        <v>-1.0921958684009248E-2</v>
      </c>
    </row>
    <row r="84" spans="1:9" x14ac:dyDescent="0.25">
      <c r="A84" s="2">
        <v>43123</v>
      </c>
      <c r="B84" s="4" t="s">
        <v>180</v>
      </c>
      <c r="C84" s="3">
        <v>752</v>
      </c>
      <c r="D84" s="26">
        <v>0.81732499999999997</v>
      </c>
      <c r="E84" s="26">
        <v>0.85719999999999996</v>
      </c>
      <c r="F84" s="18">
        <v>2.496</v>
      </c>
      <c r="G84" s="18">
        <v>0.67254607371794872</v>
      </c>
      <c r="H84" s="18">
        <v>0.65657051282051282</v>
      </c>
      <c r="I84" s="18">
        <v>1.5975560897435903E-2</v>
      </c>
    </row>
    <row r="85" spans="1:9" x14ac:dyDescent="0.25">
      <c r="A85" s="2">
        <v>43123</v>
      </c>
      <c r="B85" s="4" t="s">
        <v>185</v>
      </c>
      <c r="C85" s="3">
        <v>240</v>
      </c>
      <c r="D85" s="26">
        <v>0.66046666666666665</v>
      </c>
      <c r="E85" s="26">
        <v>0.6996</v>
      </c>
      <c r="F85" s="18">
        <v>2.5299999999999998</v>
      </c>
      <c r="G85" s="18">
        <v>0.73894598155467717</v>
      </c>
      <c r="H85" s="18">
        <v>0.72347826086956524</v>
      </c>
      <c r="I85" s="18">
        <v>1.546772068511193E-2</v>
      </c>
    </row>
    <row r="86" spans="1:9" x14ac:dyDescent="0.25">
      <c r="A86" s="2">
        <v>43123</v>
      </c>
      <c r="B86" s="4" t="s">
        <v>196</v>
      </c>
      <c r="C86" s="3">
        <v>7332</v>
      </c>
      <c r="D86" s="26">
        <v>1.2207833333333331</v>
      </c>
      <c r="E86" s="26">
        <v>1.3088</v>
      </c>
      <c r="F86" s="18">
        <v>3.2349999999999999</v>
      </c>
      <c r="G86" s="18">
        <v>0.62263266357547653</v>
      </c>
      <c r="H86" s="18">
        <v>0.59542503863987639</v>
      </c>
      <c r="I86" s="18">
        <v>2.7207624935600139E-2</v>
      </c>
    </row>
    <row r="87" spans="1:9" x14ac:dyDescent="0.25">
      <c r="A87" s="2">
        <v>43123</v>
      </c>
      <c r="B87" s="4" t="s">
        <v>207</v>
      </c>
      <c r="C87" s="3">
        <v>3488</v>
      </c>
      <c r="D87" s="26">
        <v>0.78490000000000004</v>
      </c>
      <c r="E87" s="26">
        <v>0.92330000000000001</v>
      </c>
      <c r="F87" s="18">
        <v>2.1</v>
      </c>
      <c r="G87" s="18">
        <v>0.62623809523809526</v>
      </c>
      <c r="H87" s="18">
        <v>0.56033333333333335</v>
      </c>
      <c r="I87" s="18">
        <v>6.590476190476191E-2</v>
      </c>
    </row>
    <row r="88" spans="1:9" x14ac:dyDescent="0.25">
      <c r="A88" s="2">
        <v>43123</v>
      </c>
      <c r="B88" s="4" t="s">
        <v>208</v>
      </c>
      <c r="C88" s="3">
        <v>7152</v>
      </c>
      <c r="D88" s="26">
        <v>1.5879000000000001</v>
      </c>
      <c r="E88" s="26">
        <v>1.7366999999999999</v>
      </c>
      <c r="F88" s="18">
        <v>5.6429999999999998</v>
      </c>
      <c r="G88" s="18">
        <v>0.71860712387028169</v>
      </c>
      <c r="H88" s="18">
        <v>0.69223817118553965</v>
      </c>
      <c r="I88" s="18">
        <v>2.6368952684742038E-2</v>
      </c>
    </row>
    <row r="89" spans="1:9" x14ac:dyDescent="0.25">
      <c r="A89" s="2">
        <v>43123</v>
      </c>
      <c r="B89" s="4" t="s">
        <v>211</v>
      </c>
      <c r="C89" s="3">
        <v>606</v>
      </c>
      <c r="D89" s="26">
        <v>1.4575333333333331</v>
      </c>
      <c r="E89" s="26">
        <v>1.3544</v>
      </c>
      <c r="F89" s="18">
        <v>3.2160000000000002</v>
      </c>
      <c r="G89" s="18">
        <v>0.54678689883913767</v>
      </c>
      <c r="H89" s="18">
        <v>0.57885572139303487</v>
      </c>
      <c r="I89" s="18">
        <v>-3.2068822553897203E-2</v>
      </c>
    </row>
    <row r="90" spans="1:9" x14ac:dyDescent="0.25">
      <c r="A90" s="2">
        <v>43123</v>
      </c>
      <c r="B90" s="4" t="s">
        <v>457</v>
      </c>
      <c r="C90" s="3">
        <v>852</v>
      </c>
      <c r="D90" s="26">
        <v>3.1250666666666667</v>
      </c>
      <c r="E90" s="26">
        <v>3.61</v>
      </c>
      <c r="F90" s="18">
        <v>9.49</v>
      </c>
      <c r="G90" s="18">
        <v>0.67069898138391282</v>
      </c>
      <c r="H90" s="18">
        <v>0.61959957850368819</v>
      </c>
      <c r="I90" s="18">
        <v>5.1099402880224631E-2</v>
      </c>
    </row>
    <row r="91" spans="1:9" x14ac:dyDescent="0.25">
      <c r="A91" s="2">
        <v>43123</v>
      </c>
      <c r="B91" s="4" t="s">
        <v>456</v>
      </c>
      <c r="C91" s="3">
        <v>1422</v>
      </c>
      <c r="D91" s="26">
        <v>3.2147000000000001</v>
      </c>
      <c r="E91" s="26">
        <v>3.8251833333333334</v>
      </c>
      <c r="F91" s="18">
        <v>9.49</v>
      </c>
      <c r="G91" s="18">
        <v>0.6612539515279241</v>
      </c>
      <c r="H91" s="18">
        <v>0.59692483315770983</v>
      </c>
      <c r="I91" s="18">
        <v>6.4329118370214267E-2</v>
      </c>
    </row>
    <row r="92" spans="1:9" x14ac:dyDescent="0.25">
      <c r="A92" s="2">
        <v>43123</v>
      </c>
      <c r="B92" s="4" t="s">
        <v>455</v>
      </c>
      <c r="C92" s="3">
        <v>2022</v>
      </c>
      <c r="D92" s="26">
        <v>0.69810000000000005</v>
      </c>
      <c r="E92" s="26">
        <v>0.88939999999999997</v>
      </c>
      <c r="F92" s="18">
        <v>2.44</v>
      </c>
      <c r="G92" s="18">
        <v>0.71389344262295074</v>
      </c>
      <c r="H92" s="18">
        <v>0.63549180327868848</v>
      </c>
      <c r="I92" s="18">
        <v>7.8401639344262253E-2</v>
      </c>
    </row>
    <row r="93" spans="1:9" x14ac:dyDescent="0.25">
      <c r="A93" s="2">
        <v>43124</v>
      </c>
      <c r="B93" s="4" t="s">
        <v>93</v>
      </c>
      <c r="C93" s="3">
        <v>1575</v>
      </c>
      <c r="D93" s="26">
        <v>19.562900000000003</v>
      </c>
      <c r="E93" s="26">
        <v>18.264399999999998</v>
      </c>
      <c r="F93" s="18">
        <v>54.418999999999997</v>
      </c>
      <c r="G93" s="18">
        <v>0.64051342362042674</v>
      </c>
      <c r="H93" s="18">
        <v>0.6643745750565061</v>
      </c>
      <c r="I93" s="18">
        <v>-2.3861151436079364E-2</v>
      </c>
    </row>
    <row r="94" spans="1:9" x14ac:dyDescent="0.25">
      <c r="A94" s="2">
        <v>43124</v>
      </c>
      <c r="B94" s="4" t="s">
        <v>103</v>
      </c>
      <c r="C94" s="3">
        <v>2382</v>
      </c>
      <c r="D94" s="26">
        <v>1.4773500000000002</v>
      </c>
      <c r="E94" s="26">
        <v>1.8097000000000001</v>
      </c>
      <c r="F94" s="18">
        <v>4.8170000000000002</v>
      </c>
      <c r="G94" s="18">
        <v>0.69330496159435329</v>
      </c>
      <c r="H94" s="18">
        <v>0.62430973635042553</v>
      </c>
      <c r="I94" s="18">
        <v>6.899522524392776E-2</v>
      </c>
    </row>
    <row r="95" spans="1:9" x14ac:dyDescent="0.25">
      <c r="A95" s="2">
        <v>43124</v>
      </c>
      <c r="B95" s="4" t="s">
        <v>117</v>
      </c>
      <c r="C95" s="3">
        <v>22536</v>
      </c>
      <c r="D95" s="26">
        <v>3.2107000000000001</v>
      </c>
      <c r="E95" s="26">
        <v>3.2519999999999998</v>
      </c>
      <c r="F95" s="18">
        <v>7.44</v>
      </c>
      <c r="G95" s="18">
        <v>0.56845430107526884</v>
      </c>
      <c r="H95" s="18">
        <v>0.56290322580645169</v>
      </c>
      <c r="I95" s="18">
        <v>5.5510752688171516E-3</v>
      </c>
    </row>
    <row r="96" spans="1:9" x14ac:dyDescent="0.25">
      <c r="A96" s="2">
        <v>43124</v>
      </c>
      <c r="B96" s="4" t="s">
        <v>128</v>
      </c>
      <c r="C96" s="3">
        <v>4464</v>
      </c>
      <c r="D96" s="26">
        <v>0.224</v>
      </c>
      <c r="E96" s="26">
        <v>0.22637499999999999</v>
      </c>
      <c r="F96" s="18">
        <v>0.57199999999999995</v>
      </c>
      <c r="G96" s="18">
        <v>0.60839160839160844</v>
      </c>
      <c r="H96" s="18">
        <v>0.60423951048951052</v>
      </c>
      <c r="I96" s="18">
        <v>4.1520979020979176E-3</v>
      </c>
    </row>
    <row r="97" spans="1:9" x14ac:dyDescent="0.25">
      <c r="A97" s="2">
        <v>43124</v>
      </c>
      <c r="B97" s="4" t="s">
        <v>136</v>
      </c>
      <c r="C97" s="3">
        <v>3264</v>
      </c>
      <c r="D97" s="26">
        <v>1.9318</v>
      </c>
      <c r="E97" s="26">
        <v>1.9260333333333337</v>
      </c>
      <c r="F97" s="18">
        <v>5.4889999999999999</v>
      </c>
      <c r="G97" s="18">
        <v>0.64805975587538711</v>
      </c>
      <c r="H97" s="18">
        <v>0.64911034189591299</v>
      </c>
      <c r="I97" s="18">
        <v>-1.0505860205258788E-3</v>
      </c>
    </row>
    <row r="98" spans="1:9" x14ac:dyDescent="0.25">
      <c r="A98" s="2">
        <v>43124</v>
      </c>
      <c r="B98" s="4" t="s">
        <v>177</v>
      </c>
      <c r="C98" s="3">
        <v>11568</v>
      </c>
      <c r="D98" s="26">
        <v>0.85948333333333349</v>
      </c>
      <c r="E98" s="26">
        <v>0.99988333333333324</v>
      </c>
      <c r="F98" s="18">
        <v>2.4900000000000002</v>
      </c>
      <c r="G98" s="18">
        <v>0.65482597054886216</v>
      </c>
      <c r="H98" s="18">
        <v>0.59844042838018741</v>
      </c>
      <c r="I98" s="18">
        <v>5.6385542168674752E-2</v>
      </c>
    </row>
    <row r="99" spans="1:9" x14ac:dyDescent="0.25">
      <c r="A99" s="2">
        <v>43124</v>
      </c>
      <c r="B99" s="4" t="s">
        <v>214</v>
      </c>
      <c r="C99" s="3">
        <v>10164</v>
      </c>
      <c r="D99" s="26">
        <v>0.63339999999999996</v>
      </c>
      <c r="E99" s="26">
        <v>0.68098333333333327</v>
      </c>
      <c r="F99" s="18">
        <v>2.008</v>
      </c>
      <c r="G99" s="18">
        <v>0.68456175298804778</v>
      </c>
      <c r="H99" s="18">
        <v>0.66086487383798143</v>
      </c>
      <c r="I99" s="18">
        <v>2.3696879150066352E-2</v>
      </c>
    </row>
    <row r="100" spans="1:9" x14ac:dyDescent="0.25">
      <c r="A100" s="2">
        <v>43125</v>
      </c>
      <c r="B100" s="4" t="s">
        <v>42</v>
      </c>
      <c r="C100" s="3">
        <v>100</v>
      </c>
      <c r="D100" s="26">
        <v>4.5803000000000003</v>
      </c>
      <c r="E100" s="26">
        <v>7.3666999999999998</v>
      </c>
      <c r="F100" s="18">
        <v>19.146000000000001</v>
      </c>
      <c r="G100" s="18">
        <v>0.76076987360284132</v>
      </c>
      <c r="H100" s="18">
        <v>0.61523555834116794</v>
      </c>
      <c r="I100" s="18">
        <v>0.14553431526167335</v>
      </c>
    </row>
    <row r="101" spans="1:9" x14ac:dyDescent="0.25">
      <c r="A101" s="2">
        <v>43125</v>
      </c>
      <c r="B101" s="4" t="s">
        <v>103</v>
      </c>
      <c r="C101" s="3">
        <v>6612</v>
      </c>
      <c r="D101" s="26">
        <v>1.4773500000000002</v>
      </c>
      <c r="E101" s="26">
        <v>1.6812</v>
      </c>
      <c r="F101" s="18">
        <v>4.8170000000000002</v>
      </c>
      <c r="G101" s="18">
        <v>0.69330496159435329</v>
      </c>
      <c r="H101" s="18">
        <v>0.65098609092796345</v>
      </c>
      <c r="I101" s="18">
        <v>4.2318870666389841E-2</v>
      </c>
    </row>
    <row r="102" spans="1:9" x14ac:dyDescent="0.25">
      <c r="A102" s="2">
        <v>43125</v>
      </c>
      <c r="B102" s="4" t="s">
        <v>197</v>
      </c>
      <c r="C102" s="3">
        <v>2604</v>
      </c>
      <c r="D102" s="26">
        <v>1.3581500000000002</v>
      </c>
      <c r="E102" s="26">
        <v>1.5958000000000001</v>
      </c>
      <c r="F102" s="18">
        <v>4.41</v>
      </c>
      <c r="G102" s="18">
        <v>0.69202947845804985</v>
      </c>
      <c r="H102" s="18">
        <v>0.63814058956916098</v>
      </c>
      <c r="I102" s="18">
        <v>5.3888888888888875E-2</v>
      </c>
    </row>
    <row r="103" spans="1:9" x14ac:dyDescent="0.25">
      <c r="A103" s="2">
        <v>43125</v>
      </c>
      <c r="B103" s="4" t="s">
        <v>207</v>
      </c>
      <c r="C103" s="3">
        <v>8368</v>
      </c>
      <c r="D103" s="26">
        <v>0.78490000000000004</v>
      </c>
      <c r="E103" s="26">
        <v>0.92600000000000005</v>
      </c>
      <c r="F103" s="18">
        <v>2.1</v>
      </c>
      <c r="G103" s="18">
        <v>0.62623809523809526</v>
      </c>
      <c r="H103" s="18">
        <v>0.55904761904761902</v>
      </c>
      <c r="I103" s="18">
        <v>6.7190476190476245E-2</v>
      </c>
    </row>
    <row r="104" spans="1:9" x14ac:dyDescent="0.25">
      <c r="A104" s="2">
        <v>43125</v>
      </c>
      <c r="B104" s="4" t="s">
        <v>420</v>
      </c>
      <c r="C104" s="3">
        <v>858</v>
      </c>
      <c r="D104" s="26">
        <v>1.1291666666666669</v>
      </c>
      <c r="E104" s="26">
        <v>1.2681833333333332</v>
      </c>
      <c r="F104" s="18">
        <v>4.25</v>
      </c>
      <c r="G104" s="18">
        <v>0.73431372549019613</v>
      </c>
      <c r="H104" s="18">
        <v>0.7016039215686275</v>
      </c>
      <c r="I104" s="18">
        <v>3.2709803921568636E-2</v>
      </c>
    </row>
    <row r="105" spans="1:9" x14ac:dyDescent="0.25">
      <c r="A105" s="2">
        <v>43125</v>
      </c>
      <c r="B105" s="4" t="s">
        <v>442</v>
      </c>
      <c r="C105" s="3">
        <v>24438</v>
      </c>
      <c r="D105" s="26">
        <v>0.60636666666666661</v>
      </c>
      <c r="E105" s="26">
        <v>0.55603333333333327</v>
      </c>
      <c r="F105" s="18">
        <v>1.4750000000000001</v>
      </c>
      <c r="G105" s="18">
        <v>0.58890395480225999</v>
      </c>
      <c r="H105" s="18">
        <v>0.62302824858757067</v>
      </c>
      <c r="I105" s="18">
        <v>-3.4124293785310678E-2</v>
      </c>
    </row>
    <row r="106" spans="1:9" x14ac:dyDescent="0.25">
      <c r="A106" s="2">
        <v>43125</v>
      </c>
      <c r="B106" s="4" t="s">
        <v>224</v>
      </c>
      <c r="C106" s="3">
        <v>1185</v>
      </c>
      <c r="D106" s="26">
        <v>6.3479999999999999</v>
      </c>
      <c r="E106" s="26">
        <v>7.6757999999999997</v>
      </c>
      <c r="F106" s="18">
        <v>18.707000000000001</v>
      </c>
      <c r="G106" s="18">
        <v>0.66066178435879619</v>
      </c>
      <c r="H106" s="18">
        <v>0.58968300636125526</v>
      </c>
      <c r="I106" s="18">
        <v>7.0978777997540932E-2</v>
      </c>
    </row>
    <row r="107" spans="1:9" x14ac:dyDescent="0.25">
      <c r="A107" s="2">
        <v>43126</v>
      </c>
      <c r="B107" s="4" t="s">
        <v>18</v>
      </c>
      <c r="C107" s="3">
        <v>426</v>
      </c>
      <c r="D107" s="26">
        <v>1.9830000000000001</v>
      </c>
      <c r="E107" s="26">
        <v>1.9554</v>
      </c>
      <c r="F107" s="18">
        <v>5.8330000000000002</v>
      </c>
      <c r="G107" s="18">
        <v>0.66003771644093945</v>
      </c>
      <c r="H107" s="18">
        <v>0.66476941539516543</v>
      </c>
      <c r="I107" s="18">
        <v>-4.7316989542259824E-3</v>
      </c>
    </row>
    <row r="108" spans="1:9" x14ac:dyDescent="0.25">
      <c r="A108" s="2">
        <v>43126</v>
      </c>
      <c r="B108" s="4" t="s">
        <v>21</v>
      </c>
      <c r="C108" s="3">
        <v>186</v>
      </c>
      <c r="D108" s="26">
        <v>1.8278000000000001</v>
      </c>
      <c r="E108" s="26">
        <v>1.8606</v>
      </c>
      <c r="F108" s="18">
        <v>6.82</v>
      </c>
      <c r="G108" s="18">
        <v>0.73199413489736076</v>
      </c>
      <c r="H108" s="18">
        <v>0.72718475073313771</v>
      </c>
      <c r="I108" s="18">
        <v>4.8093841642229407E-3</v>
      </c>
    </row>
    <row r="109" spans="1:9" x14ac:dyDescent="0.25">
      <c r="A109" s="2">
        <v>43126</v>
      </c>
      <c r="B109" s="4" t="s">
        <v>22</v>
      </c>
      <c r="C109" s="3">
        <v>420</v>
      </c>
      <c r="D109" s="26">
        <v>1.8922000000000001</v>
      </c>
      <c r="E109" s="26">
        <v>2.2656000000000001</v>
      </c>
      <c r="F109" s="18">
        <v>6.9640000000000004</v>
      </c>
      <c r="G109" s="18">
        <v>0.72828834003446308</v>
      </c>
      <c r="H109" s="18">
        <v>0.67466973004020681</v>
      </c>
      <c r="I109" s="18">
        <v>5.3618609994256161E-2</v>
      </c>
    </row>
    <row r="110" spans="1:9" x14ac:dyDescent="0.25">
      <c r="A110" s="2">
        <v>43126</v>
      </c>
      <c r="B110" s="4" t="s">
        <v>26</v>
      </c>
      <c r="C110" s="3">
        <v>112</v>
      </c>
      <c r="D110" s="26">
        <v>5.2862</v>
      </c>
      <c r="E110" s="26">
        <v>5.5582000000000003</v>
      </c>
      <c r="F110" s="18">
        <v>16.376000000000001</v>
      </c>
      <c r="G110" s="18">
        <v>0.67719833903273075</v>
      </c>
      <c r="H110" s="18">
        <v>0.6605886663409869</v>
      </c>
      <c r="I110" s="18">
        <v>1.6609672691743849E-2</v>
      </c>
    </row>
    <row r="111" spans="1:9" x14ac:dyDescent="0.25">
      <c r="A111" s="2">
        <v>43126</v>
      </c>
      <c r="B111" s="4" t="s">
        <v>68</v>
      </c>
      <c r="C111" s="3">
        <v>640</v>
      </c>
      <c r="D111" s="26">
        <v>0.15583333333333335</v>
      </c>
      <c r="E111" s="26">
        <v>1.1346000000000001</v>
      </c>
      <c r="F111" s="18">
        <v>2.2650000000000001</v>
      </c>
      <c r="G111" s="18">
        <v>0.93119941133186179</v>
      </c>
      <c r="H111" s="18">
        <v>0.49907284768211918</v>
      </c>
      <c r="I111" s="18">
        <v>0.4321265636497425</v>
      </c>
    </row>
    <row r="112" spans="1:9" x14ac:dyDescent="0.25">
      <c r="A112" s="2">
        <v>43126</v>
      </c>
      <c r="B112" s="4" t="s">
        <v>98</v>
      </c>
      <c r="C112" s="3">
        <v>11280</v>
      </c>
      <c r="D112" s="26">
        <v>0.64739999999999998</v>
      </c>
      <c r="E112" s="26">
        <v>0.63729999999999998</v>
      </c>
      <c r="F112" s="18">
        <v>2.173</v>
      </c>
      <c r="G112" s="18">
        <v>0.70207086976530142</v>
      </c>
      <c r="H112" s="18">
        <v>0.70671882190520019</v>
      </c>
      <c r="I112" s="18">
        <v>-4.64795213989877E-3</v>
      </c>
    </row>
    <row r="113" spans="1:9" x14ac:dyDescent="0.25">
      <c r="A113" s="2">
        <v>43126</v>
      </c>
      <c r="B113" s="4" t="s">
        <v>150</v>
      </c>
      <c r="C113" s="3">
        <v>6132</v>
      </c>
      <c r="D113" s="26">
        <v>0.81464999999999999</v>
      </c>
      <c r="E113" s="26">
        <v>0.87250000000000005</v>
      </c>
      <c r="F113" s="18">
        <v>2.0350000000000001</v>
      </c>
      <c r="G113" s="18">
        <v>0.59968058968058979</v>
      </c>
      <c r="H113" s="18">
        <v>0.57125307125307123</v>
      </c>
      <c r="I113" s="18">
        <v>2.8427518427518561E-2</v>
      </c>
    </row>
    <row r="114" spans="1:9" x14ac:dyDescent="0.25">
      <c r="A114" s="2">
        <v>43126</v>
      </c>
      <c r="B114" s="4" t="s">
        <v>167</v>
      </c>
      <c r="C114" s="3">
        <v>483</v>
      </c>
      <c r="D114" s="26">
        <v>7.7655000000000003</v>
      </c>
      <c r="E114" s="26">
        <v>7.6412000000000004</v>
      </c>
      <c r="F114" s="18">
        <v>22.274999999999999</v>
      </c>
      <c r="G114" s="18">
        <v>0.65138047138047139</v>
      </c>
      <c r="H114" s="18">
        <v>0.65696071829405156</v>
      </c>
      <c r="I114" s="18">
        <v>-5.5802469135801669E-3</v>
      </c>
    </row>
    <row r="115" spans="1:9" x14ac:dyDescent="0.25">
      <c r="A115" s="2">
        <v>43126</v>
      </c>
      <c r="B115" s="4" t="s">
        <v>171</v>
      </c>
      <c r="C115" s="3">
        <v>15896</v>
      </c>
      <c r="D115" s="26">
        <v>0.2648625</v>
      </c>
      <c r="E115" s="26">
        <v>0.3082333333333333</v>
      </c>
      <c r="F115" s="18">
        <v>0.96499999999999997</v>
      </c>
      <c r="G115" s="18">
        <v>0.72553108808290157</v>
      </c>
      <c r="H115" s="18">
        <v>0.68058721934369615</v>
      </c>
      <c r="I115" s="18">
        <v>4.4943868739205417E-2</v>
      </c>
    </row>
    <row r="116" spans="1:9" x14ac:dyDescent="0.25">
      <c r="A116" s="2">
        <v>43126</v>
      </c>
      <c r="B116" s="4" t="s">
        <v>185</v>
      </c>
      <c r="C116" s="3">
        <v>120</v>
      </c>
      <c r="D116" s="26">
        <v>0.49535000000000001</v>
      </c>
      <c r="E116" s="26">
        <v>0.69410000000000005</v>
      </c>
      <c r="F116" s="18">
        <v>2.5299999999999998</v>
      </c>
      <c r="G116" s="18">
        <v>0.80420948616600785</v>
      </c>
      <c r="H116" s="18">
        <v>0.72565217391304337</v>
      </c>
      <c r="I116" s="18">
        <v>7.8557312252964487E-2</v>
      </c>
    </row>
    <row r="117" spans="1:9" x14ac:dyDescent="0.25">
      <c r="A117" s="2">
        <v>43126</v>
      </c>
      <c r="B117" s="4" t="s">
        <v>187</v>
      </c>
      <c r="C117" s="3">
        <v>594</v>
      </c>
      <c r="D117" s="26">
        <v>0.6227166666666667</v>
      </c>
      <c r="E117" s="26">
        <v>0.68459999999999999</v>
      </c>
      <c r="F117" s="18">
        <v>2.3199999999999998</v>
      </c>
      <c r="G117" s="18">
        <v>0.73158764367816076</v>
      </c>
      <c r="H117" s="18">
        <v>0.70491379310344826</v>
      </c>
      <c r="I117" s="18">
        <v>2.667385057471261E-2</v>
      </c>
    </row>
    <row r="118" spans="1:9" x14ac:dyDescent="0.25">
      <c r="A118" s="2">
        <v>43126</v>
      </c>
      <c r="B118" s="4" t="s">
        <v>230</v>
      </c>
      <c r="C118" s="3">
        <v>17052</v>
      </c>
      <c r="D118" s="26">
        <v>0.49230000000000002</v>
      </c>
      <c r="E118" s="26">
        <v>0.54718333333333335</v>
      </c>
      <c r="F118" s="18">
        <v>1.57</v>
      </c>
      <c r="G118" s="18">
        <v>0.68643312101910836</v>
      </c>
      <c r="H118" s="18">
        <v>0.65147558386411886</v>
      </c>
      <c r="I118" s="18">
        <v>3.4957537154989504E-2</v>
      </c>
    </row>
    <row r="119" spans="1:9" x14ac:dyDescent="0.25">
      <c r="A119" s="2">
        <v>43129</v>
      </c>
      <c r="B119" s="4" t="s">
        <v>39</v>
      </c>
      <c r="C119" s="3">
        <v>103</v>
      </c>
      <c r="D119" s="26">
        <v>4.5838999999999999</v>
      </c>
      <c r="E119" s="26">
        <v>4.9901</v>
      </c>
      <c r="F119" s="18">
        <v>15.244</v>
      </c>
      <c r="G119" s="18">
        <v>0.69929808449225928</v>
      </c>
      <c r="H119" s="18">
        <v>0.67265153503017583</v>
      </c>
      <c r="I119" s="18">
        <v>2.6646549462083446E-2</v>
      </c>
    </row>
    <row r="120" spans="1:9" x14ac:dyDescent="0.25">
      <c r="A120" s="2">
        <v>43129</v>
      </c>
      <c r="B120" s="4" t="s">
        <v>86</v>
      </c>
      <c r="C120" s="3">
        <v>2582</v>
      </c>
      <c r="D120" s="26">
        <v>3.1917999999999997</v>
      </c>
      <c r="E120" s="26">
        <v>3.4887999999999999</v>
      </c>
      <c r="F120" s="18">
        <v>8.3770000000000007</v>
      </c>
      <c r="G120" s="18">
        <v>0.61898054196012897</v>
      </c>
      <c r="H120" s="18">
        <v>0.58352632207234101</v>
      </c>
      <c r="I120" s="18">
        <v>3.5454219887787963E-2</v>
      </c>
    </row>
    <row r="121" spans="1:9" x14ac:dyDescent="0.25">
      <c r="A121" s="2">
        <v>43129</v>
      </c>
      <c r="B121" s="4" t="s">
        <v>166</v>
      </c>
      <c r="C121" s="3">
        <v>2165</v>
      </c>
      <c r="D121" s="26">
        <v>2.6448</v>
      </c>
      <c r="E121" s="26">
        <v>2.8597000000000001</v>
      </c>
      <c r="F121" s="18">
        <v>6.7880000000000003</v>
      </c>
      <c r="G121" s="18">
        <v>0.61037124337065407</v>
      </c>
      <c r="H121" s="18">
        <v>0.57871243370654091</v>
      </c>
      <c r="I121" s="18">
        <v>3.1658809664113163E-2</v>
      </c>
    </row>
    <row r="122" spans="1:9" x14ac:dyDescent="0.25">
      <c r="A122" s="2">
        <v>43129</v>
      </c>
      <c r="B122" s="4" t="s">
        <v>171</v>
      </c>
      <c r="C122" s="3">
        <v>20856</v>
      </c>
      <c r="D122" s="26">
        <v>0.2648625</v>
      </c>
      <c r="E122" s="26" t="s">
        <v>11</v>
      </c>
      <c r="F122" s="18">
        <v>0.96499999999999997</v>
      </c>
      <c r="G122" s="18">
        <v>0.72553108808290157</v>
      </c>
      <c r="H122" s="18" t="s">
        <v>524</v>
      </c>
      <c r="I122" s="18"/>
    </row>
    <row r="123" spans="1:9" x14ac:dyDescent="0.25">
      <c r="A123" s="2">
        <v>43129</v>
      </c>
      <c r="B123" s="4" t="s">
        <v>206</v>
      </c>
      <c r="C123" s="3">
        <v>5616</v>
      </c>
      <c r="D123" s="26">
        <v>0.45295000000000002</v>
      </c>
      <c r="E123" s="26">
        <v>0.52329999999999999</v>
      </c>
      <c r="F123" s="18">
        <v>1.49</v>
      </c>
      <c r="G123" s="18">
        <v>0.69600671140939596</v>
      </c>
      <c r="H123" s="18">
        <v>0.64879194630872483</v>
      </c>
      <c r="I123" s="18">
        <v>4.721476510067113E-2</v>
      </c>
    </row>
    <row r="124" spans="1:9" x14ac:dyDescent="0.25">
      <c r="A124" s="2">
        <v>43129</v>
      </c>
      <c r="B124" s="4" t="s">
        <v>215</v>
      </c>
      <c r="C124" s="3">
        <v>1043</v>
      </c>
      <c r="D124" s="26">
        <v>4.7690999999999999</v>
      </c>
      <c r="E124" s="26">
        <v>5.8662000000000001</v>
      </c>
      <c r="F124" s="18">
        <v>16.984000000000002</v>
      </c>
      <c r="G124" s="18">
        <v>0.71920042392840322</v>
      </c>
      <c r="H124" s="18">
        <v>0.65460433349034397</v>
      </c>
      <c r="I124" s="18">
        <v>6.459609043805925E-2</v>
      </c>
    </row>
    <row r="125" spans="1:9" x14ac:dyDescent="0.25">
      <c r="A125" s="2">
        <v>43129</v>
      </c>
      <c r="B125" s="4" t="s">
        <v>217</v>
      </c>
      <c r="C125" s="3">
        <v>1266</v>
      </c>
      <c r="D125" s="26">
        <v>4.4640000000000004</v>
      </c>
      <c r="E125" s="26">
        <v>5.3338000000000001</v>
      </c>
      <c r="F125" s="18">
        <v>17.029</v>
      </c>
      <c r="G125" s="18">
        <v>0.73785894650302419</v>
      </c>
      <c r="H125" s="18">
        <v>0.68678137295202302</v>
      </c>
      <c r="I125" s="18">
        <v>5.1077573551001176E-2</v>
      </c>
    </row>
    <row r="126" spans="1:9" x14ac:dyDescent="0.25">
      <c r="A126" s="2">
        <v>43130</v>
      </c>
      <c r="B126" s="4" t="s">
        <v>14</v>
      </c>
      <c r="C126" s="3">
        <v>600</v>
      </c>
      <c r="D126" s="26">
        <v>2.222</v>
      </c>
      <c r="E126" s="26">
        <v>2.5918999999999999</v>
      </c>
      <c r="F126" s="18">
        <v>6.0140000000000002</v>
      </c>
      <c r="G126" s="18">
        <v>0.63052876621217158</v>
      </c>
      <c r="H126" s="18">
        <v>0.56902228134353183</v>
      </c>
      <c r="I126" s="18">
        <v>6.1506484868639744E-2</v>
      </c>
    </row>
    <row r="127" spans="1:9" x14ac:dyDescent="0.25">
      <c r="A127" s="2">
        <v>43130</v>
      </c>
      <c r="B127" s="4" t="s">
        <v>39</v>
      </c>
      <c r="C127" s="3">
        <v>29</v>
      </c>
      <c r="D127" s="26">
        <v>4.5838999999999999</v>
      </c>
      <c r="E127" s="26">
        <v>4.9375</v>
      </c>
      <c r="F127" s="18">
        <v>15.244</v>
      </c>
      <c r="G127" s="18">
        <v>0.69929808449225928</v>
      </c>
      <c r="H127" s="18">
        <v>0.67610207294673319</v>
      </c>
      <c r="I127" s="18">
        <v>2.3196011545526085E-2</v>
      </c>
    </row>
    <row r="128" spans="1:9" x14ac:dyDescent="0.25">
      <c r="A128" s="2">
        <v>43130</v>
      </c>
      <c r="B128" s="4" t="s">
        <v>214</v>
      </c>
      <c r="C128" s="3">
        <v>9780</v>
      </c>
      <c r="D128" s="26">
        <v>0.63339999999999996</v>
      </c>
      <c r="E128" s="26">
        <v>0.67919166666666664</v>
      </c>
      <c r="F128" s="18">
        <v>2.008</v>
      </c>
      <c r="G128" s="18">
        <v>0.68456175298804778</v>
      </c>
      <c r="H128" s="18">
        <v>0.66175713811420989</v>
      </c>
      <c r="I128" s="18">
        <v>2.2804614873837892E-2</v>
      </c>
    </row>
    <row r="129" spans="1:9" x14ac:dyDescent="0.25">
      <c r="A129" s="2">
        <v>43130</v>
      </c>
      <c r="B129" s="4" t="s">
        <v>440</v>
      </c>
      <c r="C129" s="3">
        <v>15240</v>
      </c>
      <c r="D129" s="26">
        <v>0.58772000000000002</v>
      </c>
      <c r="E129" s="26">
        <v>0.6905</v>
      </c>
      <c r="F129" s="18">
        <v>1.4850000000000001</v>
      </c>
      <c r="G129" s="18">
        <v>0.60422895622895623</v>
      </c>
      <c r="H129" s="18">
        <v>0.53501683501683506</v>
      </c>
      <c r="I129" s="18">
        <v>6.9212121212121169E-2</v>
      </c>
    </row>
    <row r="130" spans="1:9" x14ac:dyDescent="0.25">
      <c r="A130" s="2">
        <v>43130</v>
      </c>
      <c r="B130" s="4" t="s">
        <v>442</v>
      </c>
      <c r="C130" s="3">
        <v>25638</v>
      </c>
      <c r="D130" s="26">
        <v>0.60636666666666661</v>
      </c>
      <c r="E130" s="26">
        <v>0.53569999999999995</v>
      </c>
      <c r="F130" s="18">
        <v>1.4750000000000001</v>
      </c>
      <c r="G130" s="18">
        <v>0.58890395480225999</v>
      </c>
      <c r="H130" s="18">
        <v>0.63681355932203398</v>
      </c>
      <c r="I130" s="18">
        <v>-4.7909604519774003E-2</v>
      </c>
    </row>
    <row r="131" spans="1:9" x14ac:dyDescent="0.25">
      <c r="A131" s="2">
        <v>43130</v>
      </c>
      <c r="B131" s="4" t="s">
        <v>430</v>
      </c>
      <c r="C131" s="3">
        <v>4644</v>
      </c>
      <c r="D131" s="26">
        <v>2.8742000000000001</v>
      </c>
      <c r="E131" s="26">
        <v>3.2738999999999998</v>
      </c>
      <c r="F131" s="18">
        <v>7.4450000000000003</v>
      </c>
      <c r="G131" s="18">
        <v>0.61394224311618539</v>
      </c>
      <c r="H131" s="18">
        <v>0.5602552048354601</v>
      </c>
      <c r="I131" s="18">
        <v>5.3687038280725297E-2</v>
      </c>
    </row>
    <row r="132" spans="1:9" x14ac:dyDescent="0.25">
      <c r="A132" s="2">
        <v>43131</v>
      </c>
      <c r="B132" s="4" t="s">
        <v>102</v>
      </c>
      <c r="C132" s="3">
        <v>8016</v>
      </c>
      <c r="D132" s="26">
        <v>1.855</v>
      </c>
      <c r="E132" s="26">
        <v>1.7296</v>
      </c>
      <c r="F132" s="18">
        <v>5.9690000000000003</v>
      </c>
      <c r="G132" s="18">
        <v>0.68922767632769322</v>
      </c>
      <c r="H132" s="18">
        <v>0.71023622047244084</v>
      </c>
      <c r="I132" s="18">
        <v>-2.1008544144747621E-2</v>
      </c>
    </row>
    <row r="133" spans="1:9" x14ac:dyDescent="0.25">
      <c r="A133" s="2">
        <v>43131</v>
      </c>
      <c r="B133" s="4" t="s">
        <v>214</v>
      </c>
      <c r="C133" s="3">
        <v>10848</v>
      </c>
      <c r="D133" s="26">
        <v>0.63339999999999996</v>
      </c>
      <c r="E133" s="26">
        <v>0.64075000000000004</v>
      </c>
      <c r="F133" s="18">
        <v>2.008</v>
      </c>
      <c r="G133" s="18">
        <v>0.68456175298804778</v>
      </c>
      <c r="H133" s="18">
        <v>0.68090139442231068</v>
      </c>
      <c r="I133" s="18">
        <v>3.6603585657370985E-3</v>
      </c>
    </row>
    <row r="134" spans="1:9" x14ac:dyDescent="0.25">
      <c r="A134" s="2">
        <v>43131</v>
      </c>
      <c r="B134" s="4" t="s">
        <v>440</v>
      </c>
      <c r="C134" s="3">
        <v>14000</v>
      </c>
      <c r="D134" s="26">
        <v>0.58772000000000002</v>
      </c>
      <c r="E134" s="26">
        <v>0.59089999999999998</v>
      </c>
      <c r="F134" s="18">
        <v>1.4850000000000001</v>
      </c>
      <c r="G134" s="18">
        <v>0.60422895622895623</v>
      </c>
      <c r="H134" s="18">
        <v>0.60208754208754212</v>
      </c>
      <c r="I134" s="18">
        <v>2.1414141414141108E-3</v>
      </c>
    </row>
    <row r="135" spans="1:9" x14ac:dyDescent="0.25">
      <c r="A135" s="2">
        <v>43131</v>
      </c>
      <c r="B135" s="4" t="s">
        <v>442</v>
      </c>
      <c r="C135" s="3">
        <v>26760</v>
      </c>
      <c r="D135" s="26">
        <v>0.60636666666666661</v>
      </c>
      <c r="E135" s="26">
        <v>0.51259999999999994</v>
      </c>
      <c r="F135" s="18">
        <v>1.4750000000000001</v>
      </c>
      <c r="G135" s="18">
        <v>0.58890395480225999</v>
      </c>
      <c r="H135" s="18">
        <v>0.65247457627118655</v>
      </c>
      <c r="I135" s="18">
        <v>-6.3570621468926558E-2</v>
      </c>
    </row>
    <row r="136" spans="1:9" x14ac:dyDescent="0.25">
      <c r="A136" s="2">
        <v>43132</v>
      </c>
      <c r="B136" s="4" t="s">
        <v>98</v>
      </c>
      <c r="C136" s="3">
        <v>30372</v>
      </c>
      <c r="D136" s="26">
        <v>0.64739999999999998</v>
      </c>
      <c r="E136" s="26">
        <v>0.71660000000000001</v>
      </c>
      <c r="F136" s="18">
        <v>2.173</v>
      </c>
      <c r="G136" s="18">
        <v>0.70207086976530142</v>
      </c>
      <c r="H136" s="18">
        <v>0.67022549470777726</v>
      </c>
      <c r="I136" s="18">
        <v>3.1845375057524161E-2</v>
      </c>
    </row>
    <row r="137" spans="1:9" x14ac:dyDescent="0.25">
      <c r="A137" s="2">
        <v>43132</v>
      </c>
      <c r="B137" s="4" t="s">
        <v>114</v>
      </c>
      <c r="C137" s="3">
        <v>3036</v>
      </c>
      <c r="D137" s="26">
        <v>1.9074</v>
      </c>
      <c r="E137" s="26">
        <v>1.7323</v>
      </c>
      <c r="F137" s="18">
        <v>5.9749999999999996</v>
      </c>
      <c r="G137" s="18">
        <v>0.68076987447698745</v>
      </c>
      <c r="H137" s="18">
        <v>0.71007531380753131</v>
      </c>
      <c r="I137" s="18">
        <v>-2.9305439330543859E-2</v>
      </c>
    </row>
    <row r="138" spans="1:9" x14ac:dyDescent="0.25">
      <c r="A138" s="2">
        <v>43132</v>
      </c>
      <c r="B138" s="4" t="s">
        <v>174</v>
      </c>
      <c r="C138" s="3">
        <v>1128</v>
      </c>
      <c r="D138" s="26">
        <v>10.506500000000001</v>
      </c>
      <c r="E138" s="26">
        <v>11.6896</v>
      </c>
      <c r="F138" s="18">
        <v>6.7809999999999997</v>
      </c>
      <c r="G138" s="18">
        <v>-0.54940274295826563</v>
      </c>
      <c r="H138" s="18">
        <v>-0.72387553458192011</v>
      </c>
      <c r="I138" s="18">
        <v>0.17447279162365459</v>
      </c>
    </row>
    <row r="139" spans="1:9" x14ac:dyDescent="0.25">
      <c r="A139" s="2">
        <v>43132</v>
      </c>
      <c r="B139" s="4" t="s">
        <v>175</v>
      </c>
      <c r="C139" s="3">
        <v>1180</v>
      </c>
      <c r="D139" s="26">
        <v>9.8437999999999999</v>
      </c>
      <c r="E139" s="26">
        <v>8.6166</v>
      </c>
      <c r="F139" s="18">
        <v>24.484999999999999</v>
      </c>
      <c r="G139" s="18">
        <v>0.59796610169491526</v>
      </c>
      <c r="H139" s="18">
        <v>0.64808658362262606</v>
      </c>
      <c r="I139" s="18">
        <v>-5.0120481927710792E-2</v>
      </c>
    </row>
    <row r="140" spans="1:9" x14ac:dyDescent="0.25">
      <c r="A140" s="2">
        <v>43132</v>
      </c>
      <c r="B140" s="4" t="s">
        <v>176</v>
      </c>
      <c r="C140" s="3">
        <v>972</v>
      </c>
      <c r="D140" s="26">
        <v>10.964499999999999</v>
      </c>
      <c r="E140" s="26">
        <v>11.776300000000001</v>
      </c>
      <c r="F140" s="18">
        <v>25.591000000000001</v>
      </c>
      <c r="G140" s="18">
        <v>0.57154859130162949</v>
      </c>
      <c r="H140" s="18">
        <v>0.53982650150443512</v>
      </c>
      <c r="I140" s="18">
        <v>3.1722089797194375E-2</v>
      </c>
    </row>
    <row r="141" spans="1:9" x14ac:dyDescent="0.25">
      <c r="A141" s="2">
        <v>43132</v>
      </c>
      <c r="B141" s="4" t="s">
        <v>192</v>
      </c>
      <c r="C141" s="3">
        <v>5192</v>
      </c>
      <c r="D141" s="26">
        <v>0.75702499999999995</v>
      </c>
      <c r="E141" s="26">
        <v>0.88726249999999995</v>
      </c>
      <c r="F141" s="18">
        <v>2.5</v>
      </c>
      <c r="G141" s="18">
        <v>0.69718999999999998</v>
      </c>
      <c r="H141" s="18">
        <v>0.64509500000000009</v>
      </c>
      <c r="I141" s="18">
        <v>5.2094999999999891E-2</v>
      </c>
    </row>
    <row r="142" spans="1:9" x14ac:dyDescent="0.25">
      <c r="A142" s="2">
        <v>43132</v>
      </c>
      <c r="B142" s="4" t="s">
        <v>210</v>
      </c>
      <c r="C142" s="3">
        <v>436</v>
      </c>
      <c r="D142" s="26">
        <v>4.8363000000000005</v>
      </c>
      <c r="E142" s="26">
        <v>5.5679999999999996</v>
      </c>
      <c r="F142" s="18">
        <v>18.672999999999998</v>
      </c>
      <c r="G142" s="18">
        <v>0.7410003748728109</v>
      </c>
      <c r="H142" s="18">
        <v>0.70181545547046542</v>
      </c>
      <c r="I142" s="18">
        <v>3.9184919402345475E-2</v>
      </c>
    </row>
    <row r="143" spans="1:9" x14ac:dyDescent="0.25">
      <c r="A143" s="2">
        <v>43132</v>
      </c>
      <c r="B143" s="4" t="s">
        <v>441</v>
      </c>
      <c r="C143" s="3">
        <v>6084</v>
      </c>
      <c r="D143" s="26">
        <v>0.51390000000000002</v>
      </c>
      <c r="E143" s="26">
        <v>0.49320000000000003</v>
      </c>
      <c r="F143" s="18">
        <v>1.349</v>
      </c>
      <c r="G143" s="18">
        <v>0.61905114899925873</v>
      </c>
      <c r="H143" s="18">
        <v>0.63439584877687172</v>
      </c>
      <c r="I143" s="18">
        <v>-1.5344699777612991E-2</v>
      </c>
    </row>
    <row r="144" spans="1:9" x14ac:dyDescent="0.25">
      <c r="A144" s="2">
        <v>43133</v>
      </c>
      <c r="B144" s="4" t="s">
        <v>86</v>
      </c>
      <c r="C144" s="3">
        <v>435</v>
      </c>
      <c r="D144" s="26">
        <v>3.1917999999999997</v>
      </c>
      <c r="E144" s="26">
        <v>3.7873000000000001</v>
      </c>
      <c r="F144" s="18">
        <v>8.3770000000000007</v>
      </c>
      <c r="G144" s="18">
        <v>0.61898054196012897</v>
      </c>
      <c r="H144" s="18">
        <v>0.54789304046794796</v>
      </c>
      <c r="I144" s="18">
        <v>7.1087501492181016E-2</v>
      </c>
    </row>
    <row r="145" spans="1:9" x14ac:dyDescent="0.25">
      <c r="A145" s="2">
        <v>43133</v>
      </c>
      <c r="B145" s="4" t="s">
        <v>87</v>
      </c>
      <c r="C145" s="3">
        <v>2460</v>
      </c>
      <c r="D145" s="26">
        <v>3.0796999999999999</v>
      </c>
      <c r="E145" s="26">
        <v>4.2580999999999998</v>
      </c>
      <c r="F145" s="18">
        <v>8.3740000000000006</v>
      </c>
      <c r="G145" s="18">
        <v>0.63223071411511822</v>
      </c>
      <c r="H145" s="18">
        <v>0.49150943396226426</v>
      </c>
      <c r="I145" s="18">
        <v>0.14072128015285401</v>
      </c>
    </row>
    <row r="146" spans="1:9" x14ac:dyDescent="0.25">
      <c r="A146" s="2">
        <v>43133</v>
      </c>
      <c r="B146" s="4" t="s">
        <v>161</v>
      </c>
      <c r="C146" s="3">
        <v>3930</v>
      </c>
      <c r="D146" s="26">
        <v>3.2098333333333335</v>
      </c>
      <c r="E146" s="26">
        <v>3.3580333333333332</v>
      </c>
      <c r="F146" s="18">
        <v>10.265000000000001</v>
      </c>
      <c r="G146" s="18">
        <v>0.68730313362558848</v>
      </c>
      <c r="H146" s="18">
        <v>0.67286572495534991</v>
      </c>
      <c r="I146" s="18">
        <v>1.4437408670238572E-2</v>
      </c>
    </row>
    <row r="147" spans="1:9" x14ac:dyDescent="0.25">
      <c r="A147" s="2">
        <v>43133</v>
      </c>
      <c r="B147" s="4" t="s">
        <v>162</v>
      </c>
      <c r="C147" s="3">
        <v>15576</v>
      </c>
      <c r="D147" s="26">
        <v>0.65576666666666672</v>
      </c>
      <c r="E147" s="26">
        <v>0.62964999999999993</v>
      </c>
      <c r="F147" s="18">
        <v>2.2469999999999999</v>
      </c>
      <c r="G147" s="18">
        <v>0.7081590268506156</v>
      </c>
      <c r="H147" s="18">
        <v>0.71978193146417457</v>
      </c>
      <c r="I147" s="18">
        <v>-1.1622904613558973E-2</v>
      </c>
    </row>
    <row r="148" spans="1:9" x14ac:dyDescent="0.25">
      <c r="A148" s="2">
        <v>43133</v>
      </c>
      <c r="B148" s="4" t="s">
        <v>172</v>
      </c>
      <c r="C148" s="3">
        <v>2368</v>
      </c>
      <c r="D148" s="26">
        <v>2.229975</v>
      </c>
      <c r="E148" s="26">
        <v>2.5212249999999998</v>
      </c>
      <c r="F148" s="18">
        <v>6.32</v>
      </c>
      <c r="G148" s="18">
        <v>0.64715585443037982</v>
      </c>
      <c r="H148" s="18">
        <v>0.60107199367088615</v>
      </c>
      <c r="I148" s="18">
        <v>4.6083860759493667E-2</v>
      </c>
    </row>
    <row r="149" spans="1:9" x14ac:dyDescent="0.25">
      <c r="A149" s="2">
        <v>43133</v>
      </c>
      <c r="B149" s="4" t="s">
        <v>181</v>
      </c>
      <c r="C149" s="3">
        <v>3320</v>
      </c>
      <c r="D149" s="26">
        <v>2.261825</v>
      </c>
      <c r="E149" s="26">
        <v>2.6272875</v>
      </c>
      <c r="F149" s="18">
        <v>7.3079999999999998</v>
      </c>
      <c r="G149" s="18">
        <v>0.6905001368363437</v>
      </c>
      <c r="H149" s="18">
        <v>0.64049158456486044</v>
      </c>
      <c r="I149" s="18">
        <v>5.0008552271483264E-2</v>
      </c>
    </row>
    <row r="150" spans="1:9" x14ac:dyDescent="0.25">
      <c r="A150" s="2">
        <v>43136</v>
      </c>
      <c r="B150" s="4" t="s">
        <v>96</v>
      </c>
      <c r="C150" s="3">
        <v>2472</v>
      </c>
      <c r="D150" s="26">
        <v>2.1810666666666667</v>
      </c>
      <c r="E150" s="26">
        <v>2.5059833333333335</v>
      </c>
      <c r="F150" s="18">
        <v>6.242</v>
      </c>
      <c r="G150" s="18">
        <v>0.65058207839367721</v>
      </c>
      <c r="H150" s="18">
        <v>0.59852878350955885</v>
      </c>
      <c r="I150" s="18">
        <v>5.2053294884118362E-2</v>
      </c>
    </row>
    <row r="151" spans="1:9" x14ac:dyDescent="0.25">
      <c r="A151" s="2">
        <v>43136</v>
      </c>
      <c r="B151" s="4" t="s">
        <v>97</v>
      </c>
      <c r="C151" s="3">
        <v>3714</v>
      </c>
      <c r="D151" s="26">
        <v>4.7484666666666664</v>
      </c>
      <c r="E151" s="26">
        <v>6.0317499999999997</v>
      </c>
      <c r="F151" s="18">
        <v>12.539</v>
      </c>
      <c r="G151" s="18">
        <v>0.62130419757024746</v>
      </c>
      <c r="H151" s="18">
        <v>0.518960842172422</v>
      </c>
      <c r="I151" s="18">
        <v>0.10234335539782546</v>
      </c>
    </row>
    <row r="152" spans="1:9" x14ac:dyDescent="0.25">
      <c r="A152" s="2">
        <v>43136</v>
      </c>
      <c r="B152" s="4" t="s">
        <v>101</v>
      </c>
      <c r="C152" s="3">
        <v>40536</v>
      </c>
      <c r="D152" s="26">
        <v>0.74429999999999996</v>
      </c>
      <c r="E152" s="26">
        <v>0.73209999999999997</v>
      </c>
      <c r="F152" s="18">
        <v>1.821</v>
      </c>
      <c r="G152" s="18">
        <v>0.59126853377265232</v>
      </c>
      <c r="H152" s="18">
        <v>0.59796814936847886</v>
      </c>
      <c r="I152" s="18">
        <v>-6.6996155958265469E-3</v>
      </c>
    </row>
    <row r="153" spans="1:9" x14ac:dyDescent="0.25">
      <c r="A153" s="2">
        <v>43136</v>
      </c>
      <c r="B153" s="4" t="s">
        <v>107</v>
      </c>
      <c r="C153" s="3">
        <v>12000</v>
      </c>
      <c r="D153" s="26">
        <v>0.53490000000000004</v>
      </c>
      <c r="E153" s="26">
        <v>0.72030000000000005</v>
      </c>
      <c r="F153" s="18">
        <v>1.6439999999999999</v>
      </c>
      <c r="G153" s="18">
        <v>0.67463503649635026</v>
      </c>
      <c r="H153" s="18">
        <v>0.56186131386861304</v>
      </c>
      <c r="I153" s="18">
        <v>0.11277372262773722</v>
      </c>
    </row>
    <row r="154" spans="1:9" x14ac:dyDescent="0.25">
      <c r="A154" s="2">
        <v>43136</v>
      </c>
      <c r="B154" s="4" t="s">
        <v>156</v>
      </c>
      <c r="C154" s="3">
        <v>3060</v>
      </c>
      <c r="D154" s="26">
        <v>0.54280000000000006</v>
      </c>
      <c r="E154" s="26">
        <v>0.64659999999999995</v>
      </c>
      <c r="F154" s="18">
        <v>1.85</v>
      </c>
      <c r="G154" s="18">
        <v>0.70659459459459451</v>
      </c>
      <c r="H154" s="18">
        <v>0.65048648648648655</v>
      </c>
      <c r="I154" s="18">
        <v>5.6108108108107957E-2</v>
      </c>
    </row>
    <row r="155" spans="1:9" x14ac:dyDescent="0.25">
      <c r="A155" s="2">
        <v>43136</v>
      </c>
      <c r="B155" s="4" t="s">
        <v>230</v>
      </c>
      <c r="C155" s="3">
        <v>18558</v>
      </c>
      <c r="D155" s="26">
        <v>0.49230000000000002</v>
      </c>
      <c r="E155" s="26">
        <v>0.54878333333333329</v>
      </c>
      <c r="F155" s="18">
        <v>1.57</v>
      </c>
      <c r="G155" s="18">
        <v>0.68643312101910836</v>
      </c>
      <c r="H155" s="18">
        <v>0.6504564755838641</v>
      </c>
      <c r="I155" s="18">
        <v>3.5976645435244259E-2</v>
      </c>
    </row>
    <row r="156" spans="1:9" x14ac:dyDescent="0.25">
      <c r="A156" s="2">
        <v>43137</v>
      </c>
      <c r="B156" s="4" t="s">
        <v>55</v>
      </c>
      <c r="C156" s="3">
        <v>792</v>
      </c>
      <c r="D156" s="26">
        <v>0.4839</v>
      </c>
      <c r="E156" s="26">
        <v>0.59208333333333341</v>
      </c>
      <c r="F156" s="18">
        <v>2.02</v>
      </c>
      <c r="G156" s="18">
        <v>0.76044554455445557</v>
      </c>
      <c r="H156" s="18">
        <v>0.70688943894389433</v>
      </c>
      <c r="I156" s="18">
        <v>5.3556105610561122E-2</v>
      </c>
    </row>
    <row r="157" spans="1:9" x14ac:dyDescent="0.25">
      <c r="A157" s="2">
        <v>43137</v>
      </c>
      <c r="B157" s="4" t="s">
        <v>64</v>
      </c>
      <c r="C157" s="3">
        <v>3528</v>
      </c>
      <c r="D157" s="26">
        <v>0.21829999999999999</v>
      </c>
      <c r="E157" s="26">
        <v>0.25389305555555558</v>
      </c>
      <c r="F157" s="18">
        <v>0.92172222222222233</v>
      </c>
      <c r="G157" s="18">
        <v>0.76316074980411075</v>
      </c>
      <c r="H157" s="18">
        <v>0.72454493400036157</v>
      </c>
      <c r="I157" s="18">
        <v>3.8615815803749176E-2</v>
      </c>
    </row>
    <row r="158" spans="1:9" x14ac:dyDescent="0.25">
      <c r="A158" s="2">
        <v>43137</v>
      </c>
      <c r="B158" s="4" t="s">
        <v>65</v>
      </c>
      <c r="C158" s="3">
        <v>126</v>
      </c>
      <c r="D158" s="26">
        <v>0.98880000000000001</v>
      </c>
      <c r="E158" s="26">
        <v>1.1311</v>
      </c>
      <c r="F158" s="18">
        <v>3.8820000000000001</v>
      </c>
      <c r="G158" s="18">
        <v>0.74528593508500773</v>
      </c>
      <c r="H158" s="18">
        <v>0.70862957238536839</v>
      </c>
      <c r="I158" s="18">
        <v>3.6656362699639344E-2</v>
      </c>
    </row>
    <row r="159" spans="1:9" x14ac:dyDescent="0.25">
      <c r="A159" s="2">
        <v>43137</v>
      </c>
      <c r="B159" s="4" t="s">
        <v>74</v>
      </c>
      <c r="C159" s="3">
        <v>180</v>
      </c>
      <c r="D159" s="26">
        <v>1.258</v>
      </c>
      <c r="E159" s="26">
        <v>2.159188888888889</v>
      </c>
      <c r="F159" s="18">
        <v>3.2469999999999999</v>
      </c>
      <c r="G159" s="18">
        <v>0.61256544502617805</v>
      </c>
      <c r="H159" s="18">
        <v>0.33502036067481089</v>
      </c>
      <c r="I159" s="18">
        <v>0.27754508435136716</v>
      </c>
    </row>
    <row r="160" spans="1:9" x14ac:dyDescent="0.25">
      <c r="A160" s="2">
        <v>43137</v>
      </c>
      <c r="B160" s="4" t="s">
        <v>101</v>
      </c>
      <c r="C160" s="3">
        <v>41172</v>
      </c>
      <c r="D160" s="26">
        <v>0.74429999999999996</v>
      </c>
      <c r="E160" s="26">
        <v>0.72199999999999998</v>
      </c>
      <c r="F160" s="18">
        <v>1.821</v>
      </c>
      <c r="G160" s="18">
        <v>0.59126853377265232</v>
      </c>
      <c r="H160" s="18">
        <v>0.60351455244371222</v>
      </c>
      <c r="I160" s="18">
        <v>-1.2246018671059899E-2</v>
      </c>
    </row>
    <row r="161" spans="1:9" x14ac:dyDescent="0.25">
      <c r="A161" s="2">
        <v>43137</v>
      </c>
      <c r="B161" s="4" t="s">
        <v>108</v>
      </c>
      <c r="C161" s="3">
        <v>7776</v>
      </c>
      <c r="D161" s="26">
        <v>0.5464</v>
      </c>
      <c r="E161" s="26">
        <v>0.66159999999999997</v>
      </c>
      <c r="F161" s="18">
        <v>1.6439999999999999</v>
      </c>
      <c r="G161" s="18">
        <v>0.66763990267639906</v>
      </c>
      <c r="H161" s="18">
        <v>0.59756690997566908</v>
      </c>
      <c r="I161" s="18">
        <v>7.0072992700729975E-2</v>
      </c>
    </row>
    <row r="162" spans="1:9" x14ac:dyDescent="0.25">
      <c r="A162" s="2">
        <v>43137</v>
      </c>
      <c r="B162" s="4" t="s">
        <v>155</v>
      </c>
      <c r="C162" s="3">
        <v>2520</v>
      </c>
      <c r="D162" s="26">
        <v>0.55790000000000006</v>
      </c>
      <c r="E162" s="26">
        <v>0.66279999999999994</v>
      </c>
      <c r="F162" s="18">
        <v>1.85</v>
      </c>
      <c r="G162" s="18">
        <v>0.69843243243243236</v>
      </c>
      <c r="H162" s="18">
        <v>0.64172972972972986</v>
      </c>
      <c r="I162" s="18">
        <v>5.6702702702702501E-2</v>
      </c>
    </row>
    <row r="163" spans="1:9" x14ac:dyDescent="0.25">
      <c r="A163" s="2">
        <v>43137</v>
      </c>
      <c r="B163" s="4" t="s">
        <v>157</v>
      </c>
      <c r="C163" s="3">
        <v>2244</v>
      </c>
      <c r="D163" s="26">
        <v>0.56369999999999998</v>
      </c>
      <c r="E163" s="26">
        <v>0.70340000000000003</v>
      </c>
      <c r="F163" s="18">
        <v>1.85</v>
      </c>
      <c r="G163" s="18">
        <v>0.69529729729729739</v>
      </c>
      <c r="H163" s="18">
        <v>0.61978378378378374</v>
      </c>
      <c r="I163" s="18">
        <v>7.5513513513513653E-2</v>
      </c>
    </row>
    <row r="164" spans="1:9" x14ac:dyDescent="0.25">
      <c r="A164" s="2">
        <v>43137</v>
      </c>
      <c r="B164" s="4" t="s">
        <v>183</v>
      </c>
      <c r="C164" s="3">
        <v>2760</v>
      </c>
      <c r="D164" s="26">
        <v>1.8607166666666668</v>
      </c>
      <c r="E164" s="26">
        <v>2.3993666666666669</v>
      </c>
      <c r="F164" s="18">
        <v>6.05</v>
      </c>
      <c r="G164" s="18">
        <v>0.69244352617079885</v>
      </c>
      <c r="H164" s="18">
        <v>0.60341046831955913</v>
      </c>
      <c r="I164" s="18">
        <v>8.9033057851239716E-2</v>
      </c>
    </row>
    <row r="165" spans="1:9" x14ac:dyDescent="0.25">
      <c r="A165" s="2">
        <v>43137</v>
      </c>
      <c r="B165" s="4" t="s">
        <v>184</v>
      </c>
      <c r="C165" s="3">
        <v>3024</v>
      </c>
      <c r="D165" s="26">
        <v>1.7012833333333333</v>
      </c>
      <c r="E165" s="26">
        <v>2.2085333333333335</v>
      </c>
      <c r="F165" s="18">
        <v>6.05</v>
      </c>
      <c r="G165" s="18">
        <v>0.71879614325068864</v>
      </c>
      <c r="H165" s="18">
        <v>0.63495316804407709</v>
      </c>
      <c r="I165" s="18">
        <v>8.3842975206611547E-2</v>
      </c>
    </row>
    <row r="166" spans="1:9" x14ac:dyDescent="0.25">
      <c r="A166" s="2">
        <v>43137</v>
      </c>
      <c r="B166" s="4" t="s">
        <v>230</v>
      </c>
      <c r="C166" s="3">
        <v>17448</v>
      </c>
      <c r="D166" s="26">
        <v>0.49230000000000002</v>
      </c>
      <c r="E166" s="26">
        <v>0.54325000000000001</v>
      </c>
      <c r="F166" s="18">
        <v>1.57</v>
      </c>
      <c r="G166" s="18">
        <v>0.68643312101910836</v>
      </c>
      <c r="H166" s="18">
        <v>0.65398089171974527</v>
      </c>
      <c r="I166" s="18">
        <v>3.2452229299363089E-2</v>
      </c>
    </row>
    <row r="167" spans="1:9" x14ac:dyDescent="0.25">
      <c r="A167" s="2">
        <v>43138</v>
      </c>
      <c r="B167" s="4" t="s">
        <v>49</v>
      </c>
      <c r="C167" s="3">
        <v>98</v>
      </c>
      <c r="D167" s="26">
        <v>2.5034999999999998</v>
      </c>
      <c r="E167" s="26">
        <v>2.6686999999999999</v>
      </c>
      <c r="F167" s="18">
        <v>8.4480000000000004</v>
      </c>
      <c r="G167" s="18">
        <v>0.70365767045454553</v>
      </c>
      <c r="H167" s="18">
        <v>0.6841027462121213</v>
      </c>
      <c r="I167" s="18">
        <v>1.9554924242424221E-2</v>
      </c>
    </row>
    <row r="168" spans="1:9" x14ac:dyDescent="0.25">
      <c r="A168" s="2">
        <v>43138</v>
      </c>
      <c r="B168" s="4" t="s">
        <v>54</v>
      </c>
      <c r="C168" s="3">
        <v>756</v>
      </c>
      <c r="D168" s="26">
        <v>0.4657</v>
      </c>
      <c r="E168" s="26">
        <v>0.5855083333333333</v>
      </c>
      <c r="F168" s="18">
        <v>1.998</v>
      </c>
      <c r="G168" s="18">
        <v>0.76691691691691677</v>
      </c>
      <c r="H168" s="18">
        <v>0.70695278611945278</v>
      </c>
      <c r="I168" s="18">
        <v>5.9964130797464099E-2</v>
      </c>
    </row>
    <row r="169" spans="1:9" x14ac:dyDescent="0.25">
      <c r="A169" s="2">
        <v>43138</v>
      </c>
      <c r="B169" s="4" t="s">
        <v>62</v>
      </c>
      <c r="C169" s="3">
        <v>654</v>
      </c>
      <c r="D169" s="26">
        <v>0.91749999999999998</v>
      </c>
      <c r="E169" s="26">
        <v>1.15065</v>
      </c>
      <c r="F169" s="18">
        <v>3.895</v>
      </c>
      <c r="G169" s="18">
        <v>0.7644415917843389</v>
      </c>
      <c r="H169" s="18">
        <v>0.70458279845956351</v>
      </c>
      <c r="I169" s="18">
        <v>5.9858793324775394E-2</v>
      </c>
    </row>
    <row r="170" spans="1:9" x14ac:dyDescent="0.25">
      <c r="A170" s="2">
        <v>43138</v>
      </c>
      <c r="B170" s="4" t="s">
        <v>63</v>
      </c>
      <c r="C170" s="3">
        <v>2880</v>
      </c>
      <c r="D170" s="26">
        <v>0.21279999999999999</v>
      </c>
      <c r="E170" s="26">
        <v>0.26700694444444445</v>
      </c>
      <c r="F170" s="18">
        <v>65.477999999999994</v>
      </c>
      <c r="G170" s="18">
        <v>0.99675005345306811</v>
      </c>
      <c r="H170" s="18">
        <v>0.99592218845345859</v>
      </c>
      <c r="I170" s="18">
        <v>8.278649996097398E-4</v>
      </c>
    </row>
    <row r="171" spans="1:9" x14ac:dyDescent="0.25">
      <c r="A171" s="2">
        <v>43138</v>
      </c>
      <c r="B171" s="4" t="s">
        <v>101</v>
      </c>
      <c r="C171" s="3">
        <v>40680</v>
      </c>
      <c r="D171" s="26">
        <v>0.74429999999999996</v>
      </c>
      <c r="E171" s="26">
        <v>0.71870000000000001</v>
      </c>
      <c r="F171" s="18">
        <v>1.821</v>
      </c>
      <c r="G171" s="18">
        <v>0.59126853377265232</v>
      </c>
      <c r="H171" s="18">
        <v>0.60532674354750138</v>
      </c>
      <c r="I171" s="18">
        <v>-1.4058209774849062E-2</v>
      </c>
    </row>
    <row r="172" spans="1:9" x14ac:dyDescent="0.25">
      <c r="A172" s="2">
        <v>43138</v>
      </c>
      <c r="B172" s="4" t="s">
        <v>109</v>
      </c>
      <c r="C172" s="3">
        <v>8076</v>
      </c>
      <c r="D172" s="26">
        <v>0.52480000000000004</v>
      </c>
      <c r="E172" s="26">
        <v>0.58199999999999996</v>
      </c>
      <c r="F172" s="18">
        <v>1.6439999999999999</v>
      </c>
      <c r="G172" s="18">
        <v>0.68077858880778575</v>
      </c>
      <c r="H172" s="18">
        <v>0.64598540145985395</v>
      </c>
      <c r="I172" s="18">
        <v>3.4793187347931798E-2</v>
      </c>
    </row>
    <row r="173" spans="1:9" x14ac:dyDescent="0.25">
      <c r="A173" s="2">
        <v>43138</v>
      </c>
      <c r="B173" s="4" t="s">
        <v>110</v>
      </c>
      <c r="C173" s="3">
        <v>7572</v>
      </c>
      <c r="D173" s="26">
        <v>0.53029999999999999</v>
      </c>
      <c r="E173" s="26">
        <v>0.71650000000000003</v>
      </c>
      <c r="F173" s="18">
        <v>1.6439999999999999</v>
      </c>
      <c r="G173" s="18">
        <v>0.67743309002433083</v>
      </c>
      <c r="H173" s="18">
        <v>0.56417274939172746</v>
      </c>
      <c r="I173" s="18">
        <v>0.11326034063260336</v>
      </c>
    </row>
    <row r="174" spans="1:9" x14ac:dyDescent="0.25">
      <c r="A174" s="2">
        <v>43138</v>
      </c>
      <c r="B174" s="4" t="s">
        <v>171</v>
      </c>
      <c r="C174" s="3">
        <v>5352</v>
      </c>
      <c r="D174" s="26">
        <v>0.2648625</v>
      </c>
      <c r="E174" s="26">
        <v>0.32043749999999999</v>
      </c>
      <c r="F174" s="18">
        <v>0.96499999999999997</v>
      </c>
      <c r="G174" s="18">
        <v>0.72553108808290157</v>
      </c>
      <c r="H174" s="18">
        <v>0.66794041450777197</v>
      </c>
      <c r="I174" s="18">
        <v>5.7590673575129592E-2</v>
      </c>
    </row>
    <row r="175" spans="1:9" x14ac:dyDescent="0.25">
      <c r="A175" s="2">
        <v>43138</v>
      </c>
      <c r="B175" s="4" t="s">
        <v>190</v>
      </c>
      <c r="C175" s="3">
        <v>7074</v>
      </c>
      <c r="D175" s="26">
        <v>2.47485</v>
      </c>
      <c r="E175" s="26">
        <v>2.5634999999999999</v>
      </c>
      <c r="F175" s="18">
        <v>7.0010000000000003</v>
      </c>
      <c r="G175" s="18">
        <v>0.64650049992858161</v>
      </c>
      <c r="H175" s="18">
        <v>0.63383802313955151</v>
      </c>
      <c r="I175" s="18">
        <v>1.2662476789030095E-2</v>
      </c>
    </row>
    <row r="176" spans="1:9" x14ac:dyDescent="0.25">
      <c r="A176" s="2">
        <v>43138</v>
      </c>
      <c r="B176" s="4" t="s">
        <v>441</v>
      </c>
      <c r="C176" s="3">
        <v>7368</v>
      </c>
      <c r="D176" s="26">
        <v>0.51390000000000002</v>
      </c>
      <c r="E176" s="26">
        <v>0.51380000000000003</v>
      </c>
      <c r="F176" s="18">
        <v>1.349</v>
      </c>
      <c r="G176" s="18">
        <v>0.61905114899925873</v>
      </c>
      <c r="H176" s="18">
        <v>0.61912527798369155</v>
      </c>
      <c r="I176" s="18">
        <v>-7.4128984432819678E-5</v>
      </c>
    </row>
    <row r="177" spans="1:9" x14ac:dyDescent="0.25">
      <c r="A177" s="2">
        <v>43139</v>
      </c>
      <c r="B177" s="4" t="s">
        <v>49</v>
      </c>
      <c r="C177" s="3">
        <v>122</v>
      </c>
      <c r="D177" s="26">
        <v>2.5034999999999998</v>
      </c>
      <c r="E177" s="26">
        <v>2.7002999999999999</v>
      </c>
      <c r="F177" s="18">
        <v>8.4480000000000004</v>
      </c>
      <c r="G177" s="18">
        <v>0.70365767045454553</v>
      </c>
      <c r="H177" s="18">
        <v>0.68036221590909085</v>
      </c>
      <c r="I177" s="18">
        <v>2.3295454545454675E-2</v>
      </c>
    </row>
    <row r="178" spans="1:9" x14ac:dyDescent="0.25">
      <c r="A178" s="2">
        <v>43139</v>
      </c>
      <c r="B178" s="4" t="s">
        <v>51</v>
      </c>
      <c r="C178" s="3">
        <v>900</v>
      </c>
      <c r="D178" s="26">
        <v>0.49320000000000003</v>
      </c>
      <c r="E178" s="26">
        <v>0.60225833333333334</v>
      </c>
      <c r="F178" s="18">
        <v>2.02</v>
      </c>
      <c r="G178" s="18">
        <v>0.75584158415841596</v>
      </c>
      <c r="H178" s="18">
        <v>0.70185231023102312</v>
      </c>
      <c r="I178" s="18">
        <v>5.3989273927392833E-2</v>
      </c>
    </row>
    <row r="179" spans="1:9" x14ac:dyDescent="0.25">
      <c r="A179" s="2">
        <v>43139</v>
      </c>
      <c r="B179" s="4" t="s">
        <v>58</v>
      </c>
      <c r="C179" s="3">
        <v>900</v>
      </c>
      <c r="D179" s="26">
        <v>0.97450000000000003</v>
      </c>
      <c r="E179" s="26">
        <v>1.1422666666666668</v>
      </c>
      <c r="F179" s="18">
        <v>3.8940000000000001</v>
      </c>
      <c r="G179" s="18">
        <v>0.74974319465844896</v>
      </c>
      <c r="H179" s="18">
        <v>0.70665981852422521</v>
      </c>
      <c r="I179" s="18">
        <v>4.308337613422375E-2</v>
      </c>
    </row>
    <row r="180" spans="1:9" x14ac:dyDescent="0.25">
      <c r="A180" s="2">
        <v>43139</v>
      </c>
      <c r="B180" s="4" t="s">
        <v>61</v>
      </c>
      <c r="C180" s="3">
        <v>4032</v>
      </c>
      <c r="D180" s="26">
        <v>0.22689999999999999</v>
      </c>
      <c r="E180" s="26">
        <v>0.26001388888888888</v>
      </c>
      <c r="F180" s="18">
        <v>0.93615277777777783</v>
      </c>
      <c r="G180" s="18">
        <v>0.75762503152678651</v>
      </c>
      <c r="H180" s="18">
        <v>0.7222527187217187</v>
      </c>
      <c r="I180" s="18">
        <v>3.5372312805067918E-2</v>
      </c>
    </row>
    <row r="181" spans="1:9" x14ac:dyDescent="0.25">
      <c r="A181" s="2">
        <v>43139</v>
      </c>
      <c r="B181" s="4" t="s">
        <v>96</v>
      </c>
      <c r="C181" s="3">
        <v>2292</v>
      </c>
      <c r="D181" s="26">
        <v>2.1810666666666667</v>
      </c>
      <c r="E181" s="26">
        <v>2.3574999999999999</v>
      </c>
      <c r="F181" s="18">
        <v>6.242</v>
      </c>
      <c r="G181" s="18">
        <v>0.65058207839367721</v>
      </c>
      <c r="H181" s="18">
        <v>0.62231656520346046</v>
      </c>
      <c r="I181" s="18">
        <v>2.8265513190216751E-2</v>
      </c>
    </row>
    <row r="182" spans="1:9" x14ac:dyDescent="0.25">
      <c r="A182" s="2">
        <v>43139</v>
      </c>
      <c r="B182" s="4" t="s">
        <v>97</v>
      </c>
      <c r="C182" s="3">
        <v>288</v>
      </c>
      <c r="D182" s="26">
        <v>4.7484666666666664</v>
      </c>
      <c r="E182" s="26">
        <v>5.4341833333333334</v>
      </c>
      <c r="F182" s="18">
        <v>12.539</v>
      </c>
      <c r="G182" s="18">
        <v>0.62130419757024746</v>
      </c>
      <c r="H182" s="18">
        <v>0.56661748677459656</v>
      </c>
      <c r="I182" s="18">
        <v>5.4686710795650906E-2</v>
      </c>
    </row>
    <row r="183" spans="1:9" x14ac:dyDescent="0.25">
      <c r="A183" s="2">
        <v>43139</v>
      </c>
      <c r="B183" s="4" t="s">
        <v>99</v>
      </c>
      <c r="C183" s="3">
        <v>16224</v>
      </c>
      <c r="D183" s="26">
        <v>2.6633000000000004</v>
      </c>
      <c r="E183" s="26">
        <v>2.5649000000000002</v>
      </c>
      <c r="F183" s="18">
        <v>5.3490000000000002</v>
      </c>
      <c r="G183" s="18">
        <v>0.50209384931762935</v>
      </c>
      <c r="H183" s="18">
        <v>0.52048981117965976</v>
      </c>
      <c r="I183" s="18">
        <v>-1.8395961862030408E-2</v>
      </c>
    </row>
    <row r="184" spans="1:9" x14ac:dyDescent="0.25">
      <c r="A184" s="2">
        <v>43139</v>
      </c>
      <c r="B184" s="4" t="s">
        <v>144</v>
      </c>
      <c r="C184" s="3">
        <v>5496</v>
      </c>
      <c r="D184" s="26">
        <v>0.46150000000000002</v>
      </c>
      <c r="E184" s="26">
        <v>0.59583333333333333</v>
      </c>
      <c r="F184" s="18">
        <v>1.8779999999999999</v>
      </c>
      <c r="G184" s="18">
        <v>0.7542598509052183</v>
      </c>
      <c r="H184" s="18">
        <v>0.68272985445509404</v>
      </c>
      <c r="I184" s="18">
        <v>7.1529996450124256E-2</v>
      </c>
    </row>
    <row r="185" spans="1:9" x14ac:dyDescent="0.25">
      <c r="A185" s="2">
        <v>43139</v>
      </c>
      <c r="B185" s="4" t="s">
        <v>191</v>
      </c>
      <c r="C185" s="3">
        <v>6816</v>
      </c>
      <c r="D185" s="26">
        <v>2.5318499999999999</v>
      </c>
      <c r="E185" s="26">
        <v>2.5520333333333336</v>
      </c>
      <c r="F185" s="18">
        <v>7</v>
      </c>
      <c r="G185" s="18">
        <v>0.63830714285714285</v>
      </c>
      <c r="H185" s="18">
        <v>0.63542380952380939</v>
      </c>
      <c r="I185" s="18">
        <v>2.8833333333334599E-3</v>
      </c>
    </row>
    <row r="186" spans="1:9" x14ac:dyDescent="0.25">
      <c r="A186" s="2">
        <v>43139</v>
      </c>
      <c r="B186" s="4" t="s">
        <v>420</v>
      </c>
      <c r="C186" s="3">
        <v>3438</v>
      </c>
      <c r="D186" s="26">
        <v>1.1291666666666669</v>
      </c>
      <c r="E186" s="26">
        <v>1.1252833333333332</v>
      </c>
      <c r="F186" s="18">
        <v>4.25</v>
      </c>
      <c r="G186" s="18">
        <v>0.73431372549019613</v>
      </c>
      <c r="H186" s="18">
        <v>0.73522745098039211</v>
      </c>
      <c r="I186" s="18">
        <v>-9.1372549019608229E-4</v>
      </c>
    </row>
    <row r="187" spans="1:9" x14ac:dyDescent="0.25">
      <c r="A187" s="2">
        <v>43139</v>
      </c>
      <c r="B187" s="4" t="s">
        <v>440</v>
      </c>
      <c r="C187" s="3">
        <v>7610</v>
      </c>
      <c r="D187" s="26">
        <v>0.58772000000000002</v>
      </c>
      <c r="E187" s="26">
        <v>0.61619999999999997</v>
      </c>
      <c r="F187" s="18">
        <v>1.4850000000000001</v>
      </c>
      <c r="G187" s="18">
        <v>0.60422895622895623</v>
      </c>
      <c r="H187" s="18">
        <v>0.58505050505050504</v>
      </c>
      <c r="I187" s="18">
        <v>1.9178451178451184E-2</v>
      </c>
    </row>
    <row r="188" spans="1:9" x14ac:dyDescent="0.25">
      <c r="A188" s="2">
        <v>43140</v>
      </c>
      <c r="B188" s="4" t="s">
        <v>99</v>
      </c>
      <c r="C188" s="3">
        <v>16002</v>
      </c>
      <c r="D188" s="26">
        <v>2.6633000000000004</v>
      </c>
      <c r="E188" s="26">
        <v>2.625</v>
      </c>
      <c r="F188" s="18">
        <v>5.3490000000000002</v>
      </c>
      <c r="G188" s="18">
        <v>0.50209384931762935</v>
      </c>
      <c r="H188" s="18">
        <v>0.50925406618059454</v>
      </c>
      <c r="I188" s="18">
        <v>-7.1602168629651963E-3</v>
      </c>
    </row>
    <row r="189" spans="1:9" x14ac:dyDescent="0.25">
      <c r="A189" s="2">
        <v>43140</v>
      </c>
      <c r="B189" s="4" t="s">
        <v>106</v>
      </c>
      <c r="C189" s="3">
        <v>7428</v>
      </c>
      <c r="D189" s="26">
        <v>0.54159999999999997</v>
      </c>
      <c r="E189" s="26">
        <v>0.63349999999999995</v>
      </c>
      <c r="F189" s="18">
        <v>1.6439999999999999</v>
      </c>
      <c r="G189" s="18">
        <v>0.670559610705596</v>
      </c>
      <c r="H189" s="18">
        <v>0.61465936739659366</v>
      </c>
      <c r="I189" s="18">
        <v>5.590024330900234E-2</v>
      </c>
    </row>
    <row r="190" spans="1:9" x14ac:dyDescent="0.25">
      <c r="A190" s="2">
        <v>43140</v>
      </c>
      <c r="B190" s="4" t="s">
        <v>112</v>
      </c>
      <c r="C190" s="3">
        <v>145</v>
      </c>
      <c r="D190" s="26">
        <v>3.9245999999999999</v>
      </c>
      <c r="E190" s="26">
        <v>3.7629999999999999</v>
      </c>
      <c r="F190" s="18">
        <v>10.31</v>
      </c>
      <c r="G190" s="18">
        <v>0.61934044616876827</v>
      </c>
      <c r="H190" s="18">
        <v>0.63501454898157128</v>
      </c>
      <c r="I190" s="18">
        <v>-1.5674102812803015E-2</v>
      </c>
    </row>
    <row r="191" spans="1:9" x14ac:dyDescent="0.25">
      <c r="A191" s="2">
        <v>43140</v>
      </c>
      <c r="B191" s="4" t="s">
        <v>154</v>
      </c>
      <c r="C191" s="3">
        <v>2988</v>
      </c>
      <c r="D191" s="26">
        <v>0.49809999999999999</v>
      </c>
      <c r="E191" s="26">
        <v>0.57450000000000001</v>
      </c>
      <c r="F191" s="18">
        <v>1.85</v>
      </c>
      <c r="G191" s="18">
        <v>0.73075675675675678</v>
      </c>
      <c r="H191" s="18">
        <v>0.68945945945945952</v>
      </c>
      <c r="I191" s="18">
        <v>4.1297297297297253E-2</v>
      </c>
    </row>
    <row r="192" spans="1:9" x14ac:dyDescent="0.25">
      <c r="A192" s="2">
        <v>43140</v>
      </c>
      <c r="B192" s="4" t="s">
        <v>167</v>
      </c>
      <c r="C192" s="3">
        <v>18</v>
      </c>
      <c r="D192" s="26">
        <v>7.7655000000000003</v>
      </c>
      <c r="E192" s="26">
        <v>10.228</v>
      </c>
      <c r="F192" s="18">
        <v>22.274999999999999</v>
      </c>
      <c r="G192" s="18">
        <v>0.65138047138047139</v>
      </c>
      <c r="H192" s="18">
        <v>0.54083052749719418</v>
      </c>
      <c r="I192" s="18">
        <v>0.1105499438832772</v>
      </c>
    </row>
    <row r="193" spans="1:9" x14ac:dyDescent="0.25">
      <c r="A193" s="2">
        <v>43140</v>
      </c>
      <c r="B193" s="4" t="s">
        <v>440</v>
      </c>
      <c r="C193" s="3">
        <v>18360</v>
      </c>
      <c r="D193" s="26">
        <v>0.58772000000000002</v>
      </c>
      <c r="E193" s="26">
        <v>0.64980000000000004</v>
      </c>
      <c r="F193" s="18">
        <v>1.4850000000000001</v>
      </c>
      <c r="G193" s="18">
        <v>0.60422895622895623</v>
      </c>
      <c r="H193" s="18">
        <v>0.56242424242424238</v>
      </c>
      <c r="I193" s="18">
        <v>4.1804713804713838E-2</v>
      </c>
    </row>
    <row r="194" spans="1:9" x14ac:dyDescent="0.25">
      <c r="A194" s="2">
        <v>43140</v>
      </c>
      <c r="B194" s="4" t="s">
        <v>456</v>
      </c>
      <c r="C194" s="3">
        <v>2658</v>
      </c>
      <c r="D194" s="26">
        <v>3.2147000000000001</v>
      </c>
      <c r="E194" s="26">
        <v>3.4686166666666662</v>
      </c>
      <c r="F194" s="18">
        <v>9.49</v>
      </c>
      <c r="G194" s="18">
        <v>0.6612539515279241</v>
      </c>
      <c r="H194" s="18">
        <v>0.63449771689497725</v>
      </c>
      <c r="I194" s="18">
        <v>2.6756234632946851E-2</v>
      </c>
    </row>
    <row r="195" spans="1:9" x14ac:dyDescent="0.25">
      <c r="A195" s="2">
        <v>43143</v>
      </c>
      <c r="B195" s="4" t="s">
        <v>52</v>
      </c>
      <c r="C195" s="3">
        <v>888</v>
      </c>
      <c r="D195" s="26">
        <v>0.49469999999999997</v>
      </c>
      <c r="E195" s="26">
        <v>0.55932499999999996</v>
      </c>
      <c r="F195" s="18">
        <v>2.02</v>
      </c>
      <c r="G195" s="18">
        <v>0.7550990099009901</v>
      </c>
      <c r="H195" s="18">
        <v>0.72310643564356447</v>
      </c>
      <c r="I195" s="18">
        <v>3.1992574257425632E-2</v>
      </c>
    </row>
    <row r="196" spans="1:9" x14ac:dyDescent="0.25">
      <c r="A196" s="2">
        <v>43143</v>
      </c>
      <c r="B196" s="4" t="s">
        <v>57</v>
      </c>
      <c r="C196" s="3">
        <v>1254</v>
      </c>
      <c r="D196" s="26">
        <v>0.94220000000000004</v>
      </c>
      <c r="E196" s="26">
        <v>1.1101666666666663</v>
      </c>
      <c r="F196" s="18">
        <v>3.8730000000000002</v>
      </c>
      <c r="G196" s="18">
        <v>0.75672605215595157</v>
      </c>
      <c r="H196" s="18">
        <v>0.71335743179275335</v>
      </c>
      <c r="I196" s="18">
        <v>4.3368620363198107E-2</v>
      </c>
    </row>
    <row r="197" spans="1:9" x14ac:dyDescent="0.25">
      <c r="A197" s="2">
        <v>43143</v>
      </c>
      <c r="B197" s="4" t="s">
        <v>59</v>
      </c>
      <c r="C197" s="3">
        <v>3024</v>
      </c>
      <c r="D197" s="26">
        <v>0.21429999999999999</v>
      </c>
      <c r="E197" s="26">
        <v>0.25351388888888887</v>
      </c>
      <c r="F197" s="18">
        <v>65.554000000000002</v>
      </c>
      <c r="G197" s="18">
        <v>0.99673093937822277</v>
      </c>
      <c r="H197" s="18">
        <v>0.9961327472177306</v>
      </c>
      <c r="I197" s="18">
        <v>5.9819216049206148E-4</v>
      </c>
    </row>
    <row r="198" spans="1:9" x14ac:dyDescent="0.25">
      <c r="A198" s="2">
        <v>43143</v>
      </c>
      <c r="B198" s="4" t="s">
        <v>236</v>
      </c>
      <c r="C198" s="3">
        <v>10800</v>
      </c>
      <c r="D198" s="26">
        <v>0.1215</v>
      </c>
      <c r="E198" s="26">
        <v>0.13402916666666667</v>
      </c>
      <c r="F198" s="18">
        <v>0.53</v>
      </c>
      <c r="G198" s="18">
        <v>0.77075471698113196</v>
      </c>
      <c r="H198" s="18">
        <v>0.74711477987421393</v>
      </c>
      <c r="I198" s="18">
        <v>2.3639937106918141E-2</v>
      </c>
    </row>
    <row r="199" spans="1:9" x14ac:dyDescent="0.25">
      <c r="A199" s="2">
        <v>43143</v>
      </c>
      <c r="B199" s="4" t="s">
        <v>107</v>
      </c>
      <c r="C199" s="3">
        <v>876</v>
      </c>
      <c r="D199" s="26">
        <v>0.53490000000000004</v>
      </c>
      <c r="E199" s="26">
        <v>0.86970000000000003</v>
      </c>
      <c r="F199" s="18">
        <v>1.6439999999999999</v>
      </c>
      <c r="G199" s="18">
        <v>0.67463503649635026</v>
      </c>
      <c r="H199" s="18">
        <v>0.4709854014598539</v>
      </c>
      <c r="I199" s="18">
        <v>0.2036496350364963</v>
      </c>
    </row>
    <row r="200" spans="1:9" x14ac:dyDescent="0.25">
      <c r="A200" s="2">
        <v>43143</v>
      </c>
      <c r="B200" s="4" t="s">
        <v>113</v>
      </c>
      <c r="C200" s="3">
        <v>172</v>
      </c>
      <c r="D200" s="26">
        <v>3.9811000000000001</v>
      </c>
      <c r="E200" s="26">
        <v>4.4675000000000002</v>
      </c>
      <c r="F200" s="18">
        <v>10.31</v>
      </c>
      <c r="G200" s="18">
        <v>0.61386032977691563</v>
      </c>
      <c r="H200" s="18">
        <v>0.56668283220174587</v>
      </c>
      <c r="I200" s="18">
        <v>4.7177497575169758E-2</v>
      </c>
    </row>
    <row r="201" spans="1:9" x14ac:dyDescent="0.25">
      <c r="A201" s="2">
        <v>43143</v>
      </c>
      <c r="B201" s="4" t="s">
        <v>130</v>
      </c>
      <c r="C201" s="3">
        <v>598</v>
      </c>
      <c r="D201" s="26">
        <v>14.448600000000001</v>
      </c>
      <c r="E201" s="26">
        <v>19.5793</v>
      </c>
      <c r="F201" s="18">
        <v>41.808</v>
      </c>
      <c r="G201" s="18">
        <v>0.65440585533869122</v>
      </c>
      <c r="H201" s="18">
        <v>0.53168532338308461</v>
      </c>
      <c r="I201" s="18">
        <v>0.12272053195560662</v>
      </c>
    </row>
    <row r="202" spans="1:9" x14ac:dyDescent="0.25">
      <c r="A202" s="2">
        <v>43143</v>
      </c>
      <c r="B202" s="4" t="s">
        <v>149</v>
      </c>
      <c r="C202" s="3">
        <v>5184</v>
      </c>
      <c r="D202" s="26">
        <v>0.23419999999999999</v>
      </c>
      <c r="E202" s="26">
        <v>0.2654125</v>
      </c>
      <c r="F202" s="18">
        <v>0.84699999999999998</v>
      </c>
      <c r="G202" s="18">
        <v>0.72349468713105092</v>
      </c>
      <c r="H202" s="18">
        <v>0.6866440377804014</v>
      </c>
      <c r="I202" s="18">
        <v>3.6850649350649405E-2</v>
      </c>
    </row>
    <row r="203" spans="1:9" x14ac:dyDescent="0.25">
      <c r="A203" s="2">
        <v>43143</v>
      </c>
      <c r="B203" s="4" t="s">
        <v>151</v>
      </c>
      <c r="C203" s="3">
        <v>5466</v>
      </c>
      <c r="D203" s="26">
        <v>2.2559999999999998</v>
      </c>
      <c r="E203" s="26">
        <v>3.1295000000000002</v>
      </c>
      <c r="F203" s="18">
        <v>6.4210000000000003</v>
      </c>
      <c r="G203" s="18">
        <v>0.64865285781031001</v>
      </c>
      <c r="H203" s="18">
        <v>0.51261485749883196</v>
      </c>
      <c r="I203" s="18">
        <v>0.13603800031147806</v>
      </c>
    </row>
    <row r="204" spans="1:9" x14ac:dyDescent="0.25">
      <c r="A204" s="2">
        <v>43143</v>
      </c>
      <c r="B204" s="4" t="s">
        <v>440</v>
      </c>
      <c r="C204" s="3">
        <v>17640</v>
      </c>
      <c r="D204" s="26">
        <v>0.58772000000000002</v>
      </c>
      <c r="E204" s="26">
        <v>0.5897</v>
      </c>
      <c r="F204" s="18">
        <v>1.4850000000000001</v>
      </c>
      <c r="G204" s="18">
        <v>0.60422895622895623</v>
      </c>
      <c r="H204" s="18">
        <v>0.60289562289562293</v>
      </c>
      <c r="I204" s="18">
        <v>1.3333333333332975E-3</v>
      </c>
    </row>
    <row r="205" spans="1:9" x14ac:dyDescent="0.25">
      <c r="A205" s="2">
        <v>43143</v>
      </c>
      <c r="B205" s="4" t="s">
        <v>457</v>
      </c>
      <c r="C205" s="3">
        <v>2916</v>
      </c>
      <c r="D205" s="26">
        <v>3.1250666666666667</v>
      </c>
      <c r="E205" s="26">
        <v>3.2738499999999999</v>
      </c>
      <c r="F205" s="18">
        <v>9.49</v>
      </c>
      <c r="G205" s="18">
        <v>0.67069898138391282</v>
      </c>
      <c r="H205" s="18">
        <v>0.65502107481559546</v>
      </c>
      <c r="I205" s="18">
        <v>1.5677906568317357E-2</v>
      </c>
    </row>
    <row r="206" spans="1:9" x14ac:dyDescent="0.25">
      <c r="A206" s="2">
        <v>43144</v>
      </c>
      <c r="B206" s="4" t="s">
        <v>70</v>
      </c>
      <c r="C206" s="3">
        <v>1878</v>
      </c>
      <c r="D206" s="26">
        <v>1.7166999999999999</v>
      </c>
      <c r="E206" s="26">
        <v>1.9898</v>
      </c>
      <c r="F206" s="18">
        <v>5.4160000000000004</v>
      </c>
      <c r="G206" s="18">
        <v>0.68303175775480063</v>
      </c>
      <c r="H206" s="18">
        <v>0.63260709010339744</v>
      </c>
      <c r="I206" s="18">
        <v>5.0424667651403181E-2</v>
      </c>
    </row>
    <row r="207" spans="1:9" x14ac:dyDescent="0.25">
      <c r="A207" s="2">
        <v>43144</v>
      </c>
      <c r="B207" s="4" t="s">
        <v>90</v>
      </c>
      <c r="C207" s="3">
        <v>4380</v>
      </c>
      <c r="D207" s="26">
        <v>0.69869999999999999</v>
      </c>
      <c r="E207" s="26">
        <v>0.79770833333333324</v>
      </c>
      <c r="F207" s="18">
        <v>1.68</v>
      </c>
      <c r="G207" s="18">
        <v>0.58410714285714282</v>
      </c>
      <c r="H207" s="18">
        <v>0.52517361111111105</v>
      </c>
      <c r="I207" s="18">
        <v>5.8933531746031775E-2</v>
      </c>
    </row>
    <row r="208" spans="1:9" x14ac:dyDescent="0.25">
      <c r="A208" s="2">
        <v>43144</v>
      </c>
      <c r="B208" s="4" t="s">
        <v>122</v>
      </c>
      <c r="C208" s="3">
        <v>7416</v>
      </c>
      <c r="D208" s="26">
        <v>1.4487000000000001</v>
      </c>
      <c r="E208" s="26">
        <v>1.5868</v>
      </c>
      <c r="F208" s="18">
        <v>4.681</v>
      </c>
      <c r="G208" s="18">
        <v>0.69051484725486001</v>
      </c>
      <c r="H208" s="18">
        <v>0.66101260414441354</v>
      </c>
      <c r="I208" s="18">
        <v>2.9502243110446469E-2</v>
      </c>
    </row>
    <row r="209" spans="1:9" x14ac:dyDescent="0.25">
      <c r="A209" s="2">
        <v>43144</v>
      </c>
      <c r="B209" s="4" t="s">
        <v>151</v>
      </c>
      <c r="C209" s="3">
        <v>4242</v>
      </c>
      <c r="D209" s="26">
        <v>2.2559999999999998</v>
      </c>
      <c r="E209" s="26">
        <v>2.8757000000000001</v>
      </c>
      <c r="F209" s="18">
        <v>6.4210000000000003</v>
      </c>
      <c r="G209" s="18">
        <v>0.64865285781031001</v>
      </c>
      <c r="H209" s="18">
        <v>0.55214141099517211</v>
      </c>
      <c r="I209" s="18">
        <v>9.6511446815137902E-2</v>
      </c>
    </row>
    <row r="210" spans="1:9" x14ac:dyDescent="0.25">
      <c r="A210" s="2">
        <v>43144</v>
      </c>
      <c r="B210" s="4" t="s">
        <v>158</v>
      </c>
      <c r="C210" s="3">
        <v>6228</v>
      </c>
      <c r="D210" s="26">
        <v>0.65820000000000001</v>
      </c>
      <c r="E210" s="26">
        <v>0.91134999999999999</v>
      </c>
      <c r="F210" s="18">
        <v>1.9259999999999999</v>
      </c>
      <c r="G210" s="18">
        <v>0.65825545171339561</v>
      </c>
      <c r="H210" s="18">
        <v>0.52681723779854628</v>
      </c>
      <c r="I210" s="18">
        <v>0.13143821391484933</v>
      </c>
    </row>
    <row r="211" spans="1:9" x14ac:dyDescent="0.25">
      <c r="A211" s="2">
        <v>43144</v>
      </c>
      <c r="B211" s="4" t="s">
        <v>431</v>
      </c>
      <c r="C211" s="3">
        <v>4560</v>
      </c>
      <c r="D211" s="26">
        <v>0.78842500000000004</v>
      </c>
      <c r="E211" s="26">
        <v>0.96589999999999998</v>
      </c>
      <c r="F211" s="18">
        <v>2.1800000000000002</v>
      </c>
      <c r="G211" s="18">
        <v>0.63833715596330276</v>
      </c>
      <c r="H211" s="18">
        <v>0.55692660550458717</v>
      </c>
      <c r="I211" s="18">
        <v>8.1410550458715578E-2</v>
      </c>
    </row>
    <row r="212" spans="1:9" x14ac:dyDescent="0.25">
      <c r="A212" s="2">
        <v>43144</v>
      </c>
      <c r="B212" s="4" t="s">
        <v>456</v>
      </c>
      <c r="C212" s="3">
        <v>3834</v>
      </c>
      <c r="D212" s="26">
        <v>3.2147000000000001</v>
      </c>
      <c r="E212" s="26">
        <v>3.2249166666666667</v>
      </c>
      <c r="F212" s="18">
        <v>9.49</v>
      </c>
      <c r="G212" s="18">
        <v>0.6612539515279241</v>
      </c>
      <c r="H212" s="18">
        <v>0.66017737969792756</v>
      </c>
      <c r="I212" s="18">
        <v>1.0765718299965421E-3</v>
      </c>
    </row>
    <row r="213" spans="1:9" x14ac:dyDescent="0.25">
      <c r="A213" s="2">
        <v>43145</v>
      </c>
      <c r="B213" s="4" t="s">
        <v>88</v>
      </c>
      <c r="C213" s="3">
        <v>654</v>
      </c>
      <c r="D213" s="26">
        <v>4.0698999999999996</v>
      </c>
      <c r="E213" s="26">
        <v>4.3190999999999997</v>
      </c>
      <c r="F213" s="18">
        <v>7.7329999999999997</v>
      </c>
      <c r="G213" s="18">
        <v>0.47369714211819475</v>
      </c>
      <c r="H213" s="18">
        <v>0.44147161515582567</v>
      </c>
      <c r="I213" s="18">
        <v>3.2225526962369078E-2</v>
      </c>
    </row>
    <row r="214" spans="1:9" x14ac:dyDescent="0.25">
      <c r="A214" s="2">
        <v>43145</v>
      </c>
      <c r="B214" s="4" t="s">
        <v>123</v>
      </c>
      <c r="C214" s="3">
        <v>473</v>
      </c>
      <c r="D214" s="26">
        <v>4.4030000000000005</v>
      </c>
      <c r="E214" s="26">
        <v>4.7180999999999997</v>
      </c>
      <c r="F214" s="18">
        <v>9.8059999999999992</v>
      </c>
      <c r="G214" s="18">
        <v>0.55098919029165805</v>
      </c>
      <c r="H214" s="18">
        <v>0.5188558025698552</v>
      </c>
      <c r="I214" s="18">
        <v>3.2133387721802853E-2</v>
      </c>
    </row>
    <row r="215" spans="1:9" x14ac:dyDescent="0.25">
      <c r="A215" s="2">
        <v>43145</v>
      </c>
      <c r="B215" s="4" t="s">
        <v>148</v>
      </c>
      <c r="C215" s="3">
        <v>15456</v>
      </c>
      <c r="D215" s="26">
        <v>0.55889999999999995</v>
      </c>
      <c r="E215" s="26">
        <v>0.60609999999999997</v>
      </c>
      <c r="F215" s="18">
        <v>1.8779999999999999</v>
      </c>
      <c r="G215" s="18">
        <v>0.70239616613418532</v>
      </c>
      <c r="H215" s="18">
        <v>0.67726304579339724</v>
      </c>
      <c r="I215" s="18">
        <v>2.5133120340788073E-2</v>
      </c>
    </row>
    <row r="216" spans="1:9" x14ac:dyDescent="0.25">
      <c r="A216" s="2">
        <v>43145</v>
      </c>
      <c r="B216" s="4" t="s">
        <v>149</v>
      </c>
      <c r="C216" s="3">
        <v>17280</v>
      </c>
      <c r="D216" s="26">
        <v>0.23419999999999999</v>
      </c>
      <c r="E216" s="26">
        <v>0.26374305555555555</v>
      </c>
      <c r="F216" s="18">
        <v>0.84699999999999998</v>
      </c>
      <c r="G216" s="18">
        <v>0.72349468713105092</v>
      </c>
      <c r="H216" s="18">
        <v>0.68861504656959205</v>
      </c>
      <c r="I216" s="18">
        <v>3.4879640561458758E-2</v>
      </c>
    </row>
    <row r="217" spans="1:9" x14ac:dyDescent="0.25">
      <c r="A217" s="2">
        <v>43145</v>
      </c>
      <c r="B217" s="4" t="s">
        <v>212</v>
      </c>
      <c r="C217" s="3">
        <v>17130</v>
      </c>
      <c r="D217" s="26">
        <v>1.4978166666666668</v>
      </c>
      <c r="E217" s="26">
        <v>1.4086166666666669</v>
      </c>
      <c r="F217" s="18">
        <v>3.5750000000000002</v>
      </c>
      <c r="G217" s="18">
        <v>0.58103030303030301</v>
      </c>
      <c r="H217" s="18">
        <v>0.60598135198135183</v>
      </c>
      <c r="I217" s="18">
        <v>-2.4951048951048823E-2</v>
      </c>
    </row>
    <row r="218" spans="1:9" x14ac:dyDescent="0.25">
      <c r="A218" s="2">
        <v>43145</v>
      </c>
      <c r="B218" s="4" t="s">
        <v>457</v>
      </c>
      <c r="C218" s="3">
        <v>4584</v>
      </c>
      <c r="D218" s="26">
        <v>3.1250666666666667</v>
      </c>
      <c r="E218" s="26">
        <v>3.2924166666666665</v>
      </c>
      <c r="F218" s="18">
        <v>9.49</v>
      </c>
      <c r="G218" s="18">
        <v>0.67069898138391282</v>
      </c>
      <c r="H218" s="18">
        <v>0.65306462943449251</v>
      </c>
      <c r="I218" s="18">
        <v>1.7634351949420313E-2</v>
      </c>
    </row>
    <row r="219" spans="1:9" x14ac:dyDescent="0.25">
      <c r="A219" s="2">
        <v>43146</v>
      </c>
      <c r="B219" s="4" t="s">
        <v>23</v>
      </c>
      <c r="C219" s="3">
        <v>560</v>
      </c>
      <c r="D219" s="26">
        <v>2.6046</v>
      </c>
      <c r="E219" s="26">
        <v>2.8645999999999998</v>
      </c>
      <c r="F219" s="18">
        <v>7.923</v>
      </c>
      <c r="G219" s="18">
        <v>0.6712608860280197</v>
      </c>
      <c r="H219" s="18">
        <v>0.63844503344692671</v>
      </c>
      <c r="I219" s="18">
        <v>3.2815852581092986E-2</v>
      </c>
    </row>
    <row r="220" spans="1:9" x14ac:dyDescent="0.25">
      <c r="A220" s="2">
        <v>43146</v>
      </c>
      <c r="B220" s="4" t="s">
        <v>69</v>
      </c>
      <c r="C220" s="3">
        <v>1944</v>
      </c>
      <c r="D220" s="26">
        <v>1.6584000000000001</v>
      </c>
      <c r="E220" s="26">
        <v>1.89985</v>
      </c>
      <c r="F220" s="18">
        <v>5.4169999999999998</v>
      </c>
      <c r="G220" s="18">
        <v>0.69385268598855454</v>
      </c>
      <c r="H220" s="18">
        <v>0.64928004430496589</v>
      </c>
      <c r="I220" s="18">
        <v>4.4572641683588654E-2</v>
      </c>
    </row>
    <row r="221" spans="1:9" x14ac:dyDescent="0.25">
      <c r="A221" s="2">
        <v>43146</v>
      </c>
      <c r="B221" s="4" t="s">
        <v>121</v>
      </c>
      <c r="C221" s="3">
        <v>8424</v>
      </c>
      <c r="D221" s="26">
        <v>1.4089</v>
      </c>
      <c r="E221" s="26">
        <v>1.6282000000000001</v>
      </c>
      <c r="F221" s="18">
        <v>4.681</v>
      </c>
      <c r="G221" s="18">
        <v>0.69901730399487283</v>
      </c>
      <c r="H221" s="18">
        <v>0.65216834009826963</v>
      </c>
      <c r="I221" s="18">
        <v>4.6848963896603202E-2</v>
      </c>
    </row>
    <row r="222" spans="1:9" x14ac:dyDescent="0.25">
      <c r="A222" s="2">
        <v>43146</v>
      </c>
      <c r="B222" s="4" t="s">
        <v>188</v>
      </c>
      <c r="C222" s="3">
        <v>1532</v>
      </c>
      <c r="D222" s="26">
        <v>2.6934999999999998</v>
      </c>
      <c r="E222" s="26">
        <v>3.3692500000000001</v>
      </c>
      <c r="F222" s="18">
        <v>8.9600000000000009</v>
      </c>
      <c r="G222" s="18">
        <v>0.69938616071428572</v>
      </c>
      <c r="H222" s="18">
        <v>0.62396763392857146</v>
      </c>
      <c r="I222" s="18">
        <v>7.5418526785714257E-2</v>
      </c>
    </row>
    <row r="223" spans="1:9" x14ac:dyDescent="0.25">
      <c r="A223" s="2">
        <v>43146</v>
      </c>
      <c r="B223" s="4" t="s">
        <v>212</v>
      </c>
      <c r="C223" s="3">
        <v>17772</v>
      </c>
      <c r="D223" s="26">
        <v>1.4978166666666668</v>
      </c>
      <c r="E223" s="26">
        <v>1.4438000000000002</v>
      </c>
      <c r="F223" s="18">
        <v>3.5750000000000002</v>
      </c>
      <c r="G223" s="18">
        <v>0.58103030303030301</v>
      </c>
      <c r="H223" s="18">
        <v>0.59613986013986009</v>
      </c>
      <c r="I223" s="18">
        <v>-1.510955710955708E-2</v>
      </c>
    </row>
    <row r="224" spans="1:9" x14ac:dyDescent="0.25">
      <c r="A224" s="2">
        <v>43146</v>
      </c>
      <c r="B224" s="4" t="s">
        <v>441</v>
      </c>
      <c r="C224" s="3">
        <v>15372</v>
      </c>
      <c r="D224" s="26">
        <v>0.51390000000000002</v>
      </c>
      <c r="E224" s="26">
        <v>0.49969999999999998</v>
      </c>
      <c r="F224" s="18">
        <v>1.349</v>
      </c>
      <c r="G224" s="18">
        <v>0.61905114899925873</v>
      </c>
      <c r="H224" s="18">
        <v>0.62957746478873233</v>
      </c>
      <c r="I224" s="18">
        <v>-1.0526315789473606E-2</v>
      </c>
    </row>
    <row r="225" spans="1:9" x14ac:dyDescent="0.25">
      <c r="A225" s="2">
        <v>43147</v>
      </c>
      <c r="B225" s="4" t="s">
        <v>31</v>
      </c>
      <c r="C225" s="3">
        <v>2016</v>
      </c>
      <c r="D225" s="26">
        <v>3.8188</v>
      </c>
      <c r="E225" s="26">
        <v>4.0807000000000002</v>
      </c>
      <c r="F225" s="18">
        <v>11.141</v>
      </c>
      <c r="G225" s="18">
        <v>0.65723005116237321</v>
      </c>
      <c r="H225" s="18">
        <v>0.63372228704784128</v>
      </c>
      <c r="I225" s="18">
        <v>2.350776411453193E-2</v>
      </c>
    </row>
    <row r="226" spans="1:9" x14ac:dyDescent="0.25">
      <c r="A226" s="2">
        <v>43147</v>
      </c>
      <c r="B226" s="4" t="s">
        <v>120</v>
      </c>
      <c r="C226" s="3">
        <v>9270</v>
      </c>
      <c r="D226" s="26">
        <v>1.4976</v>
      </c>
      <c r="E226" s="26">
        <v>1.6058666666666666</v>
      </c>
      <c r="F226" s="18">
        <v>4.681</v>
      </c>
      <c r="G226" s="18">
        <v>0.68006836146122618</v>
      </c>
      <c r="H226" s="18">
        <v>0.65693940041301724</v>
      </c>
      <c r="I226" s="18">
        <v>2.312896104820894E-2</v>
      </c>
    </row>
    <row r="227" spans="1:9" x14ac:dyDescent="0.25">
      <c r="A227" s="2">
        <v>43147</v>
      </c>
      <c r="B227" s="4" t="s">
        <v>138</v>
      </c>
      <c r="C227" s="3">
        <v>17928</v>
      </c>
      <c r="D227" s="26">
        <v>0.94510000000000005</v>
      </c>
      <c r="E227" s="26">
        <v>0.89138333333333331</v>
      </c>
      <c r="F227" s="18">
        <v>2.3570000000000002</v>
      </c>
      <c r="G227" s="18">
        <v>0.59902418328383544</v>
      </c>
      <c r="H227" s="18">
        <v>0.62181445340121633</v>
      </c>
      <c r="I227" s="18">
        <v>-2.2790270117380884E-2</v>
      </c>
    </row>
    <row r="228" spans="1:9" x14ac:dyDescent="0.25">
      <c r="A228" s="2">
        <v>43147</v>
      </c>
      <c r="B228" s="4" t="s">
        <v>139</v>
      </c>
      <c r="C228" s="3">
        <v>6400</v>
      </c>
      <c r="D228" s="26">
        <v>4.509525</v>
      </c>
      <c r="E228" s="26">
        <v>3.7488999999999999</v>
      </c>
      <c r="F228" s="18">
        <v>8.2110000000000003</v>
      </c>
      <c r="G228" s="18">
        <v>0.45079466569236393</v>
      </c>
      <c r="H228" s="18">
        <v>0.54342954573133606</v>
      </c>
      <c r="I228" s="18">
        <v>-9.2634880038972134E-2</v>
      </c>
    </row>
    <row r="229" spans="1:9" x14ac:dyDescent="0.25">
      <c r="A229" s="2">
        <v>43147</v>
      </c>
      <c r="B229" s="4" t="s">
        <v>152</v>
      </c>
      <c r="C229" s="3">
        <v>6228</v>
      </c>
      <c r="D229" s="26">
        <v>0.48133333333333334</v>
      </c>
      <c r="E229" s="26">
        <v>0.69914166666666666</v>
      </c>
      <c r="F229" s="18">
        <v>1.621</v>
      </c>
      <c r="G229" s="18">
        <v>0.70306395229282337</v>
      </c>
      <c r="H229" s="18">
        <v>0.56869730618959491</v>
      </c>
      <c r="I229" s="18">
        <v>0.13436664610322846</v>
      </c>
    </row>
    <row r="230" spans="1:9" x14ac:dyDescent="0.25">
      <c r="A230" s="2">
        <v>43147</v>
      </c>
      <c r="B230" s="4" t="s">
        <v>153</v>
      </c>
      <c r="C230" s="3">
        <v>5136</v>
      </c>
      <c r="D230" s="26">
        <v>0.48270000000000007</v>
      </c>
      <c r="E230" s="26">
        <v>0.66944166666666671</v>
      </c>
      <c r="F230" s="18">
        <v>1.621</v>
      </c>
      <c r="G230" s="18">
        <v>0.70222085132634171</v>
      </c>
      <c r="H230" s="18">
        <v>0.58701932963191439</v>
      </c>
      <c r="I230" s="18">
        <v>0.11520152169442732</v>
      </c>
    </row>
    <row r="231" spans="1:9" x14ac:dyDescent="0.25">
      <c r="A231" s="2">
        <v>43147</v>
      </c>
      <c r="B231" s="4" t="s">
        <v>204</v>
      </c>
      <c r="C231" s="3">
        <v>205</v>
      </c>
      <c r="D231" s="26">
        <v>19.550500000000003</v>
      </c>
      <c r="E231" s="26">
        <v>18.823599999999999</v>
      </c>
      <c r="F231" s="18">
        <v>59.351999999999997</v>
      </c>
      <c r="G231" s="18">
        <v>0.67060082221323614</v>
      </c>
      <c r="H231" s="18">
        <v>0.6828480927348699</v>
      </c>
      <c r="I231" s="18">
        <v>-1.2247270521633769E-2</v>
      </c>
    </row>
    <row r="232" spans="1:9" x14ac:dyDescent="0.25">
      <c r="A232" s="2">
        <v>43147</v>
      </c>
      <c r="B232" s="4" t="s">
        <v>205</v>
      </c>
      <c r="C232" s="3">
        <v>552</v>
      </c>
      <c r="D232" s="26">
        <v>19.550500000000003</v>
      </c>
      <c r="E232" s="26">
        <v>18.716200000000001</v>
      </c>
      <c r="F232" s="18">
        <v>59.676000000000002</v>
      </c>
      <c r="G232" s="18">
        <v>0.67238923520343186</v>
      </c>
      <c r="H232" s="18">
        <v>0.6863697298746565</v>
      </c>
      <c r="I232" s="18">
        <v>-1.398049467122464E-2</v>
      </c>
    </row>
    <row r="233" spans="1:9" x14ac:dyDescent="0.25">
      <c r="A233" s="2">
        <v>43150</v>
      </c>
      <c r="B233" s="4" t="s">
        <v>27</v>
      </c>
      <c r="C233" s="3">
        <v>3312</v>
      </c>
      <c r="D233" s="26">
        <v>2.0328999999999997</v>
      </c>
      <c r="E233" s="26">
        <v>1.9828666666666663</v>
      </c>
      <c r="F233" s="18">
        <v>6.4640000000000004</v>
      </c>
      <c r="G233" s="18">
        <v>0.68550433168316838</v>
      </c>
      <c r="H233" s="18">
        <v>0.69324463696369643</v>
      </c>
      <c r="I233" s="18">
        <v>-7.7403052805280481E-3</v>
      </c>
    </row>
    <row r="234" spans="1:9" x14ac:dyDescent="0.25">
      <c r="A234" s="2">
        <v>43150</v>
      </c>
      <c r="B234" s="4" t="s">
        <v>33</v>
      </c>
      <c r="C234" s="3">
        <v>357</v>
      </c>
      <c r="D234" s="26">
        <v>4.4241999999999999</v>
      </c>
      <c r="E234" s="26">
        <v>4.5198</v>
      </c>
      <c r="F234" s="18">
        <v>10.603</v>
      </c>
      <c r="G234" s="18">
        <v>0.58274073375459778</v>
      </c>
      <c r="H234" s="18">
        <v>0.57372441761765536</v>
      </c>
      <c r="I234" s="18">
        <v>9.0163161369424261E-3</v>
      </c>
    </row>
    <row r="235" spans="1:9" x14ac:dyDescent="0.25">
      <c r="A235" s="2">
        <v>43150</v>
      </c>
      <c r="B235" s="4" t="s">
        <v>53</v>
      </c>
      <c r="C235" s="3">
        <v>756</v>
      </c>
      <c r="D235" s="26">
        <v>0.51149999999999995</v>
      </c>
      <c r="E235" s="26">
        <v>0.50662499999999999</v>
      </c>
      <c r="F235" s="18">
        <v>2.02</v>
      </c>
      <c r="G235" s="18">
        <v>0.74678217821782189</v>
      </c>
      <c r="H235" s="18">
        <v>0.74919554455445536</v>
      </c>
      <c r="I235" s="18">
        <v>-2.4133663366334712E-3</v>
      </c>
    </row>
    <row r="236" spans="1:9" x14ac:dyDescent="0.25">
      <c r="A236" s="2">
        <v>43150</v>
      </c>
      <c r="B236" s="4" t="s">
        <v>56</v>
      </c>
      <c r="C236" s="3">
        <v>1110</v>
      </c>
      <c r="D236" s="26">
        <v>1.0099</v>
      </c>
      <c r="E236" s="26">
        <v>0.95581666666666676</v>
      </c>
      <c r="F236" s="18">
        <v>3.8660000000000001</v>
      </c>
      <c r="G236" s="18">
        <v>0.7387739265390586</v>
      </c>
      <c r="H236" s="18">
        <v>0.75276340748404891</v>
      </c>
      <c r="I236" s="18">
        <v>-1.3989480944990418E-2</v>
      </c>
    </row>
    <row r="237" spans="1:9" x14ac:dyDescent="0.25">
      <c r="A237" s="2">
        <v>43150</v>
      </c>
      <c r="B237" s="4" t="s">
        <v>60</v>
      </c>
      <c r="C237" s="3">
        <v>3024</v>
      </c>
      <c r="D237" s="26">
        <v>0.22359999999999999</v>
      </c>
      <c r="E237" s="26">
        <v>0.30757361111111109</v>
      </c>
      <c r="F237" s="18">
        <v>65.304000000000002</v>
      </c>
      <c r="G237" s="18">
        <v>0.9965760137204458</v>
      </c>
      <c r="H237" s="18">
        <v>0.99529012600895628</v>
      </c>
      <c r="I237" s="18">
        <v>1.2858877114894085E-3</v>
      </c>
    </row>
    <row r="238" spans="1:9" x14ac:dyDescent="0.25">
      <c r="A238" s="2">
        <v>43150</v>
      </c>
      <c r="B238" s="4" t="s">
        <v>89</v>
      </c>
      <c r="C238" s="3">
        <v>775</v>
      </c>
      <c r="D238" s="26">
        <v>3.2515000000000001</v>
      </c>
      <c r="E238" s="26">
        <v>3.2570999999999999</v>
      </c>
      <c r="F238" s="18">
        <v>7.28</v>
      </c>
      <c r="G238" s="18">
        <v>0.55336538461538465</v>
      </c>
      <c r="H238" s="18">
        <v>0.55259615384615379</v>
      </c>
      <c r="I238" s="18">
        <v>7.6923076923085532E-4</v>
      </c>
    </row>
    <row r="239" spans="1:9" x14ac:dyDescent="0.25">
      <c r="A239" s="2">
        <v>43150</v>
      </c>
      <c r="B239" s="4" t="s">
        <v>93</v>
      </c>
      <c r="C239" s="3">
        <v>1284</v>
      </c>
      <c r="D239" s="26">
        <v>19.562900000000003</v>
      </c>
      <c r="E239" s="26">
        <v>18.3111</v>
      </c>
      <c r="F239" s="18">
        <v>54.418999999999997</v>
      </c>
      <c r="G239" s="18">
        <v>0.64051342362042674</v>
      </c>
      <c r="H239" s="18">
        <v>0.66351641889781143</v>
      </c>
      <c r="I239" s="18">
        <v>-2.3002995277384697E-2</v>
      </c>
    </row>
    <row r="240" spans="1:9" x14ac:dyDescent="0.25">
      <c r="A240" s="2">
        <v>43150</v>
      </c>
      <c r="B240" s="4" t="s">
        <v>131</v>
      </c>
      <c r="C240" s="3">
        <v>439</v>
      </c>
      <c r="D240" s="26">
        <v>17.405899999999999</v>
      </c>
      <c r="E240" s="26">
        <v>17.2818</v>
      </c>
      <c r="F240" s="18">
        <v>43.956000000000003</v>
      </c>
      <c r="G240" s="18">
        <v>0.60401537901537905</v>
      </c>
      <c r="H240" s="18">
        <v>0.6068386568386569</v>
      </c>
      <c r="I240" s="18">
        <v>-2.8232778232778477E-3</v>
      </c>
    </row>
    <row r="241" spans="1:9" x14ac:dyDescent="0.25">
      <c r="A241" s="2">
        <v>43150</v>
      </c>
      <c r="B241" s="4" t="s">
        <v>139</v>
      </c>
      <c r="C241" s="3">
        <v>3420</v>
      </c>
      <c r="D241" s="26">
        <v>4.509525</v>
      </c>
      <c r="E241" s="26">
        <v>3.8272249999999999</v>
      </c>
      <c r="F241" s="18">
        <v>8.2110000000000003</v>
      </c>
      <c r="G241" s="18">
        <v>0.45079466569236393</v>
      </c>
      <c r="H241" s="18">
        <v>0.53389051272682986</v>
      </c>
      <c r="I241" s="18">
        <v>-8.3095847034465931E-2</v>
      </c>
    </row>
    <row r="242" spans="1:9" x14ac:dyDescent="0.25">
      <c r="A242" s="2">
        <v>43150</v>
      </c>
      <c r="B242" s="4" t="s">
        <v>146</v>
      </c>
      <c r="C242" s="3">
        <v>10152</v>
      </c>
      <c r="D242" s="26">
        <v>0.52470000000000006</v>
      </c>
      <c r="E242" s="26">
        <v>0.62183333333333335</v>
      </c>
      <c r="F242" s="18">
        <v>1.8779999999999999</v>
      </c>
      <c r="G242" s="18">
        <v>0.72060702875399363</v>
      </c>
      <c r="H242" s="18">
        <v>0.66888533901313452</v>
      </c>
      <c r="I242" s="18">
        <v>5.1721689740859111E-2</v>
      </c>
    </row>
    <row r="243" spans="1:9" x14ac:dyDescent="0.25">
      <c r="A243" s="2">
        <v>43150</v>
      </c>
      <c r="B243" s="4" t="s">
        <v>147</v>
      </c>
      <c r="C243" s="3">
        <v>9792</v>
      </c>
      <c r="D243" s="26">
        <v>0.21840000000000001</v>
      </c>
      <c r="E243" s="26">
        <v>0.23658055555555552</v>
      </c>
      <c r="F243" s="18">
        <v>0.84699999999999998</v>
      </c>
      <c r="G243" s="18">
        <v>0.74214876033057842</v>
      </c>
      <c r="H243" s="18">
        <v>0.72068411386593201</v>
      </c>
      <c r="I243" s="18">
        <v>2.1464646464646409E-2</v>
      </c>
    </row>
    <row r="244" spans="1:9" x14ac:dyDescent="0.25">
      <c r="A244" s="2">
        <v>43150</v>
      </c>
      <c r="B244" s="4" t="s">
        <v>395</v>
      </c>
      <c r="C244" s="3">
        <v>95</v>
      </c>
      <c r="D244" s="26">
        <v>4.8838999999999997</v>
      </c>
      <c r="E244" s="26">
        <v>7.2312000000000003</v>
      </c>
      <c r="F244" s="18">
        <v>12.365</v>
      </c>
      <c r="G244" s="18">
        <v>0.60502224019409623</v>
      </c>
      <c r="H244" s="18">
        <v>0.41518803073190458</v>
      </c>
      <c r="I244" s="18">
        <v>0.18983420946219165</v>
      </c>
    </row>
    <row r="245" spans="1:9" x14ac:dyDescent="0.25">
      <c r="A245" s="2">
        <v>43150</v>
      </c>
      <c r="B245" s="4" t="s">
        <v>226</v>
      </c>
      <c r="C245" s="3">
        <v>7392</v>
      </c>
      <c r="D245" s="26">
        <v>1.6523000000000001</v>
      </c>
      <c r="E245" s="26">
        <v>1.8167</v>
      </c>
      <c r="F245" s="18">
        <v>4.3689999999999998</v>
      </c>
      <c r="G245" s="18">
        <v>0.62181277180132744</v>
      </c>
      <c r="H245" s="18">
        <v>0.58418402380407419</v>
      </c>
      <c r="I245" s="18">
        <v>3.7628747997253242E-2</v>
      </c>
    </row>
    <row r="246" spans="1:9" x14ac:dyDescent="0.25">
      <c r="A246" s="2">
        <v>43151</v>
      </c>
      <c r="B246" s="4" t="s">
        <v>128</v>
      </c>
      <c r="C246" s="3">
        <v>50760</v>
      </c>
      <c r="D246" s="26">
        <v>0.224</v>
      </c>
      <c r="E246" s="26">
        <v>0.24859166666666663</v>
      </c>
      <c r="F246" s="18">
        <v>0.57199999999999995</v>
      </c>
      <c r="G246" s="18">
        <v>0.60839160839160844</v>
      </c>
      <c r="H246" s="18">
        <v>0.56539918414918411</v>
      </c>
      <c r="I246" s="18">
        <v>4.2992424242424339E-2</v>
      </c>
    </row>
    <row r="247" spans="1:9" x14ac:dyDescent="0.25">
      <c r="A247" s="2">
        <v>43151</v>
      </c>
      <c r="B247" s="4" t="s">
        <v>139</v>
      </c>
      <c r="C247" s="3">
        <v>7132</v>
      </c>
      <c r="D247" s="26">
        <v>4.509525</v>
      </c>
      <c r="E247" s="26">
        <v>3.5744250000000002</v>
      </c>
      <c r="F247" s="18">
        <v>8.2110000000000003</v>
      </c>
      <c r="G247" s="18">
        <v>0.45079466569236393</v>
      </c>
      <c r="H247" s="18">
        <v>0.56467848008768728</v>
      </c>
      <c r="I247" s="18">
        <v>-0.11388381439532336</v>
      </c>
    </row>
    <row r="248" spans="1:9" x14ac:dyDescent="0.25">
      <c r="A248" s="2">
        <v>43151</v>
      </c>
      <c r="B248" s="4" t="s">
        <v>164</v>
      </c>
      <c r="C248" s="3">
        <v>9960</v>
      </c>
      <c r="D248" s="26">
        <v>0.62466666666666659</v>
      </c>
      <c r="E248" s="26">
        <v>0.76200833333333329</v>
      </c>
      <c r="F248" s="18">
        <v>2.2519999999999998</v>
      </c>
      <c r="G248" s="18">
        <v>0.72261693309650676</v>
      </c>
      <c r="H248" s="18">
        <v>0.66163040260509176</v>
      </c>
      <c r="I248" s="18">
        <v>6.0986530491415003E-2</v>
      </c>
    </row>
    <row r="249" spans="1:9" x14ac:dyDescent="0.25">
      <c r="A249" s="2">
        <v>43151</v>
      </c>
      <c r="B249" s="4" t="s">
        <v>226</v>
      </c>
      <c r="C249" s="3">
        <v>5983</v>
      </c>
      <c r="D249" s="26">
        <v>1.6523000000000001</v>
      </c>
      <c r="E249" s="26">
        <v>1.7986</v>
      </c>
      <c r="F249" s="18">
        <v>4.3689999999999998</v>
      </c>
      <c r="G249" s="18">
        <v>0.62181277180132744</v>
      </c>
      <c r="H249" s="18">
        <v>0.58832684824902726</v>
      </c>
      <c r="I249" s="18">
        <v>3.3485923552300179E-2</v>
      </c>
    </row>
    <row r="250" spans="1:9" x14ac:dyDescent="0.25">
      <c r="A250" s="2">
        <v>43152</v>
      </c>
      <c r="B250" s="4" t="s">
        <v>71</v>
      </c>
      <c r="C250" s="3">
        <v>834</v>
      </c>
      <c r="D250" s="26">
        <v>1.6605000000000001</v>
      </c>
      <c r="E250" s="26">
        <v>1.9574333333333336</v>
      </c>
      <c r="F250" s="18">
        <v>5.5609999999999999</v>
      </c>
      <c r="G250" s="18">
        <v>0.70140262542708143</v>
      </c>
      <c r="H250" s="18">
        <v>0.64800695318587787</v>
      </c>
      <c r="I250" s="18">
        <v>5.3395672241203562E-2</v>
      </c>
    </row>
    <row r="251" spans="1:9" x14ac:dyDescent="0.25">
      <c r="A251" s="2">
        <v>43152</v>
      </c>
      <c r="B251" s="4" t="s">
        <v>72</v>
      </c>
      <c r="C251" s="3">
        <v>1200</v>
      </c>
      <c r="D251" s="26">
        <v>1.6618999999999999</v>
      </c>
      <c r="E251" s="26">
        <v>1.6138666666666666</v>
      </c>
      <c r="F251" s="18">
        <v>5.4770000000000003</v>
      </c>
      <c r="G251" s="18">
        <v>0.69656746394011315</v>
      </c>
      <c r="H251" s="18">
        <v>0.70533747185198714</v>
      </c>
      <c r="I251" s="18">
        <v>-8.7700079118739893E-3</v>
      </c>
    </row>
    <row r="252" spans="1:9" x14ac:dyDescent="0.25">
      <c r="A252" s="2">
        <v>43152</v>
      </c>
      <c r="B252" s="4" t="s">
        <v>104</v>
      </c>
      <c r="C252" s="3">
        <v>1233</v>
      </c>
      <c r="D252" s="26">
        <v>6.2032000000000007</v>
      </c>
      <c r="E252" s="26">
        <v>6.6936</v>
      </c>
      <c r="F252" s="18">
        <v>21.289000000000001</v>
      </c>
      <c r="G252" s="18">
        <v>0.70861947484616472</v>
      </c>
      <c r="H252" s="18">
        <v>0.68558410446709572</v>
      </c>
      <c r="I252" s="18">
        <v>2.3035370379069001E-2</v>
      </c>
    </row>
    <row r="253" spans="1:9" x14ac:dyDescent="0.25">
      <c r="A253" s="2">
        <v>43152</v>
      </c>
      <c r="B253" s="4" t="s">
        <v>118</v>
      </c>
      <c r="C253" s="3">
        <v>3804</v>
      </c>
      <c r="D253" s="26">
        <v>1.4033</v>
      </c>
      <c r="E253" s="26">
        <v>1.6065499999999999</v>
      </c>
      <c r="F253" s="18">
        <v>4.681</v>
      </c>
      <c r="G253" s="18">
        <v>0.70021362956633204</v>
      </c>
      <c r="H253" s="18">
        <v>0.65679342020935694</v>
      </c>
      <c r="I253" s="18">
        <v>4.3420209356975104E-2</v>
      </c>
    </row>
    <row r="254" spans="1:9" x14ac:dyDescent="0.25">
      <c r="A254" s="2">
        <v>43152</v>
      </c>
      <c r="B254" s="4" t="s">
        <v>135</v>
      </c>
      <c r="C254" s="3">
        <v>4026</v>
      </c>
      <c r="D254" s="26">
        <v>1.3674999999999999</v>
      </c>
      <c r="E254" s="26">
        <v>1.5623833333333332</v>
      </c>
      <c r="F254" s="18">
        <v>5.2089999999999996</v>
      </c>
      <c r="G254" s="18">
        <v>0.73747360337876755</v>
      </c>
      <c r="H254" s="18">
        <v>0.70006079221859607</v>
      </c>
      <c r="I254" s="18">
        <v>3.7412811160171477E-2</v>
      </c>
    </row>
    <row r="255" spans="1:9" x14ac:dyDescent="0.25">
      <c r="A255" s="2">
        <v>43152</v>
      </c>
      <c r="B255" s="4" t="s">
        <v>230</v>
      </c>
      <c r="C255" s="3">
        <v>19752</v>
      </c>
      <c r="D255" s="26">
        <v>0.49230000000000002</v>
      </c>
      <c r="E255" s="26">
        <v>0.52934999999999999</v>
      </c>
      <c r="F255" s="18">
        <v>1.57</v>
      </c>
      <c r="G255" s="18">
        <v>0.68643312101910836</v>
      </c>
      <c r="H255" s="18">
        <v>0.66283439490445861</v>
      </c>
      <c r="I255" s="18">
        <v>2.3598726114649748E-2</v>
      </c>
    </row>
    <row r="256" spans="1:9" x14ac:dyDescent="0.25">
      <c r="A256" s="2">
        <v>43152</v>
      </c>
      <c r="B256" s="4" t="s">
        <v>211</v>
      </c>
      <c r="C256" s="3">
        <v>8088</v>
      </c>
      <c r="D256" s="26">
        <v>1.4575333333333331</v>
      </c>
      <c r="E256" s="26">
        <v>1.5397666666666667</v>
      </c>
      <c r="F256" s="18">
        <v>3.2160000000000002</v>
      </c>
      <c r="G256" s="18">
        <v>0.54678689883913767</v>
      </c>
      <c r="H256" s="18">
        <v>0.52121683250414597</v>
      </c>
      <c r="I256" s="18">
        <v>2.5570066334991703E-2</v>
      </c>
    </row>
    <row r="257" spans="1:9" x14ac:dyDescent="0.25">
      <c r="A257" s="2">
        <v>43152</v>
      </c>
      <c r="B257" s="4" t="s">
        <v>440</v>
      </c>
      <c r="C257" s="3">
        <v>17160</v>
      </c>
      <c r="D257" s="26">
        <v>0.58772000000000002</v>
      </c>
      <c r="E257" s="26">
        <v>0.57809999999999995</v>
      </c>
      <c r="F257" s="18">
        <v>1.4850000000000001</v>
      </c>
      <c r="G257" s="18">
        <v>0.60422895622895623</v>
      </c>
      <c r="H257" s="18">
        <v>0.61070707070707075</v>
      </c>
      <c r="I257" s="18">
        <v>-6.4781144781145272E-3</v>
      </c>
    </row>
    <row r="258" spans="1:9" x14ac:dyDescent="0.25">
      <c r="A258" s="2">
        <v>43153</v>
      </c>
      <c r="B258" s="4" t="s">
        <v>73</v>
      </c>
      <c r="C258" s="3">
        <v>2610</v>
      </c>
      <c r="D258" s="26">
        <v>1.7438</v>
      </c>
      <c r="E258" s="26">
        <v>2.0263</v>
      </c>
      <c r="F258" s="18">
        <v>5.9669999999999996</v>
      </c>
      <c r="G258" s="18">
        <v>0.70775934305346067</v>
      </c>
      <c r="H258" s="18">
        <v>0.6604156192391486</v>
      </c>
      <c r="I258" s="18">
        <v>4.7343723814312066E-2</v>
      </c>
    </row>
    <row r="259" spans="1:9" x14ac:dyDescent="0.25">
      <c r="A259" s="2">
        <v>43153</v>
      </c>
      <c r="B259" s="4" t="s">
        <v>93</v>
      </c>
      <c r="C259" s="3">
        <v>607</v>
      </c>
      <c r="D259" s="26">
        <v>19.562900000000003</v>
      </c>
      <c r="E259" s="26">
        <v>18.720500000000001</v>
      </c>
      <c r="F259" s="18">
        <v>54.418999999999997</v>
      </c>
      <c r="G259" s="18">
        <v>0.64051342362042674</v>
      </c>
      <c r="H259" s="18">
        <v>0.65599331115970516</v>
      </c>
      <c r="I259" s="18">
        <v>-1.5479887539278423E-2</v>
      </c>
    </row>
    <row r="260" spans="1:9" x14ac:dyDescent="0.25">
      <c r="A260" s="2">
        <v>43153</v>
      </c>
      <c r="B260" s="4" t="s">
        <v>117</v>
      </c>
      <c r="C260" s="3">
        <v>2771</v>
      </c>
      <c r="D260" s="26">
        <v>3.2107000000000001</v>
      </c>
      <c r="E260" s="26">
        <v>3.2566000000000002</v>
      </c>
      <c r="F260" s="18">
        <v>7.44</v>
      </c>
      <c r="G260" s="18">
        <v>0.56845430107526884</v>
      </c>
      <c r="H260" s="18">
        <v>0.56228494623655922</v>
      </c>
      <c r="I260" s="18">
        <v>6.1693548387096175E-3</v>
      </c>
    </row>
    <row r="261" spans="1:9" x14ac:dyDescent="0.25">
      <c r="A261" s="2">
        <v>43153</v>
      </c>
      <c r="B261" s="4" t="s">
        <v>133</v>
      </c>
      <c r="C261" s="3">
        <v>1530</v>
      </c>
      <c r="D261" s="26">
        <v>1.3858999999999999</v>
      </c>
      <c r="E261" s="26">
        <v>1.6238999999999999</v>
      </c>
      <c r="F261" s="18">
        <v>5.2089999999999996</v>
      </c>
      <c r="G261" s="18">
        <v>0.73394125551929357</v>
      </c>
      <c r="H261" s="18">
        <v>0.68825110385870614</v>
      </c>
      <c r="I261" s="18">
        <v>4.569015166058743E-2</v>
      </c>
    </row>
    <row r="262" spans="1:9" x14ac:dyDescent="0.25">
      <c r="A262" s="2">
        <v>43153</v>
      </c>
      <c r="B262" s="4" t="s">
        <v>134</v>
      </c>
      <c r="C262" s="3">
        <v>5586</v>
      </c>
      <c r="D262" s="26">
        <v>1.5129999999999999</v>
      </c>
      <c r="E262" s="26">
        <v>1.6310666666666669</v>
      </c>
      <c r="F262" s="18">
        <v>5.2089999999999996</v>
      </c>
      <c r="G262" s="18">
        <v>0.7095411787291227</v>
      </c>
      <c r="H262" s="18">
        <v>0.68687527996416464</v>
      </c>
      <c r="I262" s="18">
        <v>2.2665898764958059E-2</v>
      </c>
    </row>
    <row r="263" spans="1:9" x14ac:dyDescent="0.25">
      <c r="A263" s="2">
        <v>43153</v>
      </c>
      <c r="B263" s="4" t="s">
        <v>158</v>
      </c>
      <c r="C263" s="3">
        <v>600</v>
      </c>
      <c r="D263" s="26">
        <v>0.65820000000000001</v>
      </c>
      <c r="E263" s="26">
        <v>0.93517499999999998</v>
      </c>
      <c r="F263" s="18">
        <v>1.9259999999999999</v>
      </c>
      <c r="G263" s="18">
        <v>0.65825545171339561</v>
      </c>
      <c r="H263" s="18">
        <v>0.51444704049844237</v>
      </c>
      <c r="I263" s="18">
        <v>0.14380841121495325</v>
      </c>
    </row>
    <row r="264" spans="1:9" x14ac:dyDescent="0.25">
      <c r="A264" s="2">
        <v>43153</v>
      </c>
      <c r="B264" s="4" t="s">
        <v>230</v>
      </c>
      <c r="C264" s="3">
        <v>20010</v>
      </c>
      <c r="D264" s="26">
        <v>0.49230000000000002</v>
      </c>
      <c r="E264" s="26">
        <v>0.56443333333333334</v>
      </c>
      <c r="F264" s="18">
        <v>1.57</v>
      </c>
      <c r="G264" s="18">
        <v>0.68643312101910836</v>
      </c>
      <c r="H264" s="18">
        <v>0.64048832271762213</v>
      </c>
      <c r="I264" s="18">
        <v>4.5944798301486234E-2</v>
      </c>
    </row>
    <row r="265" spans="1:9" x14ac:dyDescent="0.25">
      <c r="A265" s="2">
        <v>43154</v>
      </c>
      <c r="B265" s="4" t="s">
        <v>72</v>
      </c>
      <c r="C265" s="3">
        <v>1470</v>
      </c>
      <c r="D265" s="26">
        <v>1.6618999999999999</v>
      </c>
      <c r="E265" s="26">
        <v>1.8301333333333336</v>
      </c>
      <c r="F265" s="18">
        <v>5.4770000000000003</v>
      </c>
      <c r="G265" s="18">
        <v>0.69656746394011315</v>
      </c>
      <c r="H265" s="18">
        <v>0.66585113504960136</v>
      </c>
      <c r="I265" s="18">
        <v>3.071632889051179E-2</v>
      </c>
    </row>
    <row r="266" spans="1:9" x14ac:dyDescent="0.25">
      <c r="A266" s="2">
        <v>43154</v>
      </c>
      <c r="B266" s="4" t="s">
        <v>116</v>
      </c>
      <c r="C266" s="3">
        <v>2034</v>
      </c>
      <c r="D266" s="26">
        <v>3.1036999999999999</v>
      </c>
      <c r="E266" s="26">
        <v>3.0695000000000001</v>
      </c>
      <c r="F266" s="18">
        <v>7.9889999999999999</v>
      </c>
      <c r="G266" s="18">
        <v>0.61150331706095884</v>
      </c>
      <c r="H266" s="18">
        <v>0.61578420327950922</v>
      </c>
      <c r="I266" s="18">
        <v>-4.2808862185503838E-3</v>
      </c>
    </row>
    <row r="267" spans="1:9" x14ac:dyDescent="0.25">
      <c r="A267" s="2">
        <v>43154</v>
      </c>
      <c r="B267" s="4" t="s">
        <v>118</v>
      </c>
      <c r="C267" s="3">
        <v>9664</v>
      </c>
      <c r="D267" s="26">
        <v>1.4033</v>
      </c>
      <c r="E267" s="26">
        <v>1.5796333333333334</v>
      </c>
      <c r="F267" s="18">
        <v>4.681</v>
      </c>
      <c r="G267" s="18">
        <v>0.70021362956633204</v>
      </c>
      <c r="H267" s="18">
        <v>0.66254361603645939</v>
      </c>
      <c r="I267" s="18">
        <v>3.7670013529872648E-2</v>
      </c>
    </row>
    <row r="268" spans="1:9" x14ac:dyDescent="0.25">
      <c r="A268" s="2">
        <v>43154</v>
      </c>
      <c r="B268" s="4" t="s">
        <v>140</v>
      </c>
      <c r="C268" s="3">
        <v>4932</v>
      </c>
      <c r="D268" s="26">
        <v>3.4054000000000002</v>
      </c>
      <c r="E268" s="26">
        <v>3.6278999999999999</v>
      </c>
      <c r="F268" s="18">
        <v>9.14</v>
      </c>
      <c r="G268" s="18">
        <v>0.62741794310722099</v>
      </c>
      <c r="H268" s="18">
        <v>0.60307439824945297</v>
      </c>
      <c r="I268" s="18">
        <v>2.4343544857768015E-2</v>
      </c>
    </row>
    <row r="269" spans="1:9" x14ac:dyDescent="0.25">
      <c r="A269" s="2">
        <v>43154</v>
      </c>
      <c r="B269" s="4" t="s">
        <v>178</v>
      </c>
      <c r="C269" s="3">
        <v>8916</v>
      </c>
      <c r="D269" s="26">
        <v>0.51881666666666659</v>
      </c>
      <c r="E269" s="26">
        <v>0.50424999999999998</v>
      </c>
      <c r="F269" s="18">
        <v>1.5720000000000001</v>
      </c>
      <c r="G269" s="18">
        <v>0.6699639525021206</v>
      </c>
      <c r="H269" s="18">
        <v>0.67923027989821894</v>
      </c>
      <c r="I269" s="18">
        <v>-9.2663273960983394E-3</v>
      </c>
    </row>
    <row r="270" spans="1:9" x14ac:dyDescent="0.25">
      <c r="A270" s="2">
        <v>43154</v>
      </c>
      <c r="B270" s="4" t="s">
        <v>458</v>
      </c>
      <c r="C270" s="3">
        <v>8640</v>
      </c>
      <c r="D270" s="26">
        <v>2.0034999999999998</v>
      </c>
      <c r="E270" s="26">
        <v>2.5280999999999998</v>
      </c>
      <c r="F270" s="18">
        <v>6.35</v>
      </c>
      <c r="G270" s="18">
        <v>0.68448818897637798</v>
      </c>
      <c r="H270" s="18">
        <v>0.60187401574803145</v>
      </c>
      <c r="I270" s="18">
        <v>8.2614173228346521E-2</v>
      </c>
    </row>
    <row r="271" spans="1:9" x14ac:dyDescent="0.25">
      <c r="A271" s="2">
        <v>43157</v>
      </c>
      <c r="B271" s="4" t="s">
        <v>23</v>
      </c>
      <c r="C271" s="3">
        <v>140</v>
      </c>
      <c r="D271" s="26">
        <v>2.6046</v>
      </c>
      <c r="E271" s="26">
        <v>2.9028999999999998</v>
      </c>
      <c r="F271" s="18">
        <v>7.923</v>
      </c>
      <c r="G271" s="18">
        <v>0.6712608860280197</v>
      </c>
      <c r="H271" s="18">
        <v>0.6336110059320964</v>
      </c>
      <c r="I271" s="18">
        <v>3.7649880095923294E-2</v>
      </c>
    </row>
    <row r="272" spans="1:9" x14ac:dyDescent="0.25">
      <c r="A272" s="2">
        <v>43157</v>
      </c>
      <c r="B272" s="4" t="s">
        <v>119</v>
      </c>
      <c r="C272" s="3">
        <v>3564</v>
      </c>
      <c r="D272" s="26">
        <v>1.3856999999999999</v>
      </c>
      <c r="E272" s="26">
        <v>1.6573</v>
      </c>
      <c r="F272" s="18">
        <v>4.681</v>
      </c>
      <c r="G272" s="18">
        <v>0.70397350993377483</v>
      </c>
      <c r="H272" s="18">
        <v>0.64595171971800891</v>
      </c>
      <c r="I272" s="18">
        <v>5.8021790215765923E-2</v>
      </c>
    </row>
    <row r="273" spans="1:9" x14ac:dyDescent="0.25">
      <c r="A273" s="2">
        <v>43157</v>
      </c>
      <c r="B273" s="4" t="s">
        <v>134</v>
      </c>
      <c r="C273" s="3">
        <v>396</v>
      </c>
      <c r="D273" s="26">
        <v>1.5129999999999999</v>
      </c>
      <c r="E273" s="26">
        <v>1.70095</v>
      </c>
      <c r="F273" s="18">
        <v>5.2089999999999996</v>
      </c>
      <c r="G273" s="18">
        <v>0.7095411787291227</v>
      </c>
      <c r="H273" s="18">
        <v>0.67345939719715875</v>
      </c>
      <c r="I273" s="18">
        <v>3.6081781531963952E-2</v>
      </c>
    </row>
    <row r="274" spans="1:9" x14ac:dyDescent="0.25">
      <c r="A274" s="2">
        <v>43157</v>
      </c>
      <c r="B274" s="4" t="s">
        <v>135</v>
      </c>
      <c r="C274" s="3">
        <v>1398</v>
      </c>
      <c r="D274" s="26">
        <v>1.3674999999999999</v>
      </c>
      <c r="E274" s="26">
        <v>1.52355</v>
      </c>
      <c r="F274" s="18">
        <v>5.2089999999999996</v>
      </c>
      <c r="G274" s="18">
        <v>0.73747360337876755</v>
      </c>
      <c r="H274" s="18">
        <v>0.70751583797273943</v>
      </c>
      <c r="I274" s="18">
        <v>2.9957765406028125E-2</v>
      </c>
    </row>
    <row r="275" spans="1:9" x14ac:dyDescent="0.25">
      <c r="A275" s="2">
        <v>43157</v>
      </c>
      <c r="B275" s="4" t="s">
        <v>150</v>
      </c>
      <c r="C275" s="3">
        <v>11784</v>
      </c>
      <c r="D275" s="26">
        <v>0.81464999999999999</v>
      </c>
      <c r="E275" s="26">
        <v>0.92054999999999998</v>
      </c>
      <c r="F275" s="18">
        <v>2.0350000000000001</v>
      </c>
      <c r="G275" s="18">
        <v>0.59968058968058979</v>
      </c>
      <c r="H275" s="18">
        <v>0.54764127764127768</v>
      </c>
      <c r="I275" s="18">
        <v>5.2039312039312113E-2</v>
      </c>
    </row>
    <row r="276" spans="1:9" x14ac:dyDescent="0.25">
      <c r="A276" s="2">
        <v>43157</v>
      </c>
      <c r="B276" s="4" t="s">
        <v>163</v>
      </c>
      <c r="C276" s="3">
        <v>5574</v>
      </c>
      <c r="D276" s="26">
        <v>1.8651833333333336</v>
      </c>
      <c r="E276" s="26">
        <v>2.1836000000000002</v>
      </c>
      <c r="F276" s="18">
        <v>6.665</v>
      </c>
      <c r="G276" s="18">
        <v>0.72015253813453362</v>
      </c>
      <c r="H276" s="18">
        <v>0.67237809452363106</v>
      </c>
      <c r="I276" s="18">
        <v>4.7774443610902551E-2</v>
      </c>
    </row>
    <row r="277" spans="1:9" x14ac:dyDescent="0.25">
      <c r="A277" s="2">
        <v>43157</v>
      </c>
      <c r="B277" s="4" t="s">
        <v>458</v>
      </c>
      <c r="C277" s="3">
        <v>9120</v>
      </c>
      <c r="D277" s="26">
        <v>2.0034999999999998</v>
      </c>
      <c r="E277" s="26">
        <v>2.4731000000000001</v>
      </c>
      <c r="F277" s="18">
        <v>6.35</v>
      </c>
      <c r="G277" s="18">
        <v>0.68448818897637798</v>
      </c>
      <c r="H277" s="18">
        <v>0.61053543307086611</v>
      </c>
      <c r="I277" s="18">
        <v>7.3952755905511869E-2</v>
      </c>
    </row>
    <row r="278" spans="1:9" x14ac:dyDescent="0.25">
      <c r="A278" s="2">
        <v>43157</v>
      </c>
      <c r="B278" s="4" t="s">
        <v>459</v>
      </c>
      <c r="C278" s="3">
        <v>3312</v>
      </c>
      <c r="D278" s="26">
        <v>1.977325</v>
      </c>
      <c r="E278" s="26">
        <v>2.1263000000000001</v>
      </c>
      <c r="F278" s="18">
        <v>5.2</v>
      </c>
      <c r="G278" s="18">
        <v>0.61974519230769232</v>
      </c>
      <c r="H278" s="18">
        <v>0.59109615384615388</v>
      </c>
      <c r="I278" s="18">
        <v>2.8649038461538431E-2</v>
      </c>
    </row>
    <row r="279" spans="1:9" x14ac:dyDescent="0.25">
      <c r="A279" s="2">
        <v>43158</v>
      </c>
      <c r="B279" s="4" t="s">
        <v>66</v>
      </c>
      <c r="C279" s="3">
        <v>1170</v>
      </c>
      <c r="D279" s="26">
        <v>1.8084</v>
      </c>
      <c r="E279" s="26">
        <v>2.2856000000000001</v>
      </c>
      <c r="F279" s="18">
        <v>6.47</v>
      </c>
      <c r="G279" s="18">
        <v>0.72049459041731068</v>
      </c>
      <c r="H279" s="18">
        <v>0.6467387944358578</v>
      </c>
      <c r="I279" s="18">
        <v>7.3755795981452876E-2</v>
      </c>
    </row>
    <row r="280" spans="1:9" x14ac:dyDescent="0.25">
      <c r="A280" s="2">
        <v>43158</v>
      </c>
      <c r="B280" s="4" t="s">
        <v>75</v>
      </c>
      <c r="C280" s="3">
        <v>1148</v>
      </c>
      <c r="D280" s="26">
        <v>2.3018000000000001</v>
      </c>
      <c r="E280" s="26">
        <v>2.9965000000000002</v>
      </c>
      <c r="F280" s="18">
        <v>5.8057499999999997</v>
      </c>
      <c r="G280" s="18">
        <v>0.60353098221590662</v>
      </c>
      <c r="H280" s="18">
        <v>0.48387374585540194</v>
      </c>
      <c r="I280" s="18">
        <v>0.11965723636050468</v>
      </c>
    </row>
    <row r="281" spans="1:9" x14ac:dyDescent="0.25">
      <c r="A281" s="2">
        <v>43158</v>
      </c>
      <c r="B281" s="4" t="s">
        <v>76</v>
      </c>
      <c r="C281" s="3">
        <v>1240</v>
      </c>
      <c r="D281" s="26">
        <v>1.5212000000000001</v>
      </c>
      <c r="E281" s="26">
        <v>1.8747</v>
      </c>
      <c r="F281" s="18">
        <v>8.6267499999999995</v>
      </c>
      <c r="G281" s="18">
        <v>0.82366476367113917</v>
      </c>
      <c r="H281" s="18">
        <v>0.78268757063784156</v>
      </c>
      <c r="I281" s="18">
        <v>4.097719303329761E-2</v>
      </c>
    </row>
    <row r="282" spans="1:9" x14ac:dyDescent="0.25">
      <c r="A282" s="2">
        <v>43158</v>
      </c>
      <c r="B282" s="4" t="s">
        <v>77</v>
      </c>
      <c r="C282" s="3">
        <v>1956</v>
      </c>
      <c r="D282" s="26">
        <v>1.9990000000000001</v>
      </c>
      <c r="E282" s="26">
        <v>2.0784500000000001</v>
      </c>
      <c r="F282" s="18">
        <v>5.99</v>
      </c>
      <c r="G282" s="18">
        <v>0.66627712854757937</v>
      </c>
      <c r="H282" s="18">
        <v>0.65301335559265439</v>
      </c>
      <c r="I282" s="18">
        <v>1.3263772954924979E-2</v>
      </c>
    </row>
    <row r="283" spans="1:9" x14ac:dyDescent="0.25">
      <c r="A283" s="2">
        <v>43158</v>
      </c>
      <c r="B283" s="4" t="s">
        <v>81</v>
      </c>
      <c r="C283" s="3">
        <v>992</v>
      </c>
      <c r="D283" s="26">
        <v>2.1423624999999999</v>
      </c>
      <c r="E283" s="26">
        <v>2.5736625000000002</v>
      </c>
      <c r="F283" s="18">
        <v>9.0950000000000006</v>
      </c>
      <c r="G283" s="18">
        <v>0.7644461242440902</v>
      </c>
      <c r="H283" s="18">
        <v>0.71702446399120401</v>
      </c>
      <c r="I283" s="18">
        <v>4.7421660252886189E-2</v>
      </c>
    </row>
    <row r="284" spans="1:9" x14ac:dyDescent="0.25">
      <c r="A284" s="2">
        <v>43158</v>
      </c>
      <c r="B284" s="4" t="s">
        <v>119</v>
      </c>
      <c r="C284" s="3">
        <v>5958</v>
      </c>
      <c r="D284" s="26">
        <v>1.3856999999999999</v>
      </c>
      <c r="E284" s="26">
        <v>1.6348833333333337</v>
      </c>
      <c r="F284" s="18">
        <v>4.681</v>
      </c>
      <c r="G284" s="18">
        <v>0.70397350993377483</v>
      </c>
      <c r="H284" s="18">
        <v>0.65074058249661748</v>
      </c>
      <c r="I284" s="18">
        <v>5.3232927437157351E-2</v>
      </c>
    </row>
    <row r="285" spans="1:9" x14ac:dyDescent="0.25">
      <c r="A285" s="2">
        <v>43158</v>
      </c>
      <c r="B285" s="4" t="s">
        <v>458</v>
      </c>
      <c r="C285" s="3">
        <v>7200</v>
      </c>
      <c r="D285" s="26">
        <v>2.0034999999999998</v>
      </c>
      <c r="E285" s="26">
        <v>2.2663000000000002</v>
      </c>
      <c r="F285" s="18">
        <v>6.35</v>
      </c>
      <c r="G285" s="18">
        <v>0.68448818897637798</v>
      </c>
      <c r="H285" s="18">
        <v>0.64310236220472439</v>
      </c>
      <c r="I285" s="18">
        <v>4.1385826771653589E-2</v>
      </c>
    </row>
    <row r="286" spans="1:9" x14ac:dyDescent="0.25">
      <c r="A286" s="2">
        <v>43159</v>
      </c>
      <c r="B286" s="4" t="s">
        <v>77</v>
      </c>
      <c r="C286" s="3">
        <v>240</v>
      </c>
      <c r="D286" s="26">
        <v>1.9990000000000001</v>
      </c>
      <c r="E286" s="26">
        <v>2.0689500000000001</v>
      </c>
      <c r="F286" s="18">
        <v>5.99</v>
      </c>
      <c r="G286" s="18">
        <v>0.66627712854757937</v>
      </c>
      <c r="H286" s="18">
        <v>0.65459933222036726</v>
      </c>
      <c r="I286" s="18">
        <v>1.1677796327212109E-2</v>
      </c>
    </row>
    <row r="287" spans="1:9" x14ac:dyDescent="0.25">
      <c r="A287" s="2">
        <v>43159</v>
      </c>
      <c r="B287" s="4" t="s">
        <v>103</v>
      </c>
      <c r="C287" s="3">
        <v>3450</v>
      </c>
      <c r="D287" s="26">
        <v>1.4773500000000002</v>
      </c>
      <c r="E287" s="26">
        <v>1.77565</v>
      </c>
      <c r="F287" s="18">
        <v>4.8170000000000002</v>
      </c>
      <c r="G287" s="18">
        <v>0.69330496159435329</v>
      </c>
      <c r="H287" s="18">
        <v>0.63137845131824799</v>
      </c>
      <c r="I287" s="18">
        <v>6.1926510276105295E-2</v>
      </c>
    </row>
    <row r="288" spans="1:9" x14ac:dyDescent="0.25">
      <c r="A288" s="2">
        <v>43159</v>
      </c>
      <c r="B288" s="4" t="s">
        <v>134</v>
      </c>
      <c r="C288" s="3">
        <v>3084</v>
      </c>
      <c r="D288" s="26">
        <v>1.5129999999999999</v>
      </c>
      <c r="E288" s="26">
        <v>1.1919833333333334</v>
      </c>
      <c r="F288" s="18">
        <v>5.2089999999999996</v>
      </c>
      <c r="G288" s="18">
        <v>0.7095411787291227</v>
      </c>
      <c r="H288" s="18">
        <v>0.77116849043322444</v>
      </c>
      <c r="I288" s="18">
        <v>-6.162731170410185E-2</v>
      </c>
    </row>
    <row r="289" spans="1:9" x14ac:dyDescent="0.25">
      <c r="A289" s="2">
        <v>43159</v>
      </c>
      <c r="B289" s="4" t="s">
        <v>165</v>
      </c>
      <c r="C289" s="3">
        <v>807</v>
      </c>
      <c r="D289" s="26">
        <v>3.5914999999999999</v>
      </c>
      <c r="E289" s="26">
        <v>5.3581000000000003</v>
      </c>
      <c r="F289" s="18">
        <v>12.984000000000002</v>
      </c>
      <c r="G289" s="18">
        <v>0.72339032655576097</v>
      </c>
      <c r="H289" s="18">
        <v>0.58733056069008016</v>
      </c>
      <c r="I289" s="18">
        <v>0.1360597658656808</v>
      </c>
    </row>
    <row r="290" spans="1:9" x14ac:dyDescent="0.25">
      <c r="A290" s="2">
        <v>43159</v>
      </c>
      <c r="B290" s="4" t="s">
        <v>190</v>
      </c>
      <c r="C290" s="3">
        <v>2766</v>
      </c>
      <c r="D290" s="26">
        <v>2.47485</v>
      </c>
      <c r="E290" s="26">
        <v>2.8102499999999999</v>
      </c>
      <c r="F290" s="18">
        <v>7.0010000000000003</v>
      </c>
      <c r="G290" s="18">
        <v>0.64650049992858161</v>
      </c>
      <c r="H290" s="18">
        <v>0.59859305813455221</v>
      </c>
      <c r="I290" s="18">
        <v>4.7907441794029393E-2</v>
      </c>
    </row>
    <row r="291" spans="1:9" x14ac:dyDescent="0.25">
      <c r="A291" s="2">
        <v>43159</v>
      </c>
      <c r="B291" s="4" t="s">
        <v>191</v>
      </c>
      <c r="C291" s="3">
        <v>1854</v>
      </c>
      <c r="D291" s="26">
        <v>2.5318499999999999</v>
      </c>
      <c r="E291" s="26">
        <v>2.5894666666666666</v>
      </c>
      <c r="F291" s="18">
        <v>7</v>
      </c>
      <c r="G291" s="18">
        <v>0.63830714285714285</v>
      </c>
      <c r="H291" s="18">
        <v>0.63007619047619046</v>
      </c>
      <c r="I291" s="18">
        <v>8.2309523809523943E-3</v>
      </c>
    </row>
    <row r="292" spans="1:9" x14ac:dyDescent="0.25">
      <c r="A292" s="2">
        <v>43159</v>
      </c>
      <c r="B292" s="4" t="s">
        <v>207</v>
      </c>
      <c r="C292" s="3">
        <v>5632</v>
      </c>
      <c r="D292" s="26">
        <v>0.78490000000000004</v>
      </c>
      <c r="E292" s="26">
        <v>1.0273749999999999</v>
      </c>
      <c r="F292" s="18">
        <v>2.1</v>
      </c>
      <c r="G292" s="18">
        <v>0.62623809523809526</v>
      </c>
      <c r="H292" s="18">
        <v>0.51077380952380957</v>
      </c>
      <c r="I292" s="18">
        <v>0.11546428571428569</v>
      </c>
    </row>
    <row r="293" spans="1:9" x14ac:dyDescent="0.25">
      <c r="A293" s="2">
        <v>43159</v>
      </c>
      <c r="B293" s="4" t="s">
        <v>209</v>
      </c>
      <c r="C293" s="3">
        <v>1050</v>
      </c>
      <c r="D293" s="26">
        <v>1.3505833333333337</v>
      </c>
      <c r="E293" s="26">
        <v>1.3716333333333333</v>
      </c>
      <c r="F293" s="18">
        <v>5.1539999999999999</v>
      </c>
      <c r="G293" s="18">
        <v>0.73795433967145252</v>
      </c>
      <c r="H293" s="18">
        <v>0.73387013322985373</v>
      </c>
      <c r="I293" s="18">
        <v>4.0842064415986812E-3</v>
      </c>
    </row>
    <row r="294" spans="1:9" x14ac:dyDescent="0.25">
      <c r="A294" s="2">
        <v>43159</v>
      </c>
      <c r="B294" s="4" t="s">
        <v>458</v>
      </c>
      <c r="C294" s="3">
        <v>10218</v>
      </c>
      <c r="D294" s="26">
        <v>2.0034999999999998</v>
      </c>
      <c r="E294" s="26">
        <v>2.4859</v>
      </c>
      <c r="F294" s="18">
        <v>6.35</v>
      </c>
      <c r="G294" s="18">
        <v>0.68448818897637798</v>
      </c>
      <c r="H294" s="18">
        <v>0.60851968503937004</v>
      </c>
      <c r="I294" s="18">
        <v>7.5968503937007936E-2</v>
      </c>
    </row>
    <row r="295" spans="1:9" x14ac:dyDescent="0.25">
      <c r="A295" s="2">
        <v>43159</v>
      </c>
      <c r="B295" s="4" t="s">
        <v>460</v>
      </c>
      <c r="C295" s="3">
        <v>2424</v>
      </c>
      <c r="D295" s="26">
        <v>0.6704</v>
      </c>
      <c r="E295" s="26">
        <v>0.87090000000000001</v>
      </c>
      <c r="F295" s="18">
        <v>2.59</v>
      </c>
      <c r="G295" s="18">
        <v>0.74115830115830117</v>
      </c>
      <c r="H295" s="18">
        <v>0.66374517374517372</v>
      </c>
      <c r="I295" s="18">
        <v>7.7413127413127433E-2</v>
      </c>
    </row>
    <row r="296" spans="1:9" x14ac:dyDescent="0.25">
      <c r="A296" s="2">
        <v>43159</v>
      </c>
      <c r="B296" s="4" t="s">
        <v>461</v>
      </c>
      <c r="C296" s="3">
        <v>3084</v>
      </c>
      <c r="D296" s="26">
        <v>0.60550000000000004</v>
      </c>
      <c r="E296" s="26">
        <v>0.72240000000000004</v>
      </c>
      <c r="F296" s="18">
        <v>2.59</v>
      </c>
      <c r="G296" s="18">
        <v>0.76621621621621616</v>
      </c>
      <c r="H296" s="18">
        <v>0.72108108108108093</v>
      </c>
      <c r="I296" s="18">
        <v>4.5135135135135118E-2</v>
      </c>
    </row>
    <row r="297" spans="1:9" x14ac:dyDescent="0.25">
      <c r="A297" s="2">
        <v>43160</v>
      </c>
      <c r="B297" s="4" t="s">
        <v>59</v>
      </c>
      <c r="C297" s="3">
        <v>4536</v>
      </c>
      <c r="D297" s="26">
        <v>0.21429999999999999</v>
      </c>
      <c r="E297" s="26">
        <v>0.25948749999999998</v>
      </c>
      <c r="F297" s="18">
        <v>0.91047222222222224</v>
      </c>
      <c r="G297" s="18">
        <v>0.76462763523202237</v>
      </c>
      <c r="H297" s="18">
        <v>0.71499679653415504</v>
      </c>
      <c r="I297" s="18">
        <v>4.963083869786733E-2</v>
      </c>
    </row>
    <row r="298" spans="1:9" x14ac:dyDescent="0.25">
      <c r="A298" s="2">
        <v>43160</v>
      </c>
      <c r="B298" s="4" t="s">
        <v>61</v>
      </c>
      <c r="C298" s="3">
        <v>1440</v>
      </c>
      <c r="D298" s="26">
        <v>0.22689999999999999</v>
      </c>
      <c r="E298" s="26">
        <v>0.3503263888888889</v>
      </c>
      <c r="F298" s="18">
        <v>0.93615277777777783</v>
      </c>
      <c r="G298" s="18">
        <v>0.75762503152678651</v>
      </c>
      <c r="H298" s="18">
        <v>0.62578075159859359</v>
      </c>
      <c r="I298" s="18">
        <v>0.13184427992819303</v>
      </c>
    </row>
    <row r="299" spans="1:9" x14ac:dyDescent="0.25">
      <c r="A299" s="2">
        <v>43160</v>
      </c>
      <c r="B299" s="4" t="s">
        <v>65</v>
      </c>
      <c r="C299" s="3">
        <v>780</v>
      </c>
      <c r="D299" s="26">
        <v>0.98880000000000001</v>
      </c>
      <c r="E299" s="26">
        <v>1.0286999999999999</v>
      </c>
      <c r="F299" s="18">
        <v>3.8820000000000001</v>
      </c>
      <c r="G299" s="18">
        <v>0.74528593508500773</v>
      </c>
      <c r="H299" s="18">
        <v>0.73500772797527036</v>
      </c>
      <c r="I299" s="18">
        <v>1.0278207109737258E-2</v>
      </c>
    </row>
    <row r="300" spans="1:9" x14ac:dyDescent="0.25">
      <c r="A300" s="2">
        <v>43160</v>
      </c>
      <c r="B300" s="4" t="s">
        <v>110</v>
      </c>
      <c r="C300" s="3">
        <v>72</v>
      </c>
      <c r="D300" s="26">
        <v>0.53029999999999999</v>
      </c>
      <c r="E300" s="26">
        <v>0.72450000000000003</v>
      </c>
      <c r="F300" s="18">
        <v>1.6439999999999999</v>
      </c>
      <c r="G300" s="18">
        <v>0.67743309002433083</v>
      </c>
      <c r="H300" s="18">
        <v>0.55930656934306566</v>
      </c>
      <c r="I300" s="18">
        <v>0.11812652068126515</v>
      </c>
    </row>
    <row r="301" spans="1:9" x14ac:dyDescent="0.25">
      <c r="A301" s="2">
        <v>43160</v>
      </c>
      <c r="B301" s="4" t="s">
        <v>145</v>
      </c>
      <c r="C301" s="3">
        <v>18000</v>
      </c>
      <c r="D301" s="26">
        <v>0.19570000000000001</v>
      </c>
      <c r="E301" s="26">
        <v>0.21864027777777775</v>
      </c>
      <c r="F301" s="18">
        <v>0.84699999999999998</v>
      </c>
      <c r="G301" s="18">
        <v>0.76894923258559611</v>
      </c>
      <c r="H301" s="18">
        <v>0.74186507936507939</v>
      </c>
      <c r="I301" s="18">
        <v>2.7084153220516934E-2</v>
      </c>
    </row>
    <row r="302" spans="1:9" x14ac:dyDescent="0.25">
      <c r="A302" s="2">
        <v>43160</v>
      </c>
      <c r="B302" s="4" t="s">
        <v>460</v>
      </c>
      <c r="C302" s="3">
        <v>1260</v>
      </c>
      <c r="D302" s="26">
        <v>0.6704</v>
      </c>
      <c r="E302" s="26">
        <v>0.72629999999999995</v>
      </c>
      <c r="F302" s="18">
        <v>2.59</v>
      </c>
      <c r="G302" s="18">
        <v>0.74115830115830117</v>
      </c>
      <c r="H302" s="18">
        <v>0.7195752895752896</v>
      </c>
      <c r="I302" s="18">
        <v>2.1583011583011569E-2</v>
      </c>
    </row>
    <row r="303" spans="1:9" x14ac:dyDescent="0.25">
      <c r="A303" s="2">
        <v>43160</v>
      </c>
      <c r="B303" s="4" t="s">
        <v>459</v>
      </c>
      <c r="C303" s="3">
        <v>4384</v>
      </c>
      <c r="D303" s="26">
        <v>1.977325</v>
      </c>
      <c r="E303" s="26">
        <v>2.1155249999999999</v>
      </c>
      <c r="F303" s="18">
        <v>5.2</v>
      </c>
      <c r="G303" s="18">
        <v>0.61974519230769232</v>
      </c>
      <c r="H303" s="18">
        <v>0.59316826923076926</v>
      </c>
      <c r="I303" s="18">
        <v>2.6576923076923057E-2</v>
      </c>
    </row>
    <row r="304" spans="1:9" x14ac:dyDescent="0.25">
      <c r="A304" s="2">
        <v>43161</v>
      </c>
      <c r="B304" s="4" t="s">
        <v>69</v>
      </c>
      <c r="C304" s="3">
        <v>390</v>
      </c>
      <c r="D304" s="26">
        <v>1.6584000000000001</v>
      </c>
      <c r="E304" s="26">
        <v>1.7662500000000001</v>
      </c>
      <c r="F304" s="18">
        <v>5.4169999999999998</v>
      </c>
      <c r="G304" s="18">
        <v>0.69385268598855454</v>
      </c>
      <c r="H304" s="18">
        <v>0.67394314196049465</v>
      </c>
      <c r="I304" s="18">
        <v>1.9909544028059889E-2</v>
      </c>
    </row>
    <row r="305" spans="1:9" x14ac:dyDescent="0.25">
      <c r="A305" s="2">
        <v>43161</v>
      </c>
      <c r="B305" s="4" t="s">
        <v>70</v>
      </c>
      <c r="C305" s="3">
        <v>78</v>
      </c>
      <c r="D305" s="26">
        <v>1.7166999999999999</v>
      </c>
      <c r="E305" s="26">
        <v>1.8474666666666664</v>
      </c>
      <c r="F305" s="18">
        <v>5.4160000000000004</v>
      </c>
      <c r="G305" s="18">
        <v>0.68303175775480063</v>
      </c>
      <c r="H305" s="18">
        <v>0.65888724766125062</v>
      </c>
      <c r="I305" s="18">
        <v>2.4144510093550009E-2</v>
      </c>
    </row>
    <row r="306" spans="1:9" x14ac:dyDescent="0.25">
      <c r="A306" s="2">
        <v>43161</v>
      </c>
      <c r="B306" s="4" t="s">
        <v>90</v>
      </c>
      <c r="C306" s="3">
        <v>5964</v>
      </c>
      <c r="D306" s="26">
        <v>0.69869999999999999</v>
      </c>
      <c r="E306" s="26">
        <v>0.91597499999999998</v>
      </c>
      <c r="F306" s="18">
        <v>1.68</v>
      </c>
      <c r="G306" s="18">
        <v>0.58410714285714282</v>
      </c>
      <c r="H306" s="18">
        <v>0.4547767857142857</v>
      </c>
      <c r="I306" s="18">
        <v>0.12933035714285712</v>
      </c>
    </row>
    <row r="307" spans="1:9" x14ac:dyDescent="0.25">
      <c r="A307" s="2">
        <v>43161</v>
      </c>
      <c r="B307" s="4" t="s">
        <v>106</v>
      </c>
      <c r="C307" s="3">
        <v>3288</v>
      </c>
      <c r="D307" s="26">
        <v>0.54159999999999997</v>
      </c>
      <c r="E307" s="26">
        <v>0.57920000000000005</v>
      </c>
      <c r="F307" s="18">
        <v>1.6439999999999999</v>
      </c>
      <c r="G307" s="18">
        <v>0.670559610705596</v>
      </c>
      <c r="H307" s="18">
        <v>0.64768856447688561</v>
      </c>
      <c r="I307" s="18">
        <v>2.287104622871039E-2</v>
      </c>
    </row>
    <row r="308" spans="1:9" x14ac:dyDescent="0.25">
      <c r="A308" s="2">
        <v>43161</v>
      </c>
      <c r="B308" s="4" t="s">
        <v>107</v>
      </c>
      <c r="C308" s="3">
        <v>48</v>
      </c>
      <c r="D308" s="26">
        <v>0.53490000000000004</v>
      </c>
      <c r="E308" s="26">
        <v>0.73109999999999997</v>
      </c>
      <c r="F308" s="18">
        <v>1.6439999999999999</v>
      </c>
      <c r="G308" s="18">
        <v>0.67463503649635026</v>
      </c>
      <c r="H308" s="18">
        <v>0.5552919708029197</v>
      </c>
      <c r="I308" s="18">
        <v>0.11934306569343056</v>
      </c>
    </row>
    <row r="309" spans="1:9" x14ac:dyDescent="0.25">
      <c r="A309" s="2">
        <v>43161</v>
      </c>
      <c r="B309" s="4" t="s">
        <v>120</v>
      </c>
      <c r="C309" s="3">
        <v>342</v>
      </c>
      <c r="D309" s="26">
        <v>1.4976</v>
      </c>
      <c r="E309" s="26">
        <v>1.7078166666666668</v>
      </c>
      <c r="F309" s="18">
        <v>4.681</v>
      </c>
      <c r="G309" s="18">
        <v>0.68006836146122618</v>
      </c>
      <c r="H309" s="18">
        <v>0.63515986612547171</v>
      </c>
      <c r="I309" s="18">
        <v>4.4908495335754472E-2</v>
      </c>
    </row>
    <row r="310" spans="1:9" x14ac:dyDescent="0.25">
      <c r="A310" s="2">
        <v>43161</v>
      </c>
      <c r="B310" s="4" t="s">
        <v>121</v>
      </c>
      <c r="C310" s="3">
        <v>2514</v>
      </c>
      <c r="D310" s="26">
        <v>1.4089</v>
      </c>
      <c r="E310" s="26">
        <v>1.4390666666666665</v>
      </c>
      <c r="F310" s="18">
        <v>4.681</v>
      </c>
      <c r="G310" s="18">
        <v>0.69901730399487283</v>
      </c>
      <c r="H310" s="18">
        <v>0.69257281207719157</v>
      </c>
      <c r="I310" s="18">
        <v>6.444491917681261E-3</v>
      </c>
    </row>
    <row r="311" spans="1:9" x14ac:dyDescent="0.25">
      <c r="A311" s="2">
        <v>43161</v>
      </c>
      <c r="B311" s="4" t="s">
        <v>122</v>
      </c>
      <c r="C311" s="3">
        <v>1596</v>
      </c>
      <c r="D311" s="26">
        <v>1.4487000000000001</v>
      </c>
      <c r="E311" s="26">
        <v>1.7140666666666666</v>
      </c>
      <c r="F311" s="18">
        <v>4.681</v>
      </c>
      <c r="G311" s="18">
        <v>0.69051484725486001</v>
      </c>
      <c r="H311" s="18">
        <v>0.63382468133589687</v>
      </c>
      <c r="I311" s="18">
        <v>5.6690165918963142E-2</v>
      </c>
    </row>
    <row r="312" spans="1:9" x14ac:dyDescent="0.25">
      <c r="A312" s="2">
        <v>43161</v>
      </c>
      <c r="B312" s="4" t="s">
        <v>144</v>
      </c>
      <c r="C312" s="3">
        <v>3540</v>
      </c>
      <c r="D312" s="26">
        <v>0.46150000000000002</v>
      </c>
      <c r="E312" s="26">
        <v>0.50086666666666668</v>
      </c>
      <c r="F312" s="18">
        <v>1.8779999999999999</v>
      </c>
      <c r="G312" s="18">
        <v>0.7542598509052183</v>
      </c>
      <c r="H312" s="18">
        <v>0.73329783457578979</v>
      </c>
      <c r="I312" s="18">
        <v>2.0962016329428512E-2</v>
      </c>
    </row>
    <row r="313" spans="1:9" x14ac:dyDescent="0.25">
      <c r="A313" s="2">
        <v>43161</v>
      </c>
      <c r="B313" s="4" t="s">
        <v>145</v>
      </c>
      <c r="C313" s="3">
        <v>4824</v>
      </c>
      <c r="D313" s="26">
        <v>0.19570000000000001</v>
      </c>
      <c r="E313" s="26">
        <v>0.2160236111111111</v>
      </c>
      <c r="F313" s="18">
        <v>0.84699999999999998</v>
      </c>
      <c r="G313" s="18">
        <v>0.76894923258559611</v>
      </c>
      <c r="H313" s="18">
        <v>0.74495441427259612</v>
      </c>
      <c r="I313" s="18">
        <v>2.3994818313000099E-2</v>
      </c>
    </row>
    <row r="314" spans="1:9" x14ac:dyDescent="0.25">
      <c r="A314" s="2">
        <v>43161</v>
      </c>
      <c r="B314" s="4" t="s">
        <v>154</v>
      </c>
      <c r="C314" s="3">
        <v>180</v>
      </c>
      <c r="D314" s="26">
        <v>0.49809999999999999</v>
      </c>
      <c r="E314" s="26">
        <v>0.4864</v>
      </c>
      <c r="F314" s="18">
        <v>1.85</v>
      </c>
      <c r="G314" s="18">
        <v>0.73075675675675678</v>
      </c>
      <c r="H314" s="18">
        <v>0.73708108108108117</v>
      </c>
      <c r="I314" s="18">
        <v>-6.324324324324393E-3</v>
      </c>
    </row>
    <row r="315" spans="1:9" x14ac:dyDescent="0.25">
      <c r="A315" s="2">
        <v>43161</v>
      </c>
      <c r="B315" s="4" t="s">
        <v>10</v>
      </c>
      <c r="C315" s="3">
        <v>3432</v>
      </c>
      <c r="D315" s="26">
        <v>2.2055333333333333</v>
      </c>
      <c r="E315" s="26">
        <v>2.4591666666666669</v>
      </c>
      <c r="F315" s="18">
        <v>7.56</v>
      </c>
      <c r="G315" s="18">
        <v>0.70826278659611996</v>
      </c>
      <c r="H315" s="18">
        <v>0.67471340388007039</v>
      </c>
      <c r="I315" s="18">
        <v>3.3549382716049569E-2</v>
      </c>
    </row>
    <row r="316" spans="1:9" x14ac:dyDescent="0.25">
      <c r="A316" s="2">
        <v>43161</v>
      </c>
      <c r="B316" s="4" t="s">
        <v>462</v>
      </c>
      <c r="C316" s="3">
        <v>1664</v>
      </c>
      <c r="D316" s="26">
        <v>1.9313750000000001</v>
      </c>
      <c r="E316" s="26">
        <v>2.1746374999999998</v>
      </c>
      <c r="F316" s="18">
        <v>5.5</v>
      </c>
      <c r="G316" s="18">
        <v>0.64884090909090908</v>
      </c>
      <c r="H316" s="18">
        <v>0.6046113636363637</v>
      </c>
      <c r="I316" s="18">
        <v>4.4229545454545383E-2</v>
      </c>
    </row>
    <row r="317" spans="1:9" x14ac:dyDescent="0.25">
      <c r="A317" s="2">
        <v>43161</v>
      </c>
      <c r="B317" s="4" t="s">
        <v>463</v>
      </c>
      <c r="C317" s="3">
        <v>3216</v>
      </c>
      <c r="D317" s="26">
        <v>3.550383333333333</v>
      </c>
      <c r="E317" s="26">
        <v>3.8051666666666666</v>
      </c>
      <c r="F317" s="18">
        <v>9.5</v>
      </c>
      <c r="G317" s="18">
        <v>0.62627543859649126</v>
      </c>
      <c r="H317" s="18">
        <v>0.59945614035087724</v>
      </c>
      <c r="I317" s="18">
        <v>2.6819298245614021E-2</v>
      </c>
    </row>
    <row r="318" spans="1:9" x14ac:dyDescent="0.25">
      <c r="A318" s="2">
        <v>43161</v>
      </c>
      <c r="B318" s="4" t="s">
        <v>464</v>
      </c>
      <c r="C318" s="3">
        <v>3204</v>
      </c>
      <c r="D318" s="26">
        <v>0.80368333333333331</v>
      </c>
      <c r="E318" s="26">
        <v>1.0223333333333331</v>
      </c>
      <c r="F318" s="18">
        <v>2.512</v>
      </c>
      <c r="G318" s="18">
        <v>0.68006236730360936</v>
      </c>
      <c r="H318" s="18">
        <v>0.59302016985138006</v>
      </c>
      <c r="I318" s="18">
        <v>8.7042197452229297E-2</v>
      </c>
    </row>
    <row r="319" spans="1:9" x14ac:dyDescent="0.25">
      <c r="A319" s="2">
        <v>43164</v>
      </c>
      <c r="B319" s="4" t="s">
        <v>60</v>
      </c>
      <c r="C319" s="3">
        <v>2664</v>
      </c>
      <c r="D319" s="26">
        <v>0.22359999999999999</v>
      </c>
      <c r="E319" s="26">
        <v>0.25216944444444445</v>
      </c>
      <c r="F319" s="18">
        <v>0.90700000000000003</v>
      </c>
      <c r="G319" s="18">
        <v>0.75347298787210581</v>
      </c>
      <c r="H319" s="18">
        <v>0.72197415165992895</v>
      </c>
      <c r="I319" s="18">
        <v>3.1498836212176862E-2</v>
      </c>
    </row>
    <row r="320" spans="1:9" x14ac:dyDescent="0.25">
      <c r="A320" s="2">
        <v>43164</v>
      </c>
      <c r="B320" s="4" t="s">
        <v>63</v>
      </c>
      <c r="C320" s="3">
        <v>2592</v>
      </c>
      <c r="D320" s="26">
        <v>0.21279999999999999</v>
      </c>
      <c r="E320" s="26">
        <v>0.33000555555555555</v>
      </c>
      <c r="F320" s="18">
        <v>0.90941666666666654</v>
      </c>
      <c r="G320" s="18">
        <v>0.76600384862091087</v>
      </c>
      <c r="H320" s="18">
        <v>0.63712391948440694</v>
      </c>
      <c r="I320" s="18">
        <v>0.12887992913650392</v>
      </c>
    </row>
    <row r="321" spans="1:9" x14ac:dyDescent="0.25">
      <c r="A321" s="2">
        <v>43164</v>
      </c>
      <c r="B321" s="4" t="s">
        <v>81</v>
      </c>
      <c r="C321" s="3">
        <v>768</v>
      </c>
      <c r="D321" s="26">
        <v>2.1423624999999999</v>
      </c>
      <c r="E321" s="26">
        <v>2.6382750000000001</v>
      </c>
      <c r="F321" s="18">
        <v>9.0950000000000006</v>
      </c>
      <c r="G321" s="18">
        <v>0.7644461242440902</v>
      </c>
      <c r="H321" s="18">
        <v>0.70992028587135791</v>
      </c>
      <c r="I321" s="18">
        <v>5.4525838372732283E-2</v>
      </c>
    </row>
    <row r="322" spans="1:9" x14ac:dyDescent="0.25">
      <c r="A322" s="2">
        <v>43164</v>
      </c>
      <c r="B322" s="4" t="s">
        <v>144</v>
      </c>
      <c r="C322" s="3">
        <v>480</v>
      </c>
      <c r="D322" s="26">
        <v>0.46150000000000002</v>
      </c>
      <c r="E322" s="26">
        <v>0.53715000000000002</v>
      </c>
      <c r="F322" s="18">
        <v>1.8779999999999999</v>
      </c>
      <c r="G322" s="18">
        <v>0.7542598509052183</v>
      </c>
      <c r="H322" s="18">
        <v>0.71397763578274753</v>
      </c>
      <c r="I322" s="18">
        <v>4.0282215122470766E-2</v>
      </c>
    </row>
    <row r="323" spans="1:9" x14ac:dyDescent="0.25">
      <c r="A323" s="2">
        <v>43164</v>
      </c>
      <c r="B323" s="4" t="s">
        <v>146</v>
      </c>
      <c r="C323" s="3">
        <v>1680</v>
      </c>
      <c r="D323" s="26">
        <v>0.52470000000000006</v>
      </c>
      <c r="E323" s="26">
        <v>0.6272416666666667</v>
      </c>
      <c r="F323" s="18">
        <v>1.8779999999999999</v>
      </c>
      <c r="G323" s="18">
        <v>0.72060702875399363</v>
      </c>
      <c r="H323" s="18">
        <v>0.66600550230741917</v>
      </c>
      <c r="I323" s="18">
        <v>5.4601526446574455E-2</v>
      </c>
    </row>
    <row r="324" spans="1:9" x14ac:dyDescent="0.25">
      <c r="A324" s="2">
        <v>43164</v>
      </c>
      <c r="B324" s="4" t="s">
        <v>147</v>
      </c>
      <c r="C324" s="3">
        <v>7200</v>
      </c>
      <c r="D324" s="26">
        <v>0.21840000000000001</v>
      </c>
      <c r="E324" s="26">
        <v>0.23631944444444444</v>
      </c>
      <c r="F324" s="18">
        <v>0.84699999999999998</v>
      </c>
      <c r="G324" s="18">
        <v>0.74214876033057842</v>
      </c>
      <c r="H324" s="18">
        <v>0.72099239144693694</v>
      </c>
      <c r="I324" s="18">
        <v>2.1156368883641471E-2</v>
      </c>
    </row>
    <row r="325" spans="1:9" x14ac:dyDescent="0.25">
      <c r="A325" s="2">
        <v>43164</v>
      </c>
      <c r="B325" s="4" t="s">
        <v>149</v>
      </c>
      <c r="C325" s="3">
        <v>19800</v>
      </c>
      <c r="D325" s="26">
        <v>0.23419999999999999</v>
      </c>
      <c r="E325" s="26">
        <v>0.25146944444444441</v>
      </c>
      <c r="F325" s="18">
        <v>0.84699999999999998</v>
      </c>
      <c r="G325" s="18">
        <v>0.72349468713105092</v>
      </c>
      <c r="H325" s="18">
        <v>0.70310573265118725</v>
      </c>
      <c r="I325" s="18">
        <v>2.0388954479863552E-2</v>
      </c>
    </row>
    <row r="326" spans="1:9" x14ac:dyDescent="0.25">
      <c r="A326" s="2">
        <v>43164</v>
      </c>
      <c r="B326" s="4" t="s">
        <v>10</v>
      </c>
      <c r="C326" s="3">
        <v>3234</v>
      </c>
      <c r="D326" s="26">
        <v>2.2055333333333333</v>
      </c>
      <c r="E326" s="26">
        <v>2.5415333333333332</v>
      </c>
      <c r="F326" s="18">
        <v>7.56</v>
      </c>
      <c r="G326" s="18">
        <v>0.70826278659611996</v>
      </c>
      <c r="H326" s="18">
        <v>0.66381834215167557</v>
      </c>
      <c r="I326" s="18">
        <v>4.4444444444444398E-2</v>
      </c>
    </row>
    <row r="327" spans="1:9" x14ac:dyDescent="0.25">
      <c r="A327" s="2">
        <v>43164</v>
      </c>
      <c r="B327" s="4" t="s">
        <v>440</v>
      </c>
      <c r="C327" s="3">
        <v>20850</v>
      </c>
      <c r="D327" s="26">
        <v>0.58772000000000002</v>
      </c>
      <c r="E327" s="26">
        <v>0.59970000000000001</v>
      </c>
      <c r="F327" s="18">
        <v>1.4850000000000001</v>
      </c>
      <c r="G327" s="18">
        <v>0.60422895622895623</v>
      </c>
      <c r="H327" s="18">
        <v>0.59616161616161623</v>
      </c>
      <c r="I327" s="18">
        <v>8.0673400673400009E-3</v>
      </c>
    </row>
    <row r="328" spans="1:9" x14ac:dyDescent="0.25">
      <c r="A328" s="2">
        <v>43164</v>
      </c>
      <c r="B328" s="4" t="s">
        <v>462</v>
      </c>
      <c r="C328" s="3">
        <v>3248</v>
      </c>
      <c r="D328" s="26">
        <v>1.9313750000000001</v>
      </c>
      <c r="E328" s="26">
        <v>2.12025</v>
      </c>
      <c r="F328" s="18">
        <v>5.5</v>
      </c>
      <c r="G328" s="18">
        <v>0.64884090909090908</v>
      </c>
      <c r="H328" s="18">
        <v>0.61450000000000005</v>
      </c>
      <c r="I328" s="18">
        <v>3.4340909090909033E-2</v>
      </c>
    </row>
    <row r="329" spans="1:9" x14ac:dyDescent="0.25">
      <c r="A329" s="2">
        <v>43164</v>
      </c>
      <c r="B329" s="4" t="s">
        <v>463</v>
      </c>
      <c r="C329" s="3">
        <v>6240</v>
      </c>
      <c r="D329" s="26">
        <v>3.550383333333333</v>
      </c>
      <c r="E329" s="26">
        <v>3.9020166666666665</v>
      </c>
      <c r="F329" s="18">
        <v>9.5</v>
      </c>
      <c r="G329" s="18">
        <v>0.62627543859649126</v>
      </c>
      <c r="H329" s="18">
        <v>0.58926140350877199</v>
      </c>
      <c r="I329" s="18">
        <v>3.7014035087719277E-2</v>
      </c>
    </row>
    <row r="330" spans="1:9" x14ac:dyDescent="0.25">
      <c r="A330" s="2">
        <v>43165</v>
      </c>
      <c r="B330" s="4" t="s">
        <v>60</v>
      </c>
      <c r="C330" s="3">
        <v>2952</v>
      </c>
      <c r="D330" s="26">
        <v>0.22359999999999999</v>
      </c>
      <c r="E330" s="26">
        <v>0.3309138888888889</v>
      </c>
      <c r="F330" s="18">
        <v>0.90700000000000003</v>
      </c>
      <c r="G330" s="18">
        <v>0.75347298787210581</v>
      </c>
      <c r="H330" s="18">
        <v>0.63515558005635175</v>
      </c>
      <c r="I330" s="18">
        <v>0.11831740781575406</v>
      </c>
    </row>
    <row r="331" spans="1:9" x14ac:dyDescent="0.25">
      <c r="A331" s="2">
        <v>43165</v>
      </c>
      <c r="B331" s="4" t="s">
        <v>73</v>
      </c>
      <c r="C331" s="3">
        <v>1602</v>
      </c>
      <c r="D331" s="26">
        <v>1.7438</v>
      </c>
      <c r="E331" s="26">
        <v>1.6090666666666669</v>
      </c>
      <c r="F331" s="18">
        <v>5.9669999999999996</v>
      </c>
      <c r="G331" s="18">
        <v>0.70775934305346067</v>
      </c>
      <c r="H331" s="18">
        <v>0.73033908720183216</v>
      </c>
      <c r="I331" s="18">
        <v>-2.2579744148371494E-2</v>
      </c>
    </row>
    <row r="332" spans="1:9" x14ac:dyDescent="0.25">
      <c r="A332" s="2">
        <v>43165</v>
      </c>
      <c r="B332" s="4" t="s">
        <v>119</v>
      </c>
      <c r="C332" s="3">
        <v>4320</v>
      </c>
      <c r="D332" s="26">
        <v>1.3856999999999999</v>
      </c>
      <c r="E332" s="26">
        <v>1.5390166666666667</v>
      </c>
      <c r="F332" s="18">
        <v>4.681</v>
      </c>
      <c r="G332" s="18">
        <v>0.70397350993377483</v>
      </c>
      <c r="H332" s="18">
        <v>0.67122053692230998</v>
      </c>
      <c r="I332" s="18">
        <v>3.2752973011464848E-2</v>
      </c>
    </row>
    <row r="333" spans="1:9" x14ac:dyDescent="0.25">
      <c r="A333" s="2">
        <v>43165</v>
      </c>
      <c r="B333" s="4" t="s">
        <v>131</v>
      </c>
      <c r="C333" s="3">
        <v>1740</v>
      </c>
      <c r="D333" s="26">
        <v>17.405899999999999</v>
      </c>
      <c r="E333" s="26">
        <v>16.7423</v>
      </c>
      <c r="F333" s="18">
        <v>43.956000000000003</v>
      </c>
      <c r="G333" s="18">
        <v>0.60401537901537905</v>
      </c>
      <c r="H333" s="18">
        <v>0.61911229411229418</v>
      </c>
      <c r="I333" s="18">
        <v>-1.5096915096915133E-2</v>
      </c>
    </row>
    <row r="334" spans="1:9" x14ac:dyDescent="0.25">
      <c r="A334" s="2">
        <v>43165</v>
      </c>
      <c r="B334" s="4" t="s">
        <v>133</v>
      </c>
      <c r="C334" s="3">
        <v>3702</v>
      </c>
      <c r="D334" s="26">
        <v>1.3858999999999999</v>
      </c>
      <c r="E334" s="26">
        <v>1.4221999999999999</v>
      </c>
      <c r="F334" s="18">
        <v>5.2089999999999996</v>
      </c>
      <c r="G334" s="18">
        <v>0.73394125551929357</v>
      </c>
      <c r="H334" s="18">
        <v>0.72697254751391804</v>
      </c>
      <c r="I334" s="18">
        <v>6.9687080053754125E-3</v>
      </c>
    </row>
    <row r="335" spans="1:9" x14ac:dyDescent="0.25">
      <c r="A335" s="2">
        <v>43165</v>
      </c>
      <c r="B335" s="4" t="s">
        <v>134</v>
      </c>
      <c r="C335" s="3">
        <v>1218</v>
      </c>
      <c r="D335" s="26">
        <v>1.5129999999999999</v>
      </c>
      <c r="E335" s="26">
        <v>1.6266166666666668</v>
      </c>
      <c r="F335" s="18">
        <v>5.2089999999999996</v>
      </c>
      <c r="G335" s="18">
        <v>0.7095411787291227</v>
      </c>
      <c r="H335" s="18">
        <v>0.68772957061496121</v>
      </c>
      <c r="I335" s="18">
        <v>2.1811608114161496E-2</v>
      </c>
    </row>
    <row r="336" spans="1:9" x14ac:dyDescent="0.25">
      <c r="A336" s="2">
        <v>43165</v>
      </c>
      <c r="B336" s="4" t="s">
        <v>214</v>
      </c>
      <c r="C336" s="3">
        <v>4254</v>
      </c>
      <c r="D336" s="26">
        <v>0.63339999999999996</v>
      </c>
      <c r="E336" s="26">
        <v>0.72450000000000003</v>
      </c>
      <c r="F336" s="18">
        <v>2.008</v>
      </c>
      <c r="G336" s="18">
        <v>0.68456175298804778</v>
      </c>
      <c r="H336" s="18">
        <v>0.63919322709163351</v>
      </c>
      <c r="I336" s="18">
        <v>4.5368525896414269E-2</v>
      </c>
    </row>
    <row r="337" spans="1:9" x14ac:dyDescent="0.25">
      <c r="A337" s="2">
        <v>43165</v>
      </c>
      <c r="B337" s="4" t="s">
        <v>440</v>
      </c>
      <c r="C337" s="3">
        <v>13280</v>
      </c>
      <c r="D337" s="26">
        <v>0.58772000000000002</v>
      </c>
      <c r="E337" s="26">
        <v>0.6018</v>
      </c>
      <c r="F337" s="18">
        <v>1.4850000000000001</v>
      </c>
      <c r="G337" s="18">
        <v>0.60422895622895623</v>
      </c>
      <c r="H337" s="18">
        <v>0.5947474747474748</v>
      </c>
      <c r="I337" s="18">
        <v>9.4814814814814241E-3</v>
      </c>
    </row>
    <row r="338" spans="1:9" x14ac:dyDescent="0.25">
      <c r="A338" s="2">
        <v>43166</v>
      </c>
      <c r="B338" s="4" t="s">
        <v>71</v>
      </c>
      <c r="C338" s="3">
        <v>1008</v>
      </c>
      <c r="D338" s="26">
        <v>1.6605000000000001</v>
      </c>
      <c r="E338" s="26">
        <v>1.7054833333333337</v>
      </c>
      <c r="F338" s="18">
        <v>5.5609999999999999</v>
      </c>
      <c r="G338" s="18">
        <v>0.70140262542708143</v>
      </c>
      <c r="H338" s="18">
        <v>0.69331355271833606</v>
      </c>
      <c r="I338" s="18">
        <v>8.0890727087453707E-3</v>
      </c>
    </row>
    <row r="339" spans="1:9" x14ac:dyDescent="0.25">
      <c r="A339" s="2">
        <v>43166</v>
      </c>
      <c r="B339" s="4" t="s">
        <v>72</v>
      </c>
      <c r="C339" s="3">
        <v>1500</v>
      </c>
      <c r="D339" s="26">
        <v>1.6618999999999999</v>
      </c>
      <c r="E339" s="26">
        <v>1.7166166666666669</v>
      </c>
      <c r="F339" s="18">
        <v>5.4770000000000003</v>
      </c>
      <c r="G339" s="18">
        <v>0.69656746394011315</v>
      </c>
      <c r="H339" s="18">
        <v>0.68657720163106317</v>
      </c>
      <c r="I339" s="18">
        <v>9.9902623090499798E-3</v>
      </c>
    </row>
    <row r="340" spans="1:9" x14ac:dyDescent="0.25">
      <c r="A340" s="2">
        <v>43166</v>
      </c>
      <c r="B340" s="4" t="s">
        <v>118</v>
      </c>
      <c r="C340" s="3">
        <v>1242</v>
      </c>
      <c r="D340" s="26">
        <v>1.4033</v>
      </c>
      <c r="E340" s="26">
        <v>1.5041833333333334</v>
      </c>
      <c r="F340" s="18">
        <v>4.681</v>
      </c>
      <c r="G340" s="18">
        <v>0.70021362956633204</v>
      </c>
      <c r="H340" s="18">
        <v>0.67866196681620727</v>
      </c>
      <c r="I340" s="18">
        <v>2.1551662750124767E-2</v>
      </c>
    </row>
    <row r="341" spans="1:9" x14ac:dyDescent="0.25">
      <c r="A341" s="2">
        <v>43166</v>
      </c>
      <c r="B341" s="4" t="s">
        <v>120</v>
      </c>
      <c r="C341" s="3">
        <v>1020</v>
      </c>
      <c r="D341" s="26">
        <v>1.4976</v>
      </c>
      <c r="E341" s="26">
        <v>1.6027499999999999</v>
      </c>
      <c r="F341" s="18">
        <v>4.681</v>
      </c>
      <c r="G341" s="18">
        <v>0.68006836146122618</v>
      </c>
      <c r="H341" s="18">
        <v>0.65760521256141846</v>
      </c>
      <c r="I341" s="18">
        <v>2.2463148899807717E-2</v>
      </c>
    </row>
    <row r="342" spans="1:9" x14ac:dyDescent="0.25">
      <c r="A342" s="2">
        <v>43166</v>
      </c>
      <c r="B342" s="4" t="s">
        <v>133</v>
      </c>
      <c r="C342" s="3">
        <v>4218</v>
      </c>
      <c r="D342" s="26">
        <v>1.3858999999999999</v>
      </c>
      <c r="E342" s="26">
        <v>1.5347999999999999</v>
      </c>
      <c r="F342" s="18">
        <v>5.2089999999999996</v>
      </c>
      <c r="G342" s="18">
        <v>0.73394125551929357</v>
      </c>
      <c r="H342" s="18">
        <v>0.70535611441735457</v>
      </c>
      <c r="I342" s="18">
        <v>2.8585141101938993E-2</v>
      </c>
    </row>
    <row r="343" spans="1:9" x14ac:dyDescent="0.25">
      <c r="A343" s="2">
        <v>43166</v>
      </c>
      <c r="B343" s="4" t="s">
        <v>135</v>
      </c>
      <c r="C343" s="3">
        <v>210</v>
      </c>
      <c r="D343" s="26">
        <v>1.3674999999999999</v>
      </c>
      <c r="E343" s="26">
        <v>1.3113833333333331</v>
      </c>
      <c r="F343" s="18">
        <v>5.2089999999999996</v>
      </c>
      <c r="G343" s="18">
        <v>0.73747360337876755</v>
      </c>
      <c r="H343" s="18">
        <v>0.74824662443207268</v>
      </c>
      <c r="I343" s="18">
        <v>-1.0773021053305132E-2</v>
      </c>
    </row>
    <row r="344" spans="1:9" x14ac:dyDescent="0.25">
      <c r="A344" s="2">
        <v>43166</v>
      </c>
      <c r="B344" s="4" t="s">
        <v>211</v>
      </c>
      <c r="C344" s="3">
        <v>13878</v>
      </c>
      <c r="D344" s="26">
        <v>1.4575333333333331</v>
      </c>
      <c r="E344" s="26">
        <v>1.4417666666666669</v>
      </c>
      <c r="F344" s="18">
        <v>3.2160000000000002</v>
      </c>
      <c r="G344" s="18">
        <v>0.54678689883913767</v>
      </c>
      <c r="H344" s="18">
        <v>0.55168946932006635</v>
      </c>
      <c r="I344" s="18">
        <v>-4.9025704809286808E-3</v>
      </c>
    </row>
    <row r="345" spans="1:9" x14ac:dyDescent="0.25">
      <c r="A345" s="2">
        <v>43166</v>
      </c>
      <c r="B345" s="4" t="s">
        <v>10</v>
      </c>
      <c r="C345" s="3">
        <v>540</v>
      </c>
      <c r="D345" s="26">
        <v>2.2055333333333333</v>
      </c>
      <c r="E345" s="26">
        <v>2.6897333333333333</v>
      </c>
      <c r="F345" s="18">
        <v>7.56</v>
      </c>
      <c r="G345" s="18">
        <v>0.70826278659611996</v>
      </c>
      <c r="H345" s="18">
        <v>0.64421516754850083</v>
      </c>
      <c r="I345" s="18">
        <v>6.4047619047619131E-2</v>
      </c>
    </row>
    <row r="346" spans="1:9" x14ac:dyDescent="0.25">
      <c r="A346" s="2">
        <v>43166</v>
      </c>
      <c r="B346" s="4" t="s">
        <v>441</v>
      </c>
      <c r="C346" s="3">
        <v>13980</v>
      </c>
      <c r="D346" s="26">
        <v>0.51390000000000002</v>
      </c>
      <c r="E346" s="26">
        <v>0.4471</v>
      </c>
      <c r="F346" s="18">
        <v>1.349</v>
      </c>
      <c r="G346" s="18">
        <v>0.61905114899925873</v>
      </c>
      <c r="H346" s="18">
        <v>0.66856931060044478</v>
      </c>
      <c r="I346" s="18">
        <v>-4.951816160118605E-2</v>
      </c>
    </row>
    <row r="347" spans="1:9" x14ac:dyDescent="0.25">
      <c r="A347" s="2">
        <v>43166</v>
      </c>
      <c r="B347" s="4" t="s">
        <v>460</v>
      </c>
      <c r="C347" s="3">
        <v>1308</v>
      </c>
      <c r="D347" s="26">
        <v>0.6704</v>
      </c>
      <c r="E347" s="26">
        <v>0.72250000000000003</v>
      </c>
      <c r="F347" s="18">
        <v>2.59</v>
      </c>
      <c r="G347" s="18">
        <v>0.74115830115830117</v>
      </c>
      <c r="H347" s="18">
        <v>0.72104247104247099</v>
      </c>
      <c r="I347" s="18">
        <v>2.011583011583018E-2</v>
      </c>
    </row>
    <row r="348" spans="1:9" x14ac:dyDescent="0.25">
      <c r="A348" s="2">
        <v>43166</v>
      </c>
      <c r="B348" s="4" t="s">
        <v>461</v>
      </c>
      <c r="C348" s="3">
        <v>204</v>
      </c>
      <c r="D348" s="26">
        <v>0.60550000000000004</v>
      </c>
      <c r="E348" s="26">
        <v>0.96809999999999996</v>
      </c>
      <c r="F348" s="18">
        <v>2.59</v>
      </c>
      <c r="G348" s="18">
        <v>0.76621621621621616</v>
      </c>
      <c r="H348" s="18">
        <v>0.62621621621621626</v>
      </c>
      <c r="I348" s="18">
        <v>0.1399999999999999</v>
      </c>
    </row>
    <row r="349" spans="1:9" x14ac:dyDescent="0.25">
      <c r="A349" s="2">
        <v>43167</v>
      </c>
      <c r="B349" s="4" t="s">
        <v>134</v>
      </c>
      <c r="C349" s="3">
        <v>5640</v>
      </c>
      <c r="D349" s="26">
        <v>1.5129999999999999</v>
      </c>
      <c r="E349" s="26">
        <v>1.4839500000000001</v>
      </c>
      <c r="F349" s="18">
        <v>5.2089999999999996</v>
      </c>
      <c r="G349" s="18">
        <v>0.7095411787291227</v>
      </c>
      <c r="H349" s="18">
        <v>0.71511806488769436</v>
      </c>
      <c r="I349" s="18">
        <v>-5.5768861585716589E-3</v>
      </c>
    </row>
    <row r="350" spans="1:9" x14ac:dyDescent="0.25">
      <c r="A350" s="2">
        <v>43167</v>
      </c>
      <c r="B350" s="4" t="s">
        <v>135</v>
      </c>
      <c r="C350" s="3">
        <v>3756</v>
      </c>
      <c r="D350" s="26">
        <v>1.3674999999999999</v>
      </c>
      <c r="E350" s="26">
        <v>1.3337166666666669</v>
      </c>
      <c r="F350" s="18">
        <v>5.2089999999999996</v>
      </c>
      <c r="G350" s="18">
        <v>0.73747360337876755</v>
      </c>
      <c r="H350" s="18">
        <v>0.74395917322582705</v>
      </c>
      <c r="I350" s="18">
        <v>-6.4855698470595025E-3</v>
      </c>
    </row>
    <row r="351" spans="1:9" x14ac:dyDescent="0.25">
      <c r="A351" s="2">
        <v>43167</v>
      </c>
      <c r="B351" s="4" t="s">
        <v>230</v>
      </c>
      <c r="C351" s="3">
        <v>22368</v>
      </c>
      <c r="D351" s="26">
        <v>0.49230000000000002</v>
      </c>
      <c r="E351" s="26">
        <v>0.53666666666666674</v>
      </c>
      <c r="F351" s="18">
        <v>1.57</v>
      </c>
      <c r="G351" s="18">
        <v>0.68643312101910836</v>
      </c>
      <c r="H351" s="18">
        <v>0.65817409766454338</v>
      </c>
      <c r="I351" s="18">
        <v>2.8259023354564983E-2</v>
      </c>
    </row>
    <row r="352" spans="1:9" x14ac:dyDescent="0.25">
      <c r="A352" s="2">
        <v>43167</v>
      </c>
      <c r="B352" s="4" t="s">
        <v>211</v>
      </c>
      <c r="C352" s="3">
        <v>16794</v>
      </c>
      <c r="D352" s="26">
        <v>1.4575333333333331</v>
      </c>
      <c r="E352" s="26">
        <v>1.3254833333333331</v>
      </c>
      <c r="F352" s="18">
        <v>3.2160000000000002</v>
      </c>
      <c r="G352" s="18">
        <v>0.54678689883913767</v>
      </c>
      <c r="H352" s="18">
        <v>0.58784722222222219</v>
      </c>
      <c r="I352" s="18">
        <v>-4.1060323383084518E-2</v>
      </c>
    </row>
    <row r="353" spans="1:9" x14ac:dyDescent="0.25">
      <c r="A353" s="2">
        <v>43167</v>
      </c>
      <c r="B353" s="4" t="s">
        <v>430</v>
      </c>
      <c r="C353" s="3">
        <v>4800</v>
      </c>
      <c r="D353" s="26">
        <v>2.8742000000000001</v>
      </c>
      <c r="E353" s="26">
        <v>3.4913666666666665</v>
      </c>
      <c r="F353" s="18">
        <v>7.4450000000000003</v>
      </c>
      <c r="G353" s="18">
        <v>0.61394224311618539</v>
      </c>
      <c r="H353" s="18">
        <v>0.53104544436982315</v>
      </c>
      <c r="I353" s="18">
        <v>8.2896798746362244E-2</v>
      </c>
    </row>
    <row r="354" spans="1:9" x14ac:dyDescent="0.25">
      <c r="A354" s="2">
        <v>43168</v>
      </c>
      <c r="B354" s="4" t="s">
        <v>116</v>
      </c>
      <c r="C354" s="3">
        <v>4421</v>
      </c>
      <c r="D354" s="26">
        <v>3.1036999999999999</v>
      </c>
      <c r="E354" s="26">
        <v>3.242</v>
      </c>
      <c r="F354" s="18">
        <v>7.9889999999999999</v>
      </c>
      <c r="G354" s="18">
        <v>0.61150331706095884</v>
      </c>
      <c r="H354" s="18">
        <v>0.59419201401927646</v>
      </c>
      <c r="I354" s="18">
        <v>1.731130304168238E-2</v>
      </c>
    </row>
    <row r="355" spans="1:9" x14ac:dyDescent="0.25">
      <c r="A355" s="2">
        <v>43168</v>
      </c>
      <c r="B355" s="4" t="s">
        <v>144</v>
      </c>
      <c r="C355" s="3">
        <v>8628</v>
      </c>
      <c r="D355" s="26">
        <v>0.46150000000000002</v>
      </c>
      <c r="E355" s="26">
        <v>0.56849166666666673</v>
      </c>
      <c r="F355" s="18">
        <v>1.8779999999999999</v>
      </c>
      <c r="G355" s="18">
        <v>0.7542598509052183</v>
      </c>
      <c r="H355" s="18">
        <v>0.69728878239261616</v>
      </c>
      <c r="I355" s="18">
        <v>5.6971068512602141E-2</v>
      </c>
    </row>
    <row r="356" spans="1:9" x14ac:dyDescent="0.25">
      <c r="A356" s="2">
        <v>43168</v>
      </c>
      <c r="B356" s="4" t="s">
        <v>145</v>
      </c>
      <c r="C356" s="3">
        <v>144</v>
      </c>
      <c r="D356" s="26">
        <v>0.19570000000000001</v>
      </c>
      <c r="E356" s="26">
        <v>0.2546208333333333</v>
      </c>
      <c r="F356" s="18">
        <v>0.84699999999999998</v>
      </c>
      <c r="G356" s="18">
        <v>0.76894923258559611</v>
      </c>
      <c r="H356" s="18">
        <v>0.69938508461235738</v>
      </c>
      <c r="I356" s="18">
        <v>6.9564147973238843E-2</v>
      </c>
    </row>
    <row r="357" spans="1:9" x14ac:dyDescent="0.25">
      <c r="A357" s="2">
        <v>43168</v>
      </c>
      <c r="B357" s="4" t="s">
        <v>146</v>
      </c>
      <c r="C357" s="3">
        <v>8172</v>
      </c>
      <c r="D357" s="26">
        <v>0.52470000000000006</v>
      </c>
      <c r="E357" s="26">
        <v>0.580175</v>
      </c>
      <c r="F357" s="18">
        <v>1.8779999999999999</v>
      </c>
      <c r="G357" s="18">
        <v>0.72060702875399363</v>
      </c>
      <c r="H357" s="18">
        <v>0.69106762513312037</v>
      </c>
      <c r="I357" s="18">
        <v>2.9539403620873261E-2</v>
      </c>
    </row>
    <row r="358" spans="1:9" x14ac:dyDescent="0.25">
      <c r="A358" s="2">
        <v>43168</v>
      </c>
      <c r="B358" s="4" t="s">
        <v>163</v>
      </c>
      <c r="C358" s="3">
        <v>4086</v>
      </c>
      <c r="D358" s="26">
        <v>1.8651833333333336</v>
      </c>
      <c r="E358" s="26">
        <v>2.0392000000000001</v>
      </c>
      <c r="F358" s="18">
        <v>6.665</v>
      </c>
      <c r="G358" s="18">
        <v>0.72015253813453362</v>
      </c>
      <c r="H358" s="18">
        <v>0.69404351087771943</v>
      </c>
      <c r="I358" s="18">
        <v>2.6109027256814188E-2</v>
      </c>
    </row>
    <row r="359" spans="1:9" x14ac:dyDescent="0.25">
      <c r="A359" s="2">
        <v>43168</v>
      </c>
      <c r="B359" s="4" t="s">
        <v>164</v>
      </c>
      <c r="C359" s="3">
        <v>4980</v>
      </c>
      <c r="D359" s="26">
        <v>0.62466666666666659</v>
      </c>
      <c r="E359" s="26">
        <v>0.84626666666666672</v>
      </c>
      <c r="F359" s="18">
        <v>2.2519999999999998</v>
      </c>
      <c r="G359" s="18">
        <v>0.72261693309650676</v>
      </c>
      <c r="H359" s="18">
        <v>0.62421551213735937</v>
      </c>
      <c r="I359" s="18">
        <v>9.8401420959147404E-2</v>
      </c>
    </row>
    <row r="360" spans="1:9" x14ac:dyDescent="0.25">
      <c r="A360" s="2">
        <v>43168</v>
      </c>
      <c r="B360" s="4" t="s">
        <v>165</v>
      </c>
      <c r="C360" s="3">
        <v>2064</v>
      </c>
      <c r="D360" s="26">
        <v>0.29929166666666668</v>
      </c>
      <c r="E360" s="26">
        <v>0.40842499999999998</v>
      </c>
      <c r="F360" s="18">
        <v>1.0820000000000001</v>
      </c>
      <c r="G360" s="18">
        <v>0.72339032655576085</v>
      </c>
      <c r="H360" s="18">
        <v>0.62252772643253229</v>
      </c>
      <c r="I360" s="18">
        <v>0.10086260012322856</v>
      </c>
    </row>
    <row r="361" spans="1:9" x14ac:dyDescent="0.25">
      <c r="A361" s="2">
        <v>43168</v>
      </c>
      <c r="B361" s="4" t="s">
        <v>10</v>
      </c>
      <c r="C361" s="3">
        <v>1236</v>
      </c>
      <c r="D361" s="26">
        <v>2.2055333333333333</v>
      </c>
      <c r="E361" s="26">
        <v>2.689083333333333</v>
      </c>
      <c r="F361" s="18">
        <v>7.56</v>
      </c>
      <c r="G361" s="18">
        <v>0.70826278659611996</v>
      </c>
      <c r="H361" s="18">
        <v>0.64430114638447966</v>
      </c>
      <c r="I361" s="18">
        <v>6.3961640211640303E-2</v>
      </c>
    </row>
    <row r="362" spans="1:9" x14ac:dyDescent="0.25">
      <c r="A362" s="2">
        <v>43168</v>
      </c>
      <c r="B362" s="4" t="s">
        <v>442</v>
      </c>
      <c r="C362" s="3">
        <v>10146</v>
      </c>
      <c r="D362" s="26">
        <v>0.60636666666666661</v>
      </c>
      <c r="E362" s="26">
        <v>0.64761666666666662</v>
      </c>
      <c r="F362" s="18">
        <v>1.4750000000000001</v>
      </c>
      <c r="G362" s="18">
        <v>0.58890395480225999</v>
      </c>
      <c r="H362" s="18">
        <v>0.56093785310734467</v>
      </c>
      <c r="I362" s="18">
        <v>2.7966101694915313E-2</v>
      </c>
    </row>
    <row r="363" spans="1:9" x14ac:dyDescent="0.25">
      <c r="A363" s="2">
        <v>43168</v>
      </c>
      <c r="B363" s="4" t="s">
        <v>460</v>
      </c>
      <c r="C363" s="3">
        <v>48</v>
      </c>
      <c r="D363" s="26">
        <v>0.6704</v>
      </c>
      <c r="E363" s="26">
        <v>0.66700000000000004</v>
      </c>
      <c r="F363" s="18">
        <v>2.59</v>
      </c>
      <c r="G363" s="18">
        <v>0.74115830115830117</v>
      </c>
      <c r="H363" s="18">
        <v>0.74247104247104245</v>
      </c>
      <c r="I363" s="18">
        <v>-1.3127413127412837E-3</v>
      </c>
    </row>
    <row r="364" spans="1:9" x14ac:dyDescent="0.25">
      <c r="A364" s="2">
        <v>43168</v>
      </c>
      <c r="B364" s="4" t="s">
        <v>462</v>
      </c>
      <c r="C364" s="3">
        <v>624</v>
      </c>
      <c r="D364" s="26">
        <v>1.9313750000000001</v>
      </c>
      <c r="E364" s="26">
        <v>2.0845250000000002</v>
      </c>
      <c r="F364" s="18">
        <v>5.5</v>
      </c>
      <c r="G364" s="18">
        <v>0.64884090909090908</v>
      </c>
      <c r="H364" s="18">
        <v>0.62099545454545446</v>
      </c>
      <c r="I364" s="18">
        <v>2.7845454545454618E-2</v>
      </c>
    </row>
    <row r="365" spans="1:9" x14ac:dyDescent="0.25">
      <c r="A365" s="2">
        <v>43168</v>
      </c>
      <c r="B365" s="4" t="s">
        <v>464</v>
      </c>
      <c r="C365" s="3">
        <v>8700</v>
      </c>
      <c r="D365" s="26">
        <v>0.80368333333333331</v>
      </c>
      <c r="E365" s="26">
        <v>0.92769166666666669</v>
      </c>
      <c r="F365" s="18">
        <v>2.512</v>
      </c>
      <c r="G365" s="18">
        <v>0.68006236730360936</v>
      </c>
      <c r="H365" s="18">
        <v>0.63069599256900211</v>
      </c>
      <c r="I365" s="18">
        <v>4.9366374734607255E-2</v>
      </c>
    </row>
    <row r="366" spans="1:9" x14ac:dyDescent="0.25">
      <c r="A366" s="2">
        <v>43169</v>
      </c>
      <c r="B366" s="4" t="s">
        <v>27</v>
      </c>
      <c r="C366" s="3">
        <v>2520</v>
      </c>
      <c r="D366" s="26">
        <v>2.0328999999999997</v>
      </c>
      <c r="E366" s="26">
        <v>1.9827999999999999</v>
      </c>
      <c r="F366" s="18">
        <v>6.4640000000000004</v>
      </c>
      <c r="G366" s="18">
        <v>0.68550433168316838</v>
      </c>
      <c r="H366" s="18">
        <v>0.69325495049504948</v>
      </c>
      <c r="I366" s="18">
        <v>-7.7506188118811039E-3</v>
      </c>
    </row>
    <row r="367" spans="1:9" x14ac:dyDescent="0.25">
      <c r="A367" s="2">
        <v>43169</v>
      </c>
      <c r="B367" s="4" t="s">
        <v>90</v>
      </c>
      <c r="C367" s="3">
        <v>5256</v>
      </c>
      <c r="D367" s="26">
        <v>0.69869999999999999</v>
      </c>
      <c r="E367" s="26">
        <v>0.73911666666666676</v>
      </c>
      <c r="F367" s="18">
        <v>1.68</v>
      </c>
      <c r="G367" s="18">
        <v>0.58410714285714282</v>
      </c>
      <c r="H367" s="18">
        <v>0.56004960317460306</v>
      </c>
      <c r="I367" s="18">
        <v>2.4057539682539764E-2</v>
      </c>
    </row>
    <row r="368" spans="1:9" x14ac:dyDescent="0.25">
      <c r="A368" s="2">
        <v>43169</v>
      </c>
      <c r="B368" s="4" t="s">
        <v>103</v>
      </c>
      <c r="C368" s="3">
        <v>3576</v>
      </c>
      <c r="D368" s="26">
        <v>1.4773500000000002</v>
      </c>
      <c r="E368" s="26">
        <v>1.9150499999999999</v>
      </c>
      <c r="F368" s="18">
        <v>4.8170000000000002</v>
      </c>
      <c r="G368" s="18">
        <v>0.69330496159435329</v>
      </c>
      <c r="H368" s="18">
        <v>0.60243927755864646</v>
      </c>
      <c r="I368" s="18">
        <v>9.0865684035706829E-2</v>
      </c>
    </row>
    <row r="369" spans="1:9" x14ac:dyDescent="0.25">
      <c r="A369" s="2">
        <v>43169</v>
      </c>
      <c r="B369" s="4" t="s">
        <v>160</v>
      </c>
      <c r="C369" s="3">
        <v>6150</v>
      </c>
      <c r="D369" s="26">
        <v>2.0943000000000001</v>
      </c>
      <c r="E369" s="26">
        <v>2.1411666666666664</v>
      </c>
      <c r="F369" s="18">
        <v>6.5179999999999998</v>
      </c>
      <c r="G369" s="18">
        <v>0.67868978214176134</v>
      </c>
      <c r="H369" s="18">
        <v>0.6714994374552522</v>
      </c>
      <c r="I369" s="18">
        <v>7.1903446865091425E-3</v>
      </c>
    </row>
    <row r="370" spans="1:9" x14ac:dyDescent="0.25">
      <c r="A370" s="2">
        <v>43171</v>
      </c>
      <c r="B370" s="4" t="s">
        <v>90</v>
      </c>
      <c r="C370" s="3">
        <v>10680</v>
      </c>
      <c r="D370" s="26">
        <v>0.69869999999999999</v>
      </c>
      <c r="E370" s="26">
        <v>0.72369166666666673</v>
      </c>
      <c r="F370" s="18">
        <v>1.68</v>
      </c>
      <c r="G370" s="18">
        <v>0.58410714285714282</v>
      </c>
      <c r="H370" s="18">
        <v>0.56923115079365072</v>
      </c>
      <c r="I370" s="18">
        <v>1.4875992063492103E-2</v>
      </c>
    </row>
    <row r="371" spans="1:9" x14ac:dyDescent="0.25">
      <c r="A371" s="2">
        <v>43171</v>
      </c>
      <c r="B371" s="4" t="s">
        <v>106</v>
      </c>
      <c r="C371" s="3">
        <v>816</v>
      </c>
      <c r="D371" s="26">
        <v>0.54159999999999997</v>
      </c>
      <c r="E371" s="26">
        <v>0.56179999999999997</v>
      </c>
      <c r="F371" s="18">
        <v>1.6439999999999999</v>
      </c>
      <c r="G371" s="18">
        <v>0.670559610705596</v>
      </c>
      <c r="H371" s="18">
        <v>0.65827250608272503</v>
      </c>
      <c r="I371" s="18">
        <v>1.228710462287097E-2</v>
      </c>
    </row>
    <row r="372" spans="1:9" x14ac:dyDescent="0.25">
      <c r="A372" s="2">
        <v>43171</v>
      </c>
      <c r="B372" s="4" t="s">
        <v>146</v>
      </c>
      <c r="C372" s="3">
        <v>2760</v>
      </c>
      <c r="D372" s="26">
        <v>0.52470000000000006</v>
      </c>
      <c r="E372" s="26">
        <v>0.59815000000000007</v>
      </c>
      <c r="F372" s="18">
        <v>1.8779999999999999</v>
      </c>
      <c r="G372" s="18">
        <v>0.72060702875399363</v>
      </c>
      <c r="H372" s="18">
        <v>0.68149627263045787</v>
      </c>
      <c r="I372" s="18">
        <v>3.9110756123535761E-2</v>
      </c>
    </row>
    <row r="373" spans="1:9" x14ac:dyDescent="0.25">
      <c r="A373" s="2">
        <v>43171</v>
      </c>
      <c r="B373" s="4" t="s">
        <v>147</v>
      </c>
      <c r="C373" s="3">
        <v>9144</v>
      </c>
      <c r="D373" s="26">
        <v>0.21840000000000001</v>
      </c>
      <c r="E373" s="26">
        <v>0.2628375</v>
      </c>
      <c r="F373" s="18">
        <v>0.84699999999999998</v>
      </c>
      <c r="G373" s="18">
        <v>0.74214876033057842</v>
      </c>
      <c r="H373" s="18">
        <v>0.68968417945690663</v>
      </c>
      <c r="I373" s="18">
        <v>5.2464580873671784E-2</v>
      </c>
    </row>
    <row r="374" spans="1:9" x14ac:dyDescent="0.25">
      <c r="A374" s="2">
        <v>43171</v>
      </c>
      <c r="B374" s="4" t="s">
        <v>148</v>
      </c>
      <c r="C374" s="3">
        <v>7788</v>
      </c>
      <c r="D374" s="26">
        <v>0.55889999999999995</v>
      </c>
      <c r="E374" s="26">
        <v>0.64665000000000006</v>
      </c>
      <c r="F374" s="18">
        <v>1.8779999999999999</v>
      </c>
      <c r="G374" s="18">
        <v>0.70239616613418532</v>
      </c>
      <c r="H374" s="18">
        <v>0.65567092651757186</v>
      </c>
      <c r="I374" s="18">
        <v>4.6725239616613456E-2</v>
      </c>
    </row>
    <row r="375" spans="1:9" x14ac:dyDescent="0.25">
      <c r="A375" s="2">
        <v>43171</v>
      </c>
      <c r="B375" s="4" t="s">
        <v>149</v>
      </c>
      <c r="C375" s="3">
        <v>5832</v>
      </c>
      <c r="D375" s="26">
        <v>0.23419999999999999</v>
      </c>
      <c r="E375" s="26">
        <v>0.2635986111111111</v>
      </c>
      <c r="F375" s="18">
        <v>0.84699999999999998</v>
      </c>
      <c r="G375" s="18">
        <v>0.72349468713105092</v>
      </c>
      <c r="H375" s="18">
        <v>0.68878558310376503</v>
      </c>
      <c r="I375" s="18">
        <v>3.4709104027285775E-2</v>
      </c>
    </row>
    <row r="376" spans="1:9" x14ac:dyDescent="0.25">
      <c r="A376" s="2">
        <v>43171</v>
      </c>
      <c r="B376" s="4" t="s">
        <v>165</v>
      </c>
      <c r="C376" s="3">
        <v>2976</v>
      </c>
      <c r="D376" s="26">
        <v>0.29929166666666668</v>
      </c>
      <c r="E376" s="26">
        <v>0.3565416666666667</v>
      </c>
      <c r="F376" s="18">
        <v>1.0820000000000001</v>
      </c>
      <c r="G376" s="18">
        <v>0.72339032655576085</v>
      </c>
      <c r="H376" s="18">
        <v>0.67047905113986439</v>
      </c>
      <c r="I376" s="18">
        <v>5.2911275415896464E-2</v>
      </c>
    </row>
    <row r="377" spans="1:9" x14ac:dyDescent="0.25">
      <c r="A377" s="2">
        <v>43171</v>
      </c>
      <c r="B377" s="4" t="s">
        <v>442</v>
      </c>
      <c r="C377" s="3">
        <v>24474</v>
      </c>
      <c r="D377" s="26">
        <v>0.60636666666666661</v>
      </c>
      <c r="E377" s="26">
        <v>0.65471666666666672</v>
      </c>
      <c r="F377" s="18">
        <v>1.4750000000000001</v>
      </c>
      <c r="G377" s="18">
        <v>0.58890395480225999</v>
      </c>
      <c r="H377" s="18">
        <v>0.5561242937853107</v>
      </c>
      <c r="I377" s="18">
        <v>3.2779661016949291E-2</v>
      </c>
    </row>
    <row r="378" spans="1:9" x14ac:dyDescent="0.25">
      <c r="A378" s="2">
        <v>43171</v>
      </c>
      <c r="B378" s="4" t="s">
        <v>456</v>
      </c>
      <c r="C378" s="3">
        <v>1596</v>
      </c>
      <c r="D378" s="26">
        <v>3.2147000000000001</v>
      </c>
      <c r="E378" s="26">
        <v>3.5009333333333337</v>
      </c>
      <c r="F378" s="18">
        <v>9.49</v>
      </c>
      <c r="G378" s="18">
        <v>0.6612539515279241</v>
      </c>
      <c r="H378" s="18">
        <v>0.63109237794169293</v>
      </c>
      <c r="I378" s="18">
        <v>3.0161573586231172E-2</v>
      </c>
    </row>
    <row r="379" spans="1:9" x14ac:dyDescent="0.25">
      <c r="A379" s="2">
        <v>43172</v>
      </c>
      <c r="B379" s="4" t="s">
        <v>152</v>
      </c>
      <c r="C379" s="3">
        <v>17148</v>
      </c>
      <c r="D379" s="26">
        <v>0.48133333333333334</v>
      </c>
      <c r="E379" s="26">
        <v>0.52104166666666674</v>
      </c>
      <c r="F379" s="18">
        <v>1.621</v>
      </c>
      <c r="G379" s="18">
        <v>0.70306395229282337</v>
      </c>
      <c r="H379" s="18">
        <v>0.67856775652889167</v>
      </c>
      <c r="I379" s="18">
        <v>2.4496195763931698E-2</v>
      </c>
    </row>
    <row r="380" spans="1:9" x14ac:dyDescent="0.25">
      <c r="A380" s="2">
        <v>43172</v>
      </c>
      <c r="B380" s="4" t="s">
        <v>161</v>
      </c>
      <c r="C380" s="3">
        <v>2238</v>
      </c>
      <c r="D380" s="26">
        <v>3.2098333333333335</v>
      </c>
      <c r="E380" s="26">
        <v>3.4589833333333337</v>
      </c>
      <c r="F380" s="18">
        <v>10.265000000000001</v>
      </c>
      <c r="G380" s="18">
        <v>0.68730313362558848</v>
      </c>
      <c r="H380" s="18">
        <v>0.66303133625588562</v>
      </c>
      <c r="I380" s="18">
        <v>2.4271797369702863E-2</v>
      </c>
    </row>
    <row r="381" spans="1:9" x14ac:dyDescent="0.25">
      <c r="A381" s="2">
        <v>43172</v>
      </c>
      <c r="B381" s="4" t="s">
        <v>162</v>
      </c>
      <c r="C381" s="3">
        <v>6096</v>
      </c>
      <c r="D381" s="26">
        <v>0.65576666666666672</v>
      </c>
      <c r="E381" s="26">
        <v>0.62139166666666668</v>
      </c>
      <c r="F381" s="18">
        <v>2.2469999999999999</v>
      </c>
      <c r="G381" s="18">
        <v>0.7081590268506156</v>
      </c>
      <c r="H381" s="18">
        <v>0.7234572021955199</v>
      </c>
      <c r="I381" s="18">
        <v>-1.5298175344904297E-2</v>
      </c>
    </row>
    <row r="382" spans="1:9" x14ac:dyDescent="0.25">
      <c r="A382" s="2">
        <v>43172</v>
      </c>
      <c r="B382" s="4" t="s">
        <v>173</v>
      </c>
      <c r="C382" s="3">
        <v>567</v>
      </c>
      <c r="D382" s="26">
        <v>5.5087000000000002</v>
      </c>
      <c r="E382" s="26">
        <v>6.8582999999999998</v>
      </c>
      <c r="F382" s="18">
        <v>15.074999999999999</v>
      </c>
      <c r="G382" s="18">
        <v>0.634580431177446</v>
      </c>
      <c r="H382" s="18">
        <v>0.54505472636815921</v>
      </c>
      <c r="I382" s="18">
        <v>8.9525704809286788E-2</v>
      </c>
    </row>
    <row r="383" spans="1:9" x14ac:dyDescent="0.25">
      <c r="A383" s="2">
        <v>43172</v>
      </c>
      <c r="B383" s="4" t="s">
        <v>180</v>
      </c>
      <c r="C383" s="3">
        <v>1400</v>
      </c>
      <c r="D383" s="26">
        <v>0.81732499999999997</v>
      </c>
      <c r="E383" s="26">
        <v>0.9264</v>
      </c>
      <c r="F383" s="18">
        <v>2.496</v>
      </c>
      <c r="G383" s="18">
        <v>0.67254607371794872</v>
      </c>
      <c r="H383" s="18">
        <v>0.62884615384615383</v>
      </c>
      <c r="I383" s="18">
        <v>4.369991987179489E-2</v>
      </c>
    </row>
    <row r="384" spans="1:9" x14ac:dyDescent="0.25">
      <c r="A384" s="2">
        <v>43172</v>
      </c>
      <c r="B384" s="4" t="s">
        <v>198</v>
      </c>
      <c r="C384" s="3">
        <v>12432</v>
      </c>
      <c r="D384" s="26">
        <v>0.72091666666666676</v>
      </c>
      <c r="E384" s="26">
        <v>0.8296</v>
      </c>
      <c r="F384" s="18">
        <v>2.5129999999999999</v>
      </c>
      <c r="G384" s="18">
        <v>0.71312508290224164</v>
      </c>
      <c r="H384" s="18">
        <v>0.66987664146438519</v>
      </c>
      <c r="I384" s="18">
        <v>4.3248441437856451E-2</v>
      </c>
    </row>
    <row r="385" spans="1:9" x14ac:dyDescent="0.25">
      <c r="A385" s="2">
        <v>43172</v>
      </c>
      <c r="B385" s="4" t="s">
        <v>457</v>
      </c>
      <c r="C385" s="3">
        <v>1488</v>
      </c>
      <c r="D385" s="26">
        <v>3.1250666666666667</v>
      </c>
      <c r="E385" s="26">
        <v>3.4722166666666667</v>
      </c>
      <c r="F385" s="18">
        <v>9.49</v>
      </c>
      <c r="G385" s="18">
        <v>0.67069898138391282</v>
      </c>
      <c r="H385" s="18">
        <v>0.63411837021426065</v>
      </c>
      <c r="I385" s="18">
        <v>3.6580611169652166E-2</v>
      </c>
    </row>
    <row r="386" spans="1:9" x14ac:dyDescent="0.25">
      <c r="A386" s="2">
        <v>43172</v>
      </c>
      <c r="B386" s="4" t="s">
        <v>456</v>
      </c>
      <c r="C386" s="3">
        <v>96</v>
      </c>
      <c r="D386" s="26">
        <v>3.2147000000000001</v>
      </c>
      <c r="E386" s="26">
        <v>3.3669833333333332</v>
      </c>
      <c r="F386" s="18">
        <v>9.49</v>
      </c>
      <c r="G386" s="18">
        <v>0.6612539515279241</v>
      </c>
      <c r="H386" s="18">
        <v>0.6452072356866877</v>
      </c>
      <c r="I386" s="18">
        <v>1.6046715841236403E-2</v>
      </c>
    </row>
    <row r="387" spans="1:9" x14ac:dyDescent="0.25">
      <c r="A387" s="2">
        <v>43172</v>
      </c>
      <c r="B387" s="4" t="s">
        <v>462</v>
      </c>
      <c r="C387" s="3">
        <v>3264</v>
      </c>
      <c r="D387" s="26">
        <v>1.9313750000000001</v>
      </c>
      <c r="E387" s="26">
        <v>2.0075124999999998</v>
      </c>
      <c r="F387" s="18">
        <v>5.5</v>
      </c>
      <c r="G387" s="18">
        <v>0.64884090909090908</v>
      </c>
      <c r="H387" s="18">
        <v>0.6349977272727273</v>
      </c>
      <c r="I387" s="18">
        <v>1.3843181818181782E-2</v>
      </c>
    </row>
    <row r="388" spans="1:9" x14ac:dyDescent="0.25">
      <c r="A388" s="2">
        <v>43172</v>
      </c>
      <c r="B388" s="4" t="s">
        <v>464</v>
      </c>
      <c r="C388" s="3">
        <v>4656</v>
      </c>
      <c r="D388" s="26">
        <v>0.80368333333333331</v>
      </c>
      <c r="E388" s="26">
        <v>0.89091666666666669</v>
      </c>
      <c r="F388" s="18">
        <v>2.512</v>
      </c>
      <c r="G388" s="18">
        <v>0.68006236730360936</v>
      </c>
      <c r="H388" s="18">
        <v>0.64533572186836519</v>
      </c>
      <c r="I388" s="18">
        <v>3.4726645435244174E-2</v>
      </c>
    </row>
    <row r="389" spans="1:9" x14ac:dyDescent="0.25">
      <c r="A389" s="2">
        <v>43173</v>
      </c>
      <c r="B389" s="4" t="s">
        <v>177</v>
      </c>
      <c r="C389" s="3">
        <v>11250</v>
      </c>
      <c r="D389" s="26">
        <v>0.85948333333333349</v>
      </c>
      <c r="E389" s="26">
        <v>1.0268666666666666</v>
      </c>
      <c r="F389" s="18">
        <v>2.4900000000000002</v>
      </c>
      <c r="G389" s="18">
        <v>0.65482597054886216</v>
      </c>
      <c r="H389" s="18">
        <v>0.58760374832663997</v>
      </c>
      <c r="I389" s="18">
        <v>6.7222222222222183E-2</v>
      </c>
    </row>
    <row r="390" spans="1:9" x14ac:dyDescent="0.25">
      <c r="A390" s="2">
        <v>43173</v>
      </c>
      <c r="B390" s="4" t="s">
        <v>201</v>
      </c>
      <c r="C390" s="3">
        <v>9480</v>
      </c>
      <c r="D390" s="26">
        <v>2.3316000000000003</v>
      </c>
      <c r="E390" s="26">
        <v>2.3205</v>
      </c>
      <c r="F390" s="18">
        <v>6.39</v>
      </c>
      <c r="G390" s="18">
        <v>0.63511737089201858</v>
      </c>
      <c r="H390" s="18">
        <v>0.63685446009389668</v>
      </c>
      <c r="I390" s="18">
        <v>-1.7370892018780948E-3</v>
      </c>
    </row>
    <row r="391" spans="1:9" x14ac:dyDescent="0.25">
      <c r="A391" s="2">
        <v>43173</v>
      </c>
      <c r="B391" s="4" t="s">
        <v>207</v>
      </c>
      <c r="C391" s="3">
        <v>15368</v>
      </c>
      <c r="D391" s="26">
        <v>0.78490000000000004</v>
      </c>
      <c r="E391" s="26">
        <v>0.80333750000000004</v>
      </c>
      <c r="F391" s="18">
        <v>2.1</v>
      </c>
      <c r="G391" s="18">
        <v>0.62623809523809526</v>
      </c>
      <c r="H391" s="18">
        <v>0.61745833333333333</v>
      </c>
      <c r="I391" s="18">
        <v>8.7797619047619291E-3</v>
      </c>
    </row>
    <row r="392" spans="1:9" x14ac:dyDescent="0.25">
      <c r="A392" s="2">
        <v>43173</v>
      </c>
      <c r="B392" s="4" t="s">
        <v>430</v>
      </c>
      <c r="C392" s="3">
        <v>3588</v>
      </c>
      <c r="D392" s="26">
        <v>2.8742000000000001</v>
      </c>
      <c r="E392" s="26">
        <v>3.403116666666667</v>
      </c>
      <c r="F392" s="18">
        <v>7.4450000000000003</v>
      </c>
      <c r="G392" s="18">
        <v>0.61394224311618539</v>
      </c>
      <c r="H392" s="18">
        <v>0.54289903738526968</v>
      </c>
      <c r="I392" s="18">
        <v>7.1043205730915715E-2</v>
      </c>
    </row>
    <row r="393" spans="1:9" x14ac:dyDescent="0.25">
      <c r="A393" s="2">
        <v>43174</v>
      </c>
      <c r="B393" s="4" t="s">
        <v>13</v>
      </c>
      <c r="C393" s="3">
        <v>792</v>
      </c>
      <c r="D393" s="26">
        <v>2.6499000000000001</v>
      </c>
      <c r="E393" s="26">
        <v>3.7050000000000001</v>
      </c>
      <c r="F393" s="18">
        <v>9.5660000000000007</v>
      </c>
      <c r="G393" s="18">
        <v>0.72298766464561981</v>
      </c>
      <c r="H393" s="18">
        <v>0.61269077984528542</v>
      </c>
      <c r="I393" s="18">
        <v>0.11029688480033439</v>
      </c>
    </row>
    <row r="394" spans="1:9" x14ac:dyDescent="0.25">
      <c r="A394" s="2">
        <v>43174</v>
      </c>
      <c r="B394" s="4" t="s">
        <v>28</v>
      </c>
      <c r="C394" s="3">
        <v>984</v>
      </c>
      <c r="D394" s="26">
        <v>1.9490000000000001</v>
      </c>
      <c r="E394" s="26">
        <v>2.8994</v>
      </c>
      <c r="F394" s="18">
        <v>5.59</v>
      </c>
      <c r="G394" s="18">
        <v>0.65134168157423977</v>
      </c>
      <c r="H394" s="18">
        <v>0.48132379248658319</v>
      </c>
      <c r="I394" s="18">
        <v>0.17001788908765658</v>
      </c>
    </row>
    <row r="395" spans="1:9" x14ac:dyDescent="0.25">
      <c r="A395" s="2">
        <v>43174</v>
      </c>
      <c r="B395" s="4" t="s">
        <v>31</v>
      </c>
      <c r="C395" s="3">
        <v>416</v>
      </c>
      <c r="D395" s="26">
        <v>3.8188</v>
      </c>
      <c r="E395" s="26">
        <v>3.1469999999999998</v>
      </c>
      <c r="F395" s="18">
        <v>11.141</v>
      </c>
      <c r="G395" s="18">
        <v>0.65723005116237321</v>
      </c>
      <c r="H395" s="18">
        <v>0.71752984471770931</v>
      </c>
      <c r="I395" s="18">
        <v>-6.0299793555336101E-2</v>
      </c>
    </row>
    <row r="396" spans="1:9" x14ac:dyDescent="0.25">
      <c r="A396" s="2">
        <v>43174</v>
      </c>
      <c r="B396" s="4" t="s">
        <v>86</v>
      </c>
      <c r="C396" s="3">
        <v>1878</v>
      </c>
      <c r="D396" s="26">
        <v>3.1917999999999997</v>
      </c>
      <c r="E396" s="26">
        <v>3.1472000000000002</v>
      </c>
      <c r="F396" s="18">
        <v>8.3770000000000007</v>
      </c>
      <c r="G396" s="18">
        <v>0.61898054196012897</v>
      </c>
      <c r="H396" s="18">
        <v>0.62430464366718397</v>
      </c>
      <c r="I396" s="18">
        <v>-5.3241017070549948E-3</v>
      </c>
    </row>
    <row r="397" spans="1:9" x14ac:dyDescent="0.25">
      <c r="A397" s="2">
        <v>43174</v>
      </c>
      <c r="B397" s="4" t="s">
        <v>131</v>
      </c>
      <c r="C397" s="3">
        <v>779</v>
      </c>
      <c r="D397" s="26">
        <v>17.405899999999999</v>
      </c>
      <c r="E397" s="26">
        <v>16.801500000000001</v>
      </c>
      <c r="F397" s="18">
        <v>43.956000000000003</v>
      </c>
      <c r="G397" s="18">
        <v>0.60401537901537905</v>
      </c>
      <c r="H397" s="18">
        <v>0.61776549276549275</v>
      </c>
      <c r="I397" s="18">
        <v>-1.3750113750113702E-2</v>
      </c>
    </row>
    <row r="398" spans="1:9" x14ac:dyDescent="0.25">
      <c r="A398" s="2">
        <v>43174</v>
      </c>
      <c r="B398" s="4" t="s">
        <v>153</v>
      </c>
      <c r="C398" s="3">
        <v>5868</v>
      </c>
      <c r="D398" s="26">
        <v>0.48270000000000007</v>
      </c>
      <c r="E398" s="26">
        <v>0.53562500000000002</v>
      </c>
      <c r="F398" s="18">
        <v>1.621</v>
      </c>
      <c r="G398" s="18">
        <v>0.70222085132634171</v>
      </c>
      <c r="H398" s="18">
        <v>0.66957125231338677</v>
      </c>
      <c r="I398" s="18">
        <v>3.2649599012954944E-2</v>
      </c>
    </row>
    <row r="399" spans="1:9" x14ac:dyDescent="0.25">
      <c r="A399" s="2">
        <v>43174</v>
      </c>
      <c r="B399" s="4" t="s">
        <v>177</v>
      </c>
      <c r="C399" s="3">
        <v>3630</v>
      </c>
      <c r="D399" s="26">
        <v>0.85948333333333349</v>
      </c>
      <c r="E399" s="26">
        <v>0.97791666666666677</v>
      </c>
      <c r="F399" s="18">
        <v>2.4900000000000002</v>
      </c>
      <c r="G399" s="18">
        <v>0.65482597054886216</v>
      </c>
      <c r="H399" s="18">
        <v>0.6072623828647925</v>
      </c>
      <c r="I399" s="18">
        <v>4.7563587684069653E-2</v>
      </c>
    </row>
    <row r="400" spans="1:9" x14ac:dyDescent="0.25">
      <c r="A400" s="2">
        <v>43174</v>
      </c>
      <c r="B400" s="4" t="s">
        <v>202</v>
      </c>
      <c r="C400" s="3">
        <v>318</v>
      </c>
      <c r="D400" s="26">
        <v>17.367799999999999</v>
      </c>
      <c r="E400" s="26">
        <v>17.089600000000001</v>
      </c>
      <c r="F400" s="18">
        <v>49.17</v>
      </c>
      <c r="G400" s="18">
        <v>0.64678055725035599</v>
      </c>
      <c r="H400" s="18">
        <v>0.65243847874720351</v>
      </c>
      <c r="I400" s="18">
        <v>-5.6579214968475178E-3</v>
      </c>
    </row>
    <row r="401" spans="1:9" x14ac:dyDescent="0.25">
      <c r="A401" s="2">
        <v>43174</v>
      </c>
      <c r="B401" s="4" t="s">
        <v>203</v>
      </c>
      <c r="C401" s="3">
        <v>167</v>
      </c>
      <c r="D401" s="26">
        <v>17.367799999999999</v>
      </c>
      <c r="E401" s="26">
        <v>18.017600000000002</v>
      </c>
      <c r="F401" s="18">
        <v>49.433</v>
      </c>
      <c r="G401" s="18">
        <v>0.64865980215645425</v>
      </c>
      <c r="H401" s="18">
        <v>0.63551473711892859</v>
      </c>
      <c r="I401" s="18">
        <v>1.3145065037525661E-2</v>
      </c>
    </row>
    <row r="402" spans="1:9" x14ac:dyDescent="0.25">
      <c r="A402" s="2">
        <v>43174</v>
      </c>
      <c r="B402" s="4" t="s">
        <v>465</v>
      </c>
      <c r="C402" s="3">
        <v>1032</v>
      </c>
      <c r="D402" s="26">
        <v>2.2504</v>
      </c>
      <c r="E402" s="26">
        <v>2.3199000000000001</v>
      </c>
      <c r="F402" s="18">
        <v>6.65</v>
      </c>
      <c r="G402" s="18">
        <v>0.66159398496240607</v>
      </c>
      <c r="H402" s="18">
        <v>0.65114285714285713</v>
      </c>
      <c r="I402" s="18">
        <v>1.0451127819548931E-2</v>
      </c>
    </row>
    <row r="403" spans="1:9" x14ac:dyDescent="0.25">
      <c r="A403" s="2">
        <v>43174</v>
      </c>
      <c r="B403" s="4" t="s">
        <v>466</v>
      </c>
      <c r="C403" s="3">
        <v>978</v>
      </c>
      <c r="D403" s="26">
        <v>2.0291000000000001</v>
      </c>
      <c r="E403" s="26">
        <v>2.1038999999999999</v>
      </c>
      <c r="F403" s="18">
        <v>6</v>
      </c>
      <c r="G403" s="18">
        <v>0.66181666666666661</v>
      </c>
      <c r="H403" s="18">
        <v>0.64934999999999998</v>
      </c>
      <c r="I403" s="18">
        <v>1.2466666666666626E-2</v>
      </c>
    </row>
    <row r="404" spans="1:9" x14ac:dyDescent="0.25">
      <c r="A404" s="2">
        <v>43174</v>
      </c>
      <c r="B404" s="4" t="s">
        <v>467</v>
      </c>
      <c r="C404" s="3">
        <v>522</v>
      </c>
      <c r="D404" s="26">
        <v>2.0070000000000001</v>
      </c>
      <c r="E404" s="26">
        <v>2.2930000000000001</v>
      </c>
      <c r="F404" s="18">
        <v>6</v>
      </c>
      <c r="G404" s="18">
        <v>0.66549999999999998</v>
      </c>
      <c r="H404" s="18">
        <v>0.61783333333333335</v>
      </c>
      <c r="I404" s="18">
        <v>4.7666666666666635E-2</v>
      </c>
    </row>
    <row r="405" spans="1:9" x14ac:dyDescent="0.25">
      <c r="A405" s="2">
        <v>43174</v>
      </c>
      <c r="B405" s="4" t="s">
        <v>468</v>
      </c>
      <c r="C405" s="3">
        <v>750</v>
      </c>
      <c r="D405" s="26">
        <v>1.9870000000000001</v>
      </c>
      <c r="E405" s="26">
        <v>2.2890000000000001</v>
      </c>
      <c r="F405" s="18">
        <v>6</v>
      </c>
      <c r="G405" s="18">
        <v>0.66883333333333328</v>
      </c>
      <c r="H405" s="18">
        <v>0.61849999999999994</v>
      </c>
      <c r="I405" s="18">
        <v>5.0333333333333341E-2</v>
      </c>
    </row>
    <row r="406" spans="1:9" x14ac:dyDescent="0.25">
      <c r="A406" s="2">
        <v>43174</v>
      </c>
      <c r="B406" s="4" t="s">
        <v>469</v>
      </c>
      <c r="C406" s="3">
        <v>1026</v>
      </c>
      <c r="D406" s="26">
        <v>1.9912000000000001</v>
      </c>
      <c r="E406" s="26">
        <v>2.1692</v>
      </c>
      <c r="F406" s="18">
        <v>6</v>
      </c>
      <c r="G406" s="18">
        <v>0.66813333333333336</v>
      </c>
      <c r="H406" s="18">
        <v>0.63846666666666663</v>
      </c>
      <c r="I406" s="18">
        <v>2.966666666666673E-2</v>
      </c>
    </row>
    <row r="407" spans="1:9" x14ac:dyDescent="0.25">
      <c r="A407" s="2">
        <v>43175</v>
      </c>
      <c r="B407" s="4" t="s">
        <v>93</v>
      </c>
      <c r="C407" s="3">
        <v>895</v>
      </c>
      <c r="D407" s="26">
        <v>19.562900000000003</v>
      </c>
      <c r="E407" s="26">
        <v>18.0458</v>
      </c>
      <c r="F407" s="18">
        <v>54.418999999999997</v>
      </c>
      <c r="G407" s="18">
        <v>0.64051342362042674</v>
      </c>
      <c r="H407" s="18">
        <v>0.66839155442033116</v>
      </c>
      <c r="I407" s="18">
        <v>-2.7878130799904421E-2</v>
      </c>
    </row>
    <row r="408" spans="1:9" x14ac:dyDescent="0.25">
      <c r="A408" s="2">
        <v>43175</v>
      </c>
      <c r="B408" s="4" t="s">
        <v>102</v>
      </c>
      <c r="C408" s="3">
        <v>3972</v>
      </c>
      <c r="D408" s="26">
        <v>1.87</v>
      </c>
      <c r="E408" s="26">
        <v>2.0588000000000002</v>
      </c>
      <c r="F408" s="18">
        <v>5.9690000000000003</v>
      </c>
      <c r="G408" s="18">
        <v>0.6867146925783213</v>
      </c>
      <c r="H408" s="18">
        <v>0.65508460378622879</v>
      </c>
      <c r="I408" s="18">
        <v>3.1630088792092503E-2</v>
      </c>
    </row>
    <row r="409" spans="1:9" x14ac:dyDescent="0.25">
      <c r="A409" s="2">
        <v>43175</v>
      </c>
      <c r="B409" s="4" t="s">
        <v>114</v>
      </c>
      <c r="C409" s="3">
        <v>3888</v>
      </c>
      <c r="D409" s="26">
        <v>1.9074</v>
      </c>
      <c r="E409" s="26">
        <v>1.9349000000000001</v>
      </c>
      <c r="F409" s="18">
        <v>5.9749999999999996</v>
      </c>
      <c r="G409" s="18">
        <v>0.68076987447698745</v>
      </c>
      <c r="H409" s="18">
        <v>0.67616736401673638</v>
      </c>
      <c r="I409" s="18">
        <v>4.6025104602510636E-3</v>
      </c>
    </row>
    <row r="410" spans="1:9" x14ac:dyDescent="0.25">
      <c r="A410" s="2">
        <v>43175</v>
      </c>
      <c r="B410" s="4" t="s">
        <v>138</v>
      </c>
      <c r="C410" s="3">
        <v>16032</v>
      </c>
      <c r="D410" s="26">
        <v>0.94510000000000005</v>
      </c>
      <c r="E410" s="26">
        <v>0.90972500000000001</v>
      </c>
      <c r="F410" s="18">
        <v>2.3570000000000002</v>
      </c>
      <c r="G410" s="18">
        <v>0.59902418328383544</v>
      </c>
      <c r="H410" s="18">
        <v>0.61403266864658468</v>
      </c>
      <c r="I410" s="18">
        <v>-1.5008485362749235E-2</v>
      </c>
    </row>
    <row r="411" spans="1:9" x14ac:dyDescent="0.25">
      <c r="A411" s="2">
        <v>43175</v>
      </c>
      <c r="B411" s="4" t="s">
        <v>193</v>
      </c>
      <c r="C411" s="3">
        <v>115</v>
      </c>
      <c r="D411" s="26">
        <v>3.6758000000000002</v>
      </c>
      <c r="E411" s="26">
        <v>7.9657999999999998</v>
      </c>
      <c r="F411" s="18">
        <v>12.35</v>
      </c>
      <c r="G411" s="18">
        <v>0.70236437246963557</v>
      </c>
      <c r="H411" s="18">
        <v>0.35499595141700407</v>
      </c>
      <c r="I411" s="18">
        <v>0.34736842105263149</v>
      </c>
    </row>
    <row r="412" spans="1:9" x14ac:dyDescent="0.25">
      <c r="A412" s="2">
        <v>43175</v>
      </c>
      <c r="B412" s="4" t="s">
        <v>441</v>
      </c>
      <c r="C412" s="3">
        <v>8388</v>
      </c>
      <c r="D412" s="26">
        <v>0.51390000000000002</v>
      </c>
      <c r="E412" s="26">
        <v>0.51090000000000002</v>
      </c>
      <c r="F412" s="18">
        <v>1.349</v>
      </c>
      <c r="G412" s="18">
        <v>0.61905114899925873</v>
      </c>
      <c r="H412" s="18">
        <v>0.62127501853224609</v>
      </c>
      <c r="I412" s="18">
        <v>-2.2238695329873659E-3</v>
      </c>
    </row>
    <row r="413" spans="1:9" x14ac:dyDescent="0.25">
      <c r="A413" s="2">
        <v>43175</v>
      </c>
      <c r="B413" s="4" t="s">
        <v>430</v>
      </c>
      <c r="C413" s="3">
        <v>5520</v>
      </c>
      <c r="D413" s="26">
        <v>2.8742000000000001</v>
      </c>
      <c r="E413" s="26">
        <v>3.2684000000000002</v>
      </c>
      <c r="F413" s="18">
        <v>7.4450000000000003</v>
      </c>
      <c r="G413" s="18">
        <v>0.61394224311618539</v>
      </c>
      <c r="H413" s="18">
        <v>0.5609939556749497</v>
      </c>
      <c r="I413" s="18">
        <v>5.2948287441235697E-2</v>
      </c>
    </row>
    <row r="414" spans="1:9" x14ac:dyDescent="0.25">
      <c r="A414" s="2">
        <v>43175</v>
      </c>
      <c r="B414" s="4" t="s">
        <v>223</v>
      </c>
      <c r="C414" s="3">
        <v>714</v>
      </c>
      <c r="D414" s="26">
        <v>2.4102874999999999</v>
      </c>
      <c r="E414" s="26">
        <v>2.9581750000000002</v>
      </c>
      <c r="F414" s="18">
        <v>8.5079999999999991</v>
      </c>
      <c r="G414" s="18">
        <v>0.71670339680300887</v>
      </c>
      <c r="H414" s="18">
        <v>0.65230665256229414</v>
      </c>
      <c r="I414" s="18">
        <v>6.4396744240714732E-2</v>
      </c>
    </row>
    <row r="415" spans="1:9" x14ac:dyDescent="0.25">
      <c r="A415" s="2">
        <v>43176</v>
      </c>
      <c r="B415" s="4" t="s">
        <v>90</v>
      </c>
      <c r="C415" s="3">
        <v>6528</v>
      </c>
      <c r="D415" s="26">
        <v>0.69869999999999999</v>
      </c>
      <c r="E415" s="26">
        <v>0.43553333333333338</v>
      </c>
      <c r="F415" s="18">
        <v>1.68</v>
      </c>
      <c r="G415" s="18">
        <v>0.58410714285714282</v>
      </c>
      <c r="H415" s="18">
        <v>0.74075396825396811</v>
      </c>
      <c r="I415" s="18">
        <v>-0.1566468253968254</v>
      </c>
    </row>
    <row r="416" spans="1:9" x14ac:dyDescent="0.25">
      <c r="A416" s="2">
        <v>43176</v>
      </c>
      <c r="B416" s="4" t="s">
        <v>379</v>
      </c>
      <c r="C416" s="3">
        <v>1872</v>
      </c>
      <c r="D416" s="26">
        <v>1.6685333333333334</v>
      </c>
      <c r="E416" s="26">
        <v>1.8360000000000001</v>
      </c>
      <c r="F416" s="18">
        <v>5.3</v>
      </c>
      <c r="G416" s="18">
        <v>0.68518238993710689</v>
      </c>
      <c r="H416" s="18">
        <v>0.6535849056603773</v>
      </c>
      <c r="I416" s="18">
        <v>3.1597484276729593E-2</v>
      </c>
    </row>
    <row r="417" spans="1:9" x14ac:dyDescent="0.25">
      <c r="A417" s="2">
        <v>43176</v>
      </c>
      <c r="B417" s="4" t="s">
        <v>208</v>
      </c>
      <c r="C417" s="3">
        <v>1650</v>
      </c>
      <c r="D417" s="26">
        <v>1.5879000000000001</v>
      </c>
      <c r="E417" s="26">
        <v>1.6426000000000001</v>
      </c>
      <c r="F417" s="18">
        <v>5.6429999999999998</v>
      </c>
      <c r="G417" s="18">
        <v>0.71860712387028169</v>
      </c>
      <c r="H417" s="18">
        <v>0.70891369838738261</v>
      </c>
      <c r="I417" s="18">
        <v>9.6934254828990873E-3</v>
      </c>
    </row>
    <row r="418" spans="1:9" x14ac:dyDescent="0.25">
      <c r="A418" s="2">
        <v>43178</v>
      </c>
      <c r="B418" s="4" t="s">
        <v>45</v>
      </c>
      <c r="C418" s="3">
        <v>28</v>
      </c>
      <c r="D418" s="26">
        <v>10.477399999999999</v>
      </c>
      <c r="E418" s="26">
        <v>25.472300000000001</v>
      </c>
      <c r="F418" s="18">
        <v>32.927</v>
      </c>
      <c r="G418" s="18">
        <v>0.68179913141191117</v>
      </c>
      <c r="H418" s="18">
        <v>0.22640082606979073</v>
      </c>
      <c r="I418" s="18">
        <v>0.4553983053421205</v>
      </c>
    </row>
    <row r="419" spans="1:9" x14ac:dyDescent="0.25">
      <c r="A419" s="2">
        <v>43178</v>
      </c>
      <c r="B419" s="4" t="s">
        <v>93</v>
      </c>
      <c r="C419" s="3">
        <v>334</v>
      </c>
      <c r="D419" s="26">
        <v>19.562900000000003</v>
      </c>
      <c r="E419" s="26">
        <v>17.09</v>
      </c>
      <c r="F419" s="18">
        <v>54.418999999999997</v>
      </c>
      <c r="G419" s="18">
        <v>0.64051342362042674</v>
      </c>
      <c r="H419" s="18">
        <v>0.68595527297451253</v>
      </c>
      <c r="I419" s="18">
        <v>-4.5441849354085795E-2</v>
      </c>
    </row>
    <row r="420" spans="1:9" x14ac:dyDescent="0.25">
      <c r="A420" s="2">
        <v>43178</v>
      </c>
      <c r="B420" s="4" t="s">
        <v>105</v>
      </c>
      <c r="C420" s="3">
        <v>1819</v>
      </c>
      <c r="D420" s="26">
        <v>9.2725000000000009</v>
      </c>
      <c r="E420" s="26">
        <v>9.0579000000000001</v>
      </c>
      <c r="F420" s="18">
        <v>22.228999999999999</v>
      </c>
      <c r="G420" s="18">
        <v>0.58286472625849106</v>
      </c>
      <c r="H420" s="18">
        <v>0.5925187817715597</v>
      </c>
      <c r="I420" s="18">
        <v>-9.6540555130686379E-3</v>
      </c>
    </row>
    <row r="421" spans="1:9" x14ac:dyDescent="0.25">
      <c r="A421" s="2">
        <v>43178</v>
      </c>
      <c r="B421" s="4" t="s">
        <v>136</v>
      </c>
      <c r="C421" s="3">
        <v>978</v>
      </c>
      <c r="D421" s="26">
        <v>1.9318</v>
      </c>
      <c r="E421" s="26">
        <v>1.72725</v>
      </c>
      <c r="F421" s="18">
        <v>5.4889999999999999</v>
      </c>
      <c r="G421" s="18">
        <v>0.64805975587538711</v>
      </c>
      <c r="H421" s="18">
        <v>0.68532519584623797</v>
      </c>
      <c r="I421" s="18">
        <v>-3.7265439970850855E-2</v>
      </c>
    </row>
    <row r="422" spans="1:9" x14ac:dyDescent="0.25">
      <c r="A422" s="2">
        <v>43178</v>
      </c>
      <c r="B422" s="4" t="s">
        <v>137</v>
      </c>
      <c r="C422" s="3">
        <v>4530</v>
      </c>
      <c r="D422" s="26">
        <v>2.9051</v>
      </c>
      <c r="E422" s="26">
        <v>2.5585166666666668</v>
      </c>
      <c r="F422" s="18">
        <v>7.1619999999999999</v>
      </c>
      <c r="G422" s="18">
        <v>0.59437308014521084</v>
      </c>
      <c r="H422" s="18">
        <v>0.64276505631574044</v>
      </c>
      <c r="I422" s="18">
        <v>-4.8391976170529594E-2</v>
      </c>
    </row>
    <row r="423" spans="1:9" x14ac:dyDescent="0.25">
      <c r="A423" s="2">
        <v>43178</v>
      </c>
      <c r="B423" s="4" t="s">
        <v>150</v>
      </c>
      <c r="C423" s="3">
        <v>6834</v>
      </c>
      <c r="D423" s="26">
        <v>0.81464999999999999</v>
      </c>
      <c r="E423" s="26">
        <v>0.88349999999999995</v>
      </c>
      <c r="F423" s="18">
        <v>2.0350000000000001</v>
      </c>
      <c r="G423" s="18">
        <v>0.59968058968058979</v>
      </c>
      <c r="H423" s="18">
        <v>0.56584766584766588</v>
      </c>
      <c r="I423" s="18">
        <v>3.3832923832923911E-2</v>
      </c>
    </row>
    <row r="424" spans="1:9" x14ac:dyDescent="0.25">
      <c r="A424" s="2">
        <v>43178</v>
      </c>
      <c r="B424" s="4" t="s">
        <v>208</v>
      </c>
      <c r="C424" s="3">
        <v>306</v>
      </c>
      <c r="D424" s="26">
        <v>1.5879000000000001</v>
      </c>
      <c r="E424" s="26">
        <v>1.8089</v>
      </c>
      <c r="F424" s="18">
        <v>5.6429999999999998</v>
      </c>
      <c r="G424" s="18">
        <v>0.71860712387028169</v>
      </c>
      <c r="H424" s="18">
        <v>0.67944355839092685</v>
      </c>
      <c r="I424" s="18">
        <v>3.9163565479354845E-2</v>
      </c>
    </row>
    <row r="425" spans="1:9" x14ac:dyDescent="0.25">
      <c r="A425" s="2">
        <v>43178</v>
      </c>
      <c r="B425" s="4" t="s">
        <v>9</v>
      </c>
      <c r="C425" s="3">
        <v>6588</v>
      </c>
      <c r="D425" s="26">
        <v>2.7241333333333331</v>
      </c>
      <c r="E425" s="26">
        <v>2.6945000000000001</v>
      </c>
      <c r="F425" s="18">
        <v>7.47</v>
      </c>
      <c r="G425" s="18">
        <v>0.63532351628737171</v>
      </c>
      <c r="H425" s="18">
        <v>0.63929049531459159</v>
      </c>
      <c r="I425" s="18">
        <v>-3.9669790272198746E-3</v>
      </c>
    </row>
    <row r="426" spans="1:9" x14ac:dyDescent="0.25">
      <c r="A426" s="2">
        <v>43178</v>
      </c>
      <c r="B426" s="4" t="s">
        <v>440</v>
      </c>
      <c r="C426" s="3">
        <v>17530</v>
      </c>
      <c r="D426" s="26">
        <v>0.58772000000000002</v>
      </c>
      <c r="E426" s="26">
        <v>0.55189999999999995</v>
      </c>
      <c r="F426" s="18">
        <v>1.4850000000000001</v>
      </c>
      <c r="G426" s="18">
        <v>0.60422895622895623</v>
      </c>
      <c r="H426" s="18">
        <v>0.62835016835016844</v>
      </c>
      <c r="I426" s="18">
        <v>-2.412121212121221E-2</v>
      </c>
    </row>
    <row r="427" spans="1:9" x14ac:dyDescent="0.25">
      <c r="A427" s="2">
        <v>43179</v>
      </c>
      <c r="B427" s="4" t="s">
        <v>101</v>
      </c>
      <c r="C427" s="3">
        <v>39180</v>
      </c>
      <c r="D427" s="26">
        <v>0.74429999999999996</v>
      </c>
      <c r="E427" s="26">
        <v>0.72889999999999999</v>
      </c>
      <c r="F427" s="18">
        <v>1.821</v>
      </c>
      <c r="G427" s="18">
        <v>0.59126853377265232</v>
      </c>
      <c r="H427" s="18">
        <v>0.59972542559033493</v>
      </c>
      <c r="I427" s="18">
        <v>-8.4568918176826102E-3</v>
      </c>
    </row>
    <row r="428" spans="1:9" x14ac:dyDescent="0.25">
      <c r="A428" s="2">
        <v>43179</v>
      </c>
      <c r="B428" s="4" t="s">
        <v>180</v>
      </c>
      <c r="C428" s="3">
        <v>2048</v>
      </c>
      <c r="D428" s="26">
        <v>0.81732499999999997</v>
      </c>
      <c r="E428" s="26">
        <v>1.0789</v>
      </c>
      <c r="F428" s="18">
        <v>2.496</v>
      </c>
      <c r="G428" s="18">
        <v>0.67254607371794872</v>
      </c>
      <c r="H428" s="18">
        <v>0.56774839743589745</v>
      </c>
      <c r="I428" s="18">
        <v>0.10479767628205128</v>
      </c>
    </row>
    <row r="429" spans="1:9" x14ac:dyDescent="0.25">
      <c r="A429" s="2">
        <v>43179</v>
      </c>
      <c r="B429" s="4" t="s">
        <v>192</v>
      </c>
      <c r="C429" s="3">
        <v>4176</v>
      </c>
      <c r="D429" s="26">
        <v>0.75702499999999995</v>
      </c>
      <c r="E429" s="26">
        <v>0.91510000000000002</v>
      </c>
      <c r="F429" s="18">
        <v>2.5</v>
      </c>
      <c r="G429" s="18">
        <v>0.69718999999999998</v>
      </c>
      <c r="H429" s="18">
        <v>0.63395999999999997</v>
      </c>
      <c r="I429" s="18">
        <v>6.3230000000000008E-2</v>
      </c>
    </row>
    <row r="430" spans="1:9" x14ac:dyDescent="0.25">
      <c r="A430" s="2">
        <v>43179</v>
      </c>
      <c r="B430" s="4" t="s">
        <v>9</v>
      </c>
      <c r="C430" s="3">
        <v>8088</v>
      </c>
      <c r="D430" s="26">
        <v>2.7241333333333331</v>
      </c>
      <c r="E430" s="26">
        <v>2.9870999999999999</v>
      </c>
      <c r="F430" s="18">
        <v>7.47</v>
      </c>
      <c r="G430" s="18">
        <v>0.63532351628737171</v>
      </c>
      <c r="H430" s="18">
        <v>0.60012048192771084</v>
      </c>
      <c r="I430" s="18">
        <v>3.5203034359660879E-2</v>
      </c>
    </row>
    <row r="431" spans="1:9" x14ac:dyDescent="0.25">
      <c r="A431" s="2">
        <v>43179</v>
      </c>
      <c r="B431" s="4" t="s">
        <v>440</v>
      </c>
      <c r="C431" s="3">
        <v>14700</v>
      </c>
      <c r="D431" s="26">
        <v>0.58772000000000002</v>
      </c>
      <c r="E431" s="26">
        <v>0.58840000000000003</v>
      </c>
      <c r="F431" s="18">
        <v>1.4850000000000001</v>
      </c>
      <c r="G431" s="18">
        <v>0.60422895622895623</v>
      </c>
      <c r="H431" s="18">
        <v>0.60377104377104374</v>
      </c>
      <c r="I431" s="18">
        <v>4.5791245791249047E-4</v>
      </c>
    </row>
    <row r="432" spans="1:9" x14ac:dyDescent="0.25">
      <c r="A432" s="2">
        <v>43180</v>
      </c>
      <c r="B432" s="4" t="s">
        <v>27</v>
      </c>
      <c r="C432" s="3">
        <v>252</v>
      </c>
      <c r="D432" s="26">
        <v>2.0328999999999997</v>
      </c>
      <c r="E432" s="26">
        <v>1.9827999999999999</v>
      </c>
      <c r="F432" s="18">
        <v>6.4640000000000004</v>
      </c>
      <c r="G432" s="18">
        <v>0.68550433168316838</v>
      </c>
      <c r="H432" s="18">
        <v>0.69325495049504948</v>
      </c>
      <c r="I432" s="18">
        <v>-7.7506188118811039E-3</v>
      </c>
    </row>
    <row r="433" spans="1:9" x14ac:dyDescent="0.25">
      <c r="A433" s="2">
        <v>43180</v>
      </c>
      <c r="B433" s="4" t="s">
        <v>90</v>
      </c>
      <c r="C433" s="3">
        <v>3756</v>
      </c>
      <c r="D433" s="26">
        <v>0.69869999999999999</v>
      </c>
      <c r="E433" s="26">
        <v>0.52790000000000004</v>
      </c>
      <c r="F433" s="18">
        <v>1.68</v>
      </c>
      <c r="G433" s="18">
        <v>0.58410714285714282</v>
      </c>
      <c r="H433" s="18">
        <v>0.68577380952380951</v>
      </c>
      <c r="I433" s="18">
        <v>-0.10166666666666668</v>
      </c>
    </row>
    <row r="434" spans="1:9" x14ac:dyDescent="0.25">
      <c r="A434" s="2">
        <v>43180</v>
      </c>
      <c r="B434" s="4" t="s">
        <v>101</v>
      </c>
      <c r="C434" s="3">
        <v>40008</v>
      </c>
      <c r="D434" s="26">
        <v>0.74429999999999996</v>
      </c>
      <c r="E434" s="26">
        <v>0.63029999999999997</v>
      </c>
      <c r="F434" s="18">
        <v>1.821</v>
      </c>
      <c r="G434" s="18">
        <v>0.59126853377265232</v>
      </c>
      <c r="H434" s="18">
        <v>0.65387149917627685</v>
      </c>
      <c r="I434" s="18">
        <v>-6.2602965403624533E-2</v>
      </c>
    </row>
    <row r="435" spans="1:9" x14ac:dyDescent="0.25">
      <c r="A435" s="2">
        <v>43180</v>
      </c>
      <c r="B435" s="4" t="s">
        <v>123</v>
      </c>
      <c r="C435" s="3">
        <v>906</v>
      </c>
      <c r="D435" s="26">
        <v>4.4030000000000005</v>
      </c>
      <c r="E435" s="26">
        <v>7.3796999999999997</v>
      </c>
      <c r="F435" s="18">
        <v>9.8059999999999992</v>
      </c>
      <c r="G435" s="18">
        <v>0.55098919029165805</v>
      </c>
      <c r="H435" s="18">
        <v>0.2474301448093004</v>
      </c>
      <c r="I435" s="18">
        <v>0.30355904548235768</v>
      </c>
    </row>
    <row r="436" spans="1:9" x14ac:dyDescent="0.25">
      <c r="A436" s="2">
        <v>43180</v>
      </c>
      <c r="B436" s="4" t="s">
        <v>203</v>
      </c>
      <c r="C436" s="3">
        <v>26</v>
      </c>
      <c r="D436" s="26">
        <v>17.367799999999999</v>
      </c>
      <c r="E436" s="26">
        <v>16.7089</v>
      </c>
      <c r="F436" s="18">
        <v>49.433</v>
      </c>
      <c r="G436" s="18">
        <v>0.64865980215645425</v>
      </c>
      <c r="H436" s="18">
        <v>0.66198895474682906</v>
      </c>
      <c r="I436" s="18">
        <v>-1.3329152590374815E-2</v>
      </c>
    </row>
    <row r="437" spans="1:9" x14ac:dyDescent="0.25">
      <c r="A437" s="2">
        <v>43180</v>
      </c>
      <c r="B437" s="4" t="s">
        <v>214</v>
      </c>
      <c r="C437" s="3">
        <v>11364</v>
      </c>
      <c r="D437" s="26">
        <v>0.63339999999999996</v>
      </c>
      <c r="E437" s="26">
        <v>0.65884166666666666</v>
      </c>
      <c r="F437" s="18">
        <v>2.008</v>
      </c>
      <c r="G437" s="18">
        <v>0.68456175298804778</v>
      </c>
      <c r="H437" s="18">
        <v>0.67189160026560435</v>
      </c>
      <c r="I437" s="18">
        <v>1.2670152722443428E-2</v>
      </c>
    </row>
    <row r="438" spans="1:9" x14ac:dyDescent="0.25">
      <c r="A438" s="2">
        <v>43180</v>
      </c>
      <c r="B438" s="4" t="s">
        <v>9</v>
      </c>
      <c r="C438" s="3">
        <v>8664</v>
      </c>
      <c r="D438" s="26">
        <v>2.7241333333333331</v>
      </c>
      <c r="E438" s="26">
        <v>2.9645000000000001</v>
      </c>
      <c r="F438" s="18">
        <v>7.47</v>
      </c>
      <c r="G438" s="18">
        <v>0.63532351628737171</v>
      </c>
      <c r="H438" s="18">
        <v>0.60314591700133868</v>
      </c>
      <c r="I438" s="18">
        <v>3.2177599286033032E-2</v>
      </c>
    </row>
    <row r="439" spans="1:9" x14ac:dyDescent="0.25">
      <c r="A439" s="2">
        <v>43181</v>
      </c>
      <c r="B439" s="4" t="s">
        <v>98</v>
      </c>
      <c r="C439" s="3">
        <v>29376</v>
      </c>
      <c r="D439" s="26">
        <v>0.64739999999999998</v>
      </c>
      <c r="E439" s="26">
        <v>0.7026</v>
      </c>
      <c r="F439" s="18">
        <v>2.173</v>
      </c>
      <c r="G439" s="18">
        <v>0.70207086976530142</v>
      </c>
      <c r="H439" s="18">
        <v>0.67666820064427069</v>
      </c>
      <c r="I439" s="18">
        <v>2.540266912103073E-2</v>
      </c>
    </row>
    <row r="440" spans="1:9" x14ac:dyDescent="0.25">
      <c r="A440" s="2">
        <v>43181</v>
      </c>
      <c r="B440" s="4" t="s">
        <v>173</v>
      </c>
      <c r="C440" s="3">
        <v>86</v>
      </c>
      <c r="D440" s="26">
        <v>5.5087000000000002</v>
      </c>
      <c r="E440" s="26">
        <v>5.96</v>
      </c>
      <c r="F440" s="18">
        <v>15.074999999999999</v>
      </c>
      <c r="G440" s="18">
        <v>0.634580431177446</v>
      </c>
      <c r="H440" s="18">
        <v>0.60464344941956871</v>
      </c>
      <c r="I440" s="18">
        <v>2.993698175787729E-2</v>
      </c>
    </row>
    <row r="441" spans="1:9" x14ac:dyDescent="0.25">
      <c r="A441" s="2">
        <v>43181</v>
      </c>
      <c r="B441" s="4" t="s">
        <v>205</v>
      </c>
      <c r="C441" s="3">
        <v>16</v>
      </c>
      <c r="D441" s="26">
        <v>19.550500000000003</v>
      </c>
      <c r="E441" s="26">
        <v>17.051200000000001</v>
      </c>
      <c r="F441" s="18">
        <v>59.676000000000002</v>
      </c>
      <c r="G441" s="18">
        <v>0.67238923520343186</v>
      </c>
      <c r="H441" s="18">
        <v>0.71427039345800658</v>
      </c>
      <c r="I441" s="18">
        <v>-4.1881158254574717E-2</v>
      </c>
    </row>
    <row r="442" spans="1:9" x14ac:dyDescent="0.25">
      <c r="A442" s="2">
        <v>43181</v>
      </c>
      <c r="B442" s="4" t="s">
        <v>214</v>
      </c>
      <c r="C442" s="3">
        <v>9372</v>
      </c>
      <c r="D442" s="26">
        <v>0.63339999999999996</v>
      </c>
      <c r="E442" s="26">
        <v>0.7001666666666666</v>
      </c>
      <c r="F442" s="18">
        <v>2.008</v>
      </c>
      <c r="G442" s="18">
        <v>0.68456175298804778</v>
      </c>
      <c r="H442" s="18">
        <v>0.65131142098273576</v>
      </c>
      <c r="I442" s="18">
        <v>3.3250332005312022E-2</v>
      </c>
    </row>
    <row r="443" spans="1:9" x14ac:dyDescent="0.25">
      <c r="A443" s="2">
        <v>43181</v>
      </c>
      <c r="B443" s="4" t="s">
        <v>9</v>
      </c>
      <c r="C443" s="3">
        <v>8034</v>
      </c>
      <c r="D443" s="26">
        <v>2.7241333333333331</v>
      </c>
      <c r="E443" s="26">
        <v>2.7705000000000002</v>
      </c>
      <c r="F443" s="18">
        <v>7.47</v>
      </c>
      <c r="G443" s="18">
        <v>0.63532351628737171</v>
      </c>
      <c r="H443" s="18">
        <v>0.62911646586345382</v>
      </c>
      <c r="I443" s="18">
        <v>6.2070504239178925E-3</v>
      </c>
    </row>
    <row r="444" spans="1:9" x14ac:dyDescent="0.25">
      <c r="A444" s="2">
        <v>43181</v>
      </c>
      <c r="B444" s="4" t="s">
        <v>441</v>
      </c>
      <c r="C444" s="3">
        <v>10722</v>
      </c>
      <c r="D444" s="26">
        <v>0.51390000000000002</v>
      </c>
      <c r="E444" s="26">
        <v>0.48099999999999998</v>
      </c>
      <c r="F444" s="18">
        <v>1.349</v>
      </c>
      <c r="G444" s="18">
        <v>0.61905114899925873</v>
      </c>
      <c r="H444" s="18">
        <v>0.64343958487768715</v>
      </c>
      <c r="I444" s="18">
        <v>-2.4388435878428427E-2</v>
      </c>
    </row>
    <row r="445" spans="1:9" x14ac:dyDescent="0.25">
      <c r="A445" s="2">
        <v>43182</v>
      </c>
      <c r="B445" s="4" t="s">
        <v>98</v>
      </c>
      <c r="C445" s="3">
        <v>29832</v>
      </c>
      <c r="D445" s="26">
        <v>0.64739999999999998</v>
      </c>
      <c r="E445" s="26">
        <v>0.75190000000000001</v>
      </c>
      <c r="F445" s="18">
        <v>2.173</v>
      </c>
      <c r="G445" s="18">
        <v>0.70207086976530142</v>
      </c>
      <c r="H445" s="18">
        <v>0.65398067188219056</v>
      </c>
      <c r="I445" s="18">
        <v>4.8090197883110863E-2</v>
      </c>
    </row>
    <row r="446" spans="1:9" x14ac:dyDescent="0.25">
      <c r="A446" s="2">
        <v>43182</v>
      </c>
      <c r="B446" s="4" t="s">
        <v>190</v>
      </c>
      <c r="C446" s="3">
        <v>2736</v>
      </c>
      <c r="D446" s="26">
        <v>2.47485</v>
      </c>
      <c r="E446" s="26">
        <v>2.6078000000000001</v>
      </c>
      <c r="F446" s="18">
        <v>7.0010000000000003</v>
      </c>
      <c r="G446" s="18">
        <v>0.64650049992858161</v>
      </c>
      <c r="H446" s="18">
        <v>0.62751035566347668</v>
      </c>
      <c r="I446" s="18">
        <v>1.8990144265104925E-2</v>
      </c>
    </row>
    <row r="447" spans="1:9" x14ac:dyDescent="0.25">
      <c r="A447" s="2">
        <v>43182</v>
      </c>
      <c r="B447" s="4" t="s">
        <v>191</v>
      </c>
      <c r="C447" s="3">
        <v>2436</v>
      </c>
      <c r="D447" s="26">
        <v>2.5318499999999999</v>
      </c>
      <c r="E447" s="26">
        <v>2.5230000000000001</v>
      </c>
      <c r="F447" s="18">
        <v>7</v>
      </c>
      <c r="G447" s="18">
        <v>0.63830714285714285</v>
      </c>
      <c r="H447" s="18">
        <v>0.63957142857142857</v>
      </c>
      <c r="I447" s="18">
        <v>-1.2642857142857178E-3</v>
      </c>
    </row>
    <row r="448" spans="1:9" x14ac:dyDescent="0.25">
      <c r="A448" s="2">
        <v>43182</v>
      </c>
      <c r="B448" s="4" t="s">
        <v>214</v>
      </c>
      <c r="C448" s="3">
        <v>9168</v>
      </c>
      <c r="D448" s="26">
        <v>0.63339999999999996</v>
      </c>
      <c r="E448" s="26">
        <v>0.73419999999999996</v>
      </c>
      <c r="F448" s="18">
        <v>2.008</v>
      </c>
      <c r="G448" s="18">
        <v>0.68456175298804778</v>
      </c>
      <c r="H448" s="18">
        <v>0.63436254980079687</v>
      </c>
      <c r="I448" s="18">
        <v>5.0199203187250907E-2</v>
      </c>
    </row>
    <row r="449" spans="1:9" x14ac:dyDescent="0.25">
      <c r="A449" s="2">
        <v>43182</v>
      </c>
      <c r="B449" s="4" t="s">
        <v>430</v>
      </c>
      <c r="C449" s="3">
        <v>3936</v>
      </c>
      <c r="D449" s="26">
        <v>2.8742000000000001</v>
      </c>
      <c r="E449" s="26">
        <v>3.4453999999999998</v>
      </c>
      <c r="F449" s="18">
        <v>7.4450000000000003</v>
      </c>
      <c r="G449" s="18">
        <v>0.61394224311618539</v>
      </c>
      <c r="H449" s="18">
        <v>0.53721961047683009</v>
      </c>
      <c r="I449" s="18">
        <v>7.672263263935529E-2</v>
      </c>
    </row>
    <row r="450" spans="1:9" x14ac:dyDescent="0.25">
      <c r="A450" s="2">
        <v>43185</v>
      </c>
      <c r="B450" s="4" t="s">
        <v>99</v>
      </c>
      <c r="C450" s="3">
        <v>7596</v>
      </c>
      <c r="D450" s="26">
        <v>2.6633000000000004</v>
      </c>
      <c r="E450" s="26">
        <v>2.6642999999999999</v>
      </c>
      <c r="F450" s="18">
        <v>5.3490000000000002</v>
      </c>
      <c r="G450" s="18">
        <v>0.50209384931762935</v>
      </c>
      <c r="H450" s="18">
        <v>0.50190689848569825</v>
      </c>
      <c r="I450" s="18">
        <v>1.8695083193109863E-4</v>
      </c>
    </row>
    <row r="451" spans="1:9" x14ac:dyDescent="0.25">
      <c r="A451" s="2">
        <v>43185</v>
      </c>
      <c r="B451" s="4" t="s">
        <v>100</v>
      </c>
      <c r="C451" s="3">
        <v>6006</v>
      </c>
      <c r="D451" s="26">
        <v>3.3584000000000001</v>
      </c>
      <c r="E451" s="26">
        <v>3.2898000000000001</v>
      </c>
      <c r="F451" s="18">
        <v>7.6280000000000001</v>
      </c>
      <c r="G451" s="18">
        <v>0.55972732039853179</v>
      </c>
      <c r="H451" s="18">
        <v>0.56872050340849511</v>
      </c>
      <c r="I451" s="18">
        <v>-8.9931830099633236E-3</v>
      </c>
    </row>
    <row r="452" spans="1:9" x14ac:dyDescent="0.25">
      <c r="A452" s="2">
        <v>43185</v>
      </c>
      <c r="B452" s="4" t="s">
        <v>230</v>
      </c>
      <c r="C452" s="3">
        <v>18798</v>
      </c>
      <c r="D452" s="26">
        <v>0.49230000000000002</v>
      </c>
      <c r="E452" s="26">
        <v>0.53836666666666666</v>
      </c>
      <c r="F452" s="18">
        <v>1.57</v>
      </c>
      <c r="G452" s="18">
        <v>0.68643312101910836</v>
      </c>
      <c r="H452" s="18">
        <v>0.65709129511677289</v>
      </c>
      <c r="I452" s="18">
        <v>2.9341825902335472E-2</v>
      </c>
    </row>
    <row r="453" spans="1:9" x14ac:dyDescent="0.25">
      <c r="A453" s="2">
        <v>43185</v>
      </c>
      <c r="B453" s="4" t="s">
        <v>9</v>
      </c>
      <c r="C453" s="3">
        <v>7536</v>
      </c>
      <c r="D453" s="26">
        <v>2.7241333333333331</v>
      </c>
      <c r="E453" s="26">
        <v>2.8858333333333337</v>
      </c>
      <c r="F453" s="18">
        <v>7.47</v>
      </c>
      <c r="G453" s="18">
        <v>0.63532351628737171</v>
      </c>
      <c r="H453" s="18">
        <v>0.61367692994199019</v>
      </c>
      <c r="I453" s="18">
        <v>2.1646586345381524E-2</v>
      </c>
    </row>
    <row r="454" spans="1:9" x14ac:dyDescent="0.25">
      <c r="A454" s="2">
        <v>43186</v>
      </c>
      <c r="B454" s="4" t="s">
        <v>99</v>
      </c>
      <c r="C454" s="3">
        <v>12036</v>
      </c>
      <c r="D454" s="26">
        <v>2.6633000000000004</v>
      </c>
      <c r="E454" s="26">
        <v>2.7081</v>
      </c>
      <c r="F454" s="18">
        <v>5.3490000000000002</v>
      </c>
      <c r="G454" s="18">
        <v>0.50209384931762935</v>
      </c>
      <c r="H454" s="18">
        <v>0.49371845204711162</v>
      </c>
      <c r="I454" s="18">
        <v>8.375397270517726E-3</v>
      </c>
    </row>
    <row r="455" spans="1:9" x14ac:dyDescent="0.25">
      <c r="A455" s="2">
        <v>43186</v>
      </c>
      <c r="B455" s="4" t="s">
        <v>143</v>
      </c>
      <c r="C455" s="3">
        <v>2448</v>
      </c>
      <c r="D455" s="26">
        <v>2.1779999999999999</v>
      </c>
      <c r="E455" s="26">
        <v>2.0286</v>
      </c>
      <c r="F455" s="18">
        <v>5.2279999999999998</v>
      </c>
      <c r="G455" s="18">
        <v>0.58339709257842387</v>
      </c>
      <c r="H455" s="18">
        <v>0.61197398622800303</v>
      </c>
      <c r="I455" s="18">
        <v>-2.857689364957916E-2</v>
      </c>
    </row>
    <row r="456" spans="1:9" x14ac:dyDescent="0.25">
      <c r="A456" s="2">
        <v>43186</v>
      </c>
      <c r="B456" s="4" t="s">
        <v>183</v>
      </c>
      <c r="C456" s="3">
        <v>4092</v>
      </c>
      <c r="D456" s="26">
        <v>1.8607166666666668</v>
      </c>
      <c r="E456" s="26">
        <v>2.3532333333333333</v>
      </c>
      <c r="F456" s="18">
        <v>6.05</v>
      </c>
      <c r="G456" s="18">
        <v>0.69244352617079885</v>
      </c>
      <c r="H456" s="18">
        <v>0.61103581267217633</v>
      </c>
      <c r="I456" s="18">
        <v>8.1407713498622525E-2</v>
      </c>
    </row>
    <row r="457" spans="1:9" x14ac:dyDescent="0.25">
      <c r="A457" s="2">
        <v>43186</v>
      </c>
      <c r="B457" s="4" t="s">
        <v>230</v>
      </c>
      <c r="C457" s="3">
        <v>19722</v>
      </c>
      <c r="D457" s="26">
        <v>0.49230000000000002</v>
      </c>
      <c r="E457" s="26">
        <v>0.55548333333333333</v>
      </c>
      <c r="F457" s="18">
        <v>1.57</v>
      </c>
      <c r="G457" s="18">
        <v>0.68643312101910836</v>
      </c>
      <c r="H457" s="18">
        <v>0.64618895966029721</v>
      </c>
      <c r="I457" s="18">
        <v>4.0244161358811155E-2</v>
      </c>
    </row>
    <row r="458" spans="1:9" x14ac:dyDescent="0.25">
      <c r="A458" s="2">
        <v>43186</v>
      </c>
      <c r="B458" s="4" t="s">
        <v>457</v>
      </c>
      <c r="C458" s="3">
        <v>2964</v>
      </c>
      <c r="D458" s="26">
        <v>3.1250666666666667</v>
      </c>
      <c r="E458" s="26">
        <v>3.3565</v>
      </c>
      <c r="F458" s="18">
        <v>9.49</v>
      </c>
      <c r="G458" s="18">
        <v>0.67069898138391282</v>
      </c>
      <c r="H458" s="18">
        <v>0.64631190727081134</v>
      </c>
      <c r="I458" s="18">
        <v>2.4387074113101481E-2</v>
      </c>
    </row>
    <row r="459" spans="1:9" x14ac:dyDescent="0.25">
      <c r="A459" s="2">
        <v>43187</v>
      </c>
      <c r="B459" s="4" t="s">
        <v>24</v>
      </c>
      <c r="C459" s="3">
        <v>42</v>
      </c>
      <c r="D459" s="26">
        <v>8.1453000000000007</v>
      </c>
      <c r="E459" s="26">
        <v>9.1701999999999995</v>
      </c>
      <c r="F459" s="18">
        <v>26.763000000000002</v>
      </c>
      <c r="G459" s="18">
        <v>0.69565071180360938</v>
      </c>
      <c r="H459" s="18">
        <v>0.65735530396442865</v>
      </c>
      <c r="I459" s="18">
        <v>3.8295407839180728E-2</v>
      </c>
    </row>
    <row r="460" spans="1:9" x14ac:dyDescent="0.25">
      <c r="A460" s="2">
        <v>43187</v>
      </c>
      <c r="B460" s="4" t="s">
        <v>184</v>
      </c>
      <c r="C460" s="3">
        <v>7044</v>
      </c>
      <c r="D460" s="26">
        <v>1.7012833333333333</v>
      </c>
      <c r="E460" s="26">
        <v>1.9410666666666667</v>
      </c>
      <c r="F460" s="18">
        <v>6.05</v>
      </c>
      <c r="G460" s="18">
        <v>0.71879614325068864</v>
      </c>
      <c r="H460" s="18">
        <v>0.67916253443526164</v>
      </c>
      <c r="I460" s="18">
        <v>3.9633608815426991E-2</v>
      </c>
    </row>
    <row r="461" spans="1:9" x14ac:dyDescent="0.25">
      <c r="A461" s="2">
        <v>43187</v>
      </c>
      <c r="B461" s="4" t="s">
        <v>200</v>
      </c>
      <c r="C461" s="3">
        <v>9792</v>
      </c>
      <c r="D461" s="26">
        <v>2.1760999999999999</v>
      </c>
      <c r="E461" s="26">
        <v>2.5617000000000001</v>
      </c>
      <c r="F461" s="18">
        <v>5.83</v>
      </c>
      <c r="G461" s="18">
        <v>0.62674099485420243</v>
      </c>
      <c r="H461" s="18">
        <v>0.56060034305317319</v>
      </c>
      <c r="I461" s="18">
        <v>6.6140651801029238E-2</v>
      </c>
    </row>
    <row r="462" spans="1:9" x14ac:dyDescent="0.25">
      <c r="A462" s="2">
        <v>43187</v>
      </c>
      <c r="B462" s="4" t="s">
        <v>419</v>
      </c>
      <c r="C462" s="3">
        <v>1434</v>
      </c>
      <c r="D462" s="26">
        <v>2.0768499999999999</v>
      </c>
      <c r="E462" s="26">
        <v>1.4519166666666663</v>
      </c>
      <c r="F462" s="18">
        <v>5.96</v>
      </c>
      <c r="G462" s="18">
        <v>0.65153523489932885</v>
      </c>
      <c r="H462" s="18">
        <v>0.75638982102908292</v>
      </c>
      <c r="I462" s="18">
        <v>-0.10485458612975396</v>
      </c>
    </row>
    <row r="463" spans="1:9" x14ac:dyDescent="0.25">
      <c r="A463" s="2">
        <v>43187</v>
      </c>
      <c r="B463" s="4" t="s">
        <v>430</v>
      </c>
      <c r="C463" s="3">
        <v>3204</v>
      </c>
      <c r="D463" s="26">
        <v>2.8742000000000001</v>
      </c>
      <c r="E463" s="26">
        <v>3.2774833333333331</v>
      </c>
      <c r="F463" s="18">
        <v>7.4450000000000003</v>
      </c>
      <c r="G463" s="18">
        <v>0.61394224311618539</v>
      </c>
      <c r="H463" s="18">
        <v>0.55977389747033812</v>
      </c>
      <c r="I463" s="18">
        <v>5.4168345645847271E-2</v>
      </c>
    </row>
    <row r="464" spans="1:9" x14ac:dyDescent="0.25">
      <c r="A464" s="2">
        <v>43187</v>
      </c>
      <c r="B464" s="4" t="s">
        <v>465</v>
      </c>
      <c r="C464" s="3">
        <v>1176</v>
      </c>
      <c r="D464" s="26">
        <v>2.2504</v>
      </c>
      <c r="E464" s="26">
        <v>2.4001199999999998</v>
      </c>
      <c r="F464" s="18">
        <v>6.65</v>
      </c>
      <c r="G464" s="18">
        <v>0.66159398496240607</v>
      </c>
      <c r="H464" s="18">
        <v>0.63907969924812047</v>
      </c>
      <c r="I464" s="18">
        <v>2.2514285714285601E-2</v>
      </c>
    </row>
    <row r="465" spans="1:9" x14ac:dyDescent="0.25">
      <c r="A465" s="2">
        <v>43187</v>
      </c>
      <c r="B465" s="4" t="s">
        <v>466</v>
      </c>
      <c r="C465" s="3">
        <v>540</v>
      </c>
      <c r="D465" s="26">
        <v>2.0291000000000001</v>
      </c>
      <c r="E465" s="26">
        <v>2.4028</v>
      </c>
      <c r="F465" s="18">
        <v>6</v>
      </c>
      <c r="G465" s="18">
        <v>0.66181666666666661</v>
      </c>
      <c r="H465" s="18">
        <v>0.59953333333333336</v>
      </c>
      <c r="I465" s="18">
        <v>6.2283333333333246E-2</v>
      </c>
    </row>
    <row r="466" spans="1:9" x14ac:dyDescent="0.25">
      <c r="A466" s="2">
        <v>43187</v>
      </c>
      <c r="B466" s="4" t="s">
        <v>467</v>
      </c>
      <c r="C466" s="3">
        <v>1122</v>
      </c>
      <c r="D466" s="26">
        <v>2.0070000000000001</v>
      </c>
      <c r="E466" s="26">
        <v>2.2347000000000001</v>
      </c>
      <c r="F466" s="18">
        <v>6</v>
      </c>
      <c r="G466" s="18">
        <v>0.66549999999999998</v>
      </c>
      <c r="H466" s="18">
        <v>0.62754999999999994</v>
      </c>
      <c r="I466" s="18">
        <v>3.7950000000000039E-2</v>
      </c>
    </row>
    <row r="467" spans="1:9" x14ac:dyDescent="0.25">
      <c r="A467" s="2">
        <v>43188</v>
      </c>
      <c r="B467" s="4" t="s">
        <v>45</v>
      </c>
      <c r="C467" s="3">
        <v>53</v>
      </c>
      <c r="D467" s="26">
        <v>10.477399999999999</v>
      </c>
      <c r="E467" s="26">
        <v>17.017499999999998</v>
      </c>
      <c r="F467" s="18">
        <v>32.927</v>
      </c>
      <c r="G467" s="18">
        <v>0.68179913141191117</v>
      </c>
      <c r="H467" s="18">
        <v>0.48317490205606345</v>
      </c>
      <c r="I467" s="18">
        <v>0.19862422935584773</v>
      </c>
    </row>
    <row r="468" spans="1:9" x14ac:dyDescent="0.25">
      <c r="A468" s="2">
        <v>43188</v>
      </c>
      <c r="B468" s="4" t="s">
        <v>128</v>
      </c>
      <c r="C468" s="3">
        <v>37080</v>
      </c>
      <c r="D468" s="26">
        <v>0.224</v>
      </c>
      <c r="E468" s="26">
        <v>0.21692777777777775</v>
      </c>
      <c r="F468" s="18">
        <v>0.57199999999999995</v>
      </c>
      <c r="G468" s="18">
        <v>0.60839160839160844</v>
      </c>
      <c r="H468" s="18">
        <v>0.62075563325563321</v>
      </c>
      <c r="I468" s="18">
        <v>-1.236402486402477E-2</v>
      </c>
    </row>
    <row r="469" spans="1:9" x14ac:dyDescent="0.25">
      <c r="A469" s="2">
        <v>43188</v>
      </c>
      <c r="B469" s="4" t="s">
        <v>200</v>
      </c>
      <c r="C469" s="3">
        <v>9978</v>
      </c>
      <c r="D469" s="26">
        <v>2.1760999999999999</v>
      </c>
      <c r="E469" s="26">
        <v>2.2616999999999998</v>
      </c>
      <c r="F469" s="18">
        <v>5.83</v>
      </c>
      <c r="G469" s="18">
        <v>0.62674099485420243</v>
      </c>
      <c r="H469" s="18">
        <v>0.61205831903945118</v>
      </c>
      <c r="I469" s="18">
        <v>1.4682675814751245E-2</v>
      </c>
    </row>
    <row r="470" spans="1:9" x14ac:dyDescent="0.25">
      <c r="A470" s="2">
        <v>43188</v>
      </c>
      <c r="B470" s="4" t="s">
        <v>214</v>
      </c>
      <c r="C470" s="3">
        <v>11496</v>
      </c>
      <c r="D470" s="26">
        <v>0.63339999999999996</v>
      </c>
      <c r="E470" s="26">
        <v>0.73704999999999998</v>
      </c>
      <c r="F470" s="18">
        <v>2.008</v>
      </c>
      <c r="G470" s="18">
        <v>0.68456175298804778</v>
      </c>
      <c r="H470" s="18">
        <v>0.63294322709163353</v>
      </c>
      <c r="I470" s="18">
        <v>5.1618525896414247E-2</v>
      </c>
    </row>
    <row r="471" spans="1:9" x14ac:dyDescent="0.25">
      <c r="A471" s="2">
        <v>43188</v>
      </c>
      <c r="B471" s="4" t="s">
        <v>441</v>
      </c>
      <c r="C471" s="3">
        <v>1434</v>
      </c>
      <c r="D471" s="26">
        <v>0.51390000000000002</v>
      </c>
      <c r="E471" s="26">
        <v>0.5837</v>
      </c>
      <c r="F471" s="18">
        <v>1.349</v>
      </c>
      <c r="G471" s="18">
        <v>0.61905114899925873</v>
      </c>
      <c r="H471" s="18">
        <v>0.5673091178650852</v>
      </c>
      <c r="I471" s="18">
        <v>5.1742031134173527E-2</v>
      </c>
    </row>
    <row r="472" spans="1:9" x14ac:dyDescent="0.25">
      <c r="A472" s="2">
        <v>43188</v>
      </c>
      <c r="B472" s="4" t="s">
        <v>430</v>
      </c>
      <c r="C472" s="3">
        <v>3468</v>
      </c>
      <c r="D472" s="26">
        <v>2.8742000000000001</v>
      </c>
      <c r="E472" s="26">
        <v>3.1039999999999996</v>
      </c>
      <c r="F472" s="18">
        <v>7.4450000000000003</v>
      </c>
      <c r="G472" s="18">
        <v>0.61394224311618539</v>
      </c>
      <c r="H472" s="18">
        <v>0.58307588985896586</v>
      </c>
      <c r="I472" s="18">
        <v>3.0866353257219536E-2</v>
      </c>
    </row>
    <row r="473" spans="1:9" x14ac:dyDescent="0.25">
      <c r="A473" s="2">
        <v>43189</v>
      </c>
      <c r="B473" s="4" t="s">
        <v>88</v>
      </c>
      <c r="C473" s="3">
        <v>42</v>
      </c>
      <c r="D473" s="26">
        <v>4.0698999999999996</v>
      </c>
      <c r="E473" s="26">
        <v>3.5207999999999999</v>
      </c>
      <c r="F473" s="18">
        <v>7.7329999999999997</v>
      </c>
      <c r="G473" s="18">
        <v>0.47369714211819475</v>
      </c>
      <c r="H473" s="18">
        <v>0.54470451312556567</v>
      </c>
      <c r="I473" s="18">
        <v>-7.1007371007370923E-2</v>
      </c>
    </row>
    <row r="474" spans="1:9" x14ac:dyDescent="0.25">
      <c r="A474" s="2">
        <v>43189</v>
      </c>
      <c r="B474" s="4" t="s">
        <v>117</v>
      </c>
      <c r="C474" s="3">
        <v>1335</v>
      </c>
      <c r="D474" s="26">
        <v>3.2107000000000001</v>
      </c>
      <c r="E474" s="26">
        <v>3.4517000000000002</v>
      </c>
      <c r="F474" s="18">
        <v>7.44</v>
      </c>
      <c r="G474" s="18">
        <v>0.56845430107526884</v>
      </c>
      <c r="H474" s="18">
        <v>0.5360618279569892</v>
      </c>
      <c r="I474" s="18">
        <v>3.2392473118279641E-2</v>
      </c>
    </row>
    <row r="475" spans="1:9" x14ac:dyDescent="0.25">
      <c r="A475" s="2">
        <v>43189</v>
      </c>
      <c r="B475" s="4" t="s">
        <v>139</v>
      </c>
      <c r="C475" s="3">
        <v>1392</v>
      </c>
      <c r="D475" s="26">
        <v>4.509525</v>
      </c>
      <c r="E475" s="26">
        <v>4.1115000000000004</v>
      </c>
      <c r="F475" s="18">
        <v>8.2110000000000003</v>
      </c>
      <c r="G475" s="18">
        <v>0.45079466569236393</v>
      </c>
      <c r="H475" s="18">
        <v>0.49926927292656192</v>
      </c>
      <c r="I475" s="18">
        <v>-4.8474607234197997E-2</v>
      </c>
    </row>
    <row r="476" spans="1:9" x14ac:dyDescent="0.25">
      <c r="A476" s="2">
        <v>43189</v>
      </c>
      <c r="B476" s="4" t="s">
        <v>200</v>
      </c>
      <c r="C476" s="3">
        <v>558</v>
      </c>
      <c r="D476" s="26">
        <v>2.1760999999999999</v>
      </c>
      <c r="E476" s="26">
        <v>2.2452999999999999</v>
      </c>
      <c r="F476" s="18">
        <v>5.83</v>
      </c>
      <c r="G476" s="18">
        <v>0.62674099485420243</v>
      </c>
      <c r="H476" s="18">
        <v>0.61487135506003432</v>
      </c>
      <c r="I476" s="18">
        <v>1.1869639794168108E-2</v>
      </c>
    </row>
    <row r="477" spans="1:9" x14ac:dyDescent="0.25">
      <c r="A477" s="2">
        <v>43189</v>
      </c>
      <c r="B477" s="4" t="s">
        <v>214</v>
      </c>
      <c r="C477" s="3">
        <v>10140</v>
      </c>
      <c r="D477" s="26">
        <v>0.63339999999999996</v>
      </c>
      <c r="E477" s="26">
        <v>0.73063333333333347</v>
      </c>
      <c r="F477" s="18">
        <v>2.008</v>
      </c>
      <c r="G477" s="18">
        <v>0.68456175298804778</v>
      </c>
      <c r="H477" s="18">
        <v>0.63613877822045151</v>
      </c>
      <c r="I477" s="18">
        <v>4.8422974767596272E-2</v>
      </c>
    </row>
    <row r="478" spans="1:9" x14ac:dyDescent="0.25">
      <c r="A478" s="2">
        <v>43189</v>
      </c>
      <c r="B478" s="4" t="s">
        <v>441</v>
      </c>
      <c r="C478" s="3">
        <v>7086</v>
      </c>
      <c r="D478" s="26">
        <v>0.51390000000000002</v>
      </c>
      <c r="E478" s="26">
        <v>0.50639999999999996</v>
      </c>
      <c r="F478" s="18">
        <v>1.349</v>
      </c>
      <c r="G478" s="18">
        <v>0.61905114899925873</v>
      </c>
      <c r="H478" s="18">
        <v>0.6246108228317272</v>
      </c>
      <c r="I478" s="18">
        <v>-5.5596738324684702E-3</v>
      </c>
    </row>
    <row r="479" spans="1:9" x14ac:dyDescent="0.25">
      <c r="A479" s="2">
        <v>43189</v>
      </c>
      <c r="B479" s="4" t="s">
        <v>430</v>
      </c>
      <c r="C479" s="3">
        <v>4182</v>
      </c>
      <c r="D479" s="26">
        <v>2.8742000000000001</v>
      </c>
      <c r="E479" s="26">
        <v>3.0667666666666662</v>
      </c>
      <c r="F479" s="18">
        <v>7.4450000000000003</v>
      </c>
      <c r="G479" s="18">
        <v>0.61394224311618539</v>
      </c>
      <c r="H479" s="18">
        <v>0.58807700917841965</v>
      </c>
      <c r="I479" s="18">
        <v>2.5865233937765741E-2</v>
      </c>
    </row>
    <row r="480" spans="1:9" x14ac:dyDescent="0.25">
      <c r="A480" s="2">
        <v>43189</v>
      </c>
      <c r="B480" s="4" t="s">
        <v>463</v>
      </c>
      <c r="C480" s="3">
        <v>8616</v>
      </c>
      <c r="D480" s="26">
        <v>3.550383333333333</v>
      </c>
      <c r="E480" s="26">
        <v>3.6318000000000001</v>
      </c>
      <c r="F480" s="18">
        <v>9.5</v>
      </c>
      <c r="G480" s="18">
        <v>0.62627543859649126</v>
      </c>
      <c r="H480" s="18">
        <v>0.61770526315789476</v>
      </c>
      <c r="I480" s="18">
        <v>8.5701754385965057E-3</v>
      </c>
    </row>
    <row r="481" spans="1:9" x14ac:dyDescent="0.25">
      <c r="A481" s="2">
        <v>43193</v>
      </c>
      <c r="B481" s="4" t="s">
        <v>88</v>
      </c>
      <c r="C481" s="3">
        <v>143</v>
      </c>
      <c r="D481" s="26">
        <v>4.1670999999999996</v>
      </c>
      <c r="E481" s="26">
        <v>3.5177999999999998</v>
      </c>
      <c r="F481" s="18">
        <v>7.7329999999999997</v>
      </c>
      <c r="G481" s="18">
        <v>0.46112763481184538</v>
      </c>
      <c r="H481" s="18">
        <v>0.54509246088193453</v>
      </c>
      <c r="I481" s="18">
        <v>-8.3964826070089149E-2</v>
      </c>
    </row>
    <row r="482" spans="1:9" x14ac:dyDescent="0.25">
      <c r="A482" s="2">
        <v>43193</v>
      </c>
      <c r="B482" s="4" t="s">
        <v>117</v>
      </c>
      <c r="C482" s="3">
        <v>4848</v>
      </c>
      <c r="D482" s="26">
        <v>3.2890999999999999</v>
      </c>
      <c r="E482" s="26">
        <v>3.4512</v>
      </c>
      <c r="F482" s="18">
        <v>7.44</v>
      </c>
      <c r="G482" s="18">
        <v>0.55791666666666662</v>
      </c>
      <c r="H482" s="18">
        <v>0.53612903225806452</v>
      </c>
      <c r="I482" s="18">
        <v>2.1787634408602097E-2</v>
      </c>
    </row>
    <row r="483" spans="1:9" x14ac:dyDescent="0.25">
      <c r="A483" s="2">
        <v>43193</v>
      </c>
      <c r="B483" s="4" t="s">
        <v>166</v>
      </c>
      <c r="C483" s="3">
        <v>1801</v>
      </c>
      <c r="D483" s="26">
        <v>3.0083000000000002</v>
      </c>
      <c r="E483" s="26">
        <v>2.9771999999999998</v>
      </c>
      <c r="F483" s="18">
        <v>6.7880000000000003</v>
      </c>
      <c r="G483" s="18">
        <v>0.55682086034177958</v>
      </c>
      <c r="H483" s="18">
        <v>0.56140247495580442</v>
      </c>
      <c r="I483" s="18">
        <v>-4.5816146140248426E-3</v>
      </c>
    </row>
    <row r="484" spans="1:9" x14ac:dyDescent="0.25">
      <c r="A484" s="2">
        <v>43193</v>
      </c>
      <c r="B484" s="4" t="s">
        <v>189</v>
      </c>
      <c r="C484" s="3">
        <v>6912</v>
      </c>
      <c r="D484" s="26">
        <v>1.3354999999999999</v>
      </c>
      <c r="E484" s="26">
        <v>1.3509</v>
      </c>
      <c r="F484" s="18">
        <v>3.4129999999999998</v>
      </c>
      <c r="G484" s="18">
        <v>0.60870202168180476</v>
      </c>
      <c r="H484" s="18">
        <v>0.60418986229123939</v>
      </c>
      <c r="I484" s="18">
        <v>4.5121593905653734E-3</v>
      </c>
    </row>
    <row r="485" spans="1:9" x14ac:dyDescent="0.25">
      <c r="A485" s="2">
        <v>43193</v>
      </c>
      <c r="B485" s="4" t="s">
        <v>440</v>
      </c>
      <c r="C485" s="3">
        <v>9210</v>
      </c>
      <c r="D485" s="26">
        <v>0.60899999999999999</v>
      </c>
      <c r="E485" s="26">
        <v>0.69230000000000003</v>
      </c>
      <c r="F485" s="18">
        <v>1.4850000000000001</v>
      </c>
      <c r="G485" s="18">
        <v>0.58989898989898992</v>
      </c>
      <c r="H485" s="18">
        <v>0.53380471380471384</v>
      </c>
      <c r="I485" s="18">
        <v>5.6094276094276085E-2</v>
      </c>
    </row>
    <row r="486" spans="1:9" x14ac:dyDescent="0.25">
      <c r="A486" s="2">
        <v>43193</v>
      </c>
      <c r="B486" s="4" t="s">
        <v>442</v>
      </c>
      <c r="C486" s="3">
        <v>22500</v>
      </c>
      <c r="D486" s="26">
        <v>0.60658333333333336</v>
      </c>
      <c r="E486" s="26">
        <v>0.65449999999999997</v>
      </c>
      <c r="F486" s="18">
        <v>1.4750000000000001</v>
      </c>
      <c r="G486" s="18">
        <v>0.58875706214689261</v>
      </c>
      <c r="H486" s="18">
        <v>0.55627118644067797</v>
      </c>
      <c r="I486" s="18">
        <v>3.248587570621464E-2</v>
      </c>
    </row>
    <row r="487" spans="1:9" x14ac:dyDescent="0.25">
      <c r="A487" s="2">
        <v>43193</v>
      </c>
      <c r="B487" s="4" t="s">
        <v>456</v>
      </c>
      <c r="C487" s="3">
        <v>3396</v>
      </c>
      <c r="D487" s="26">
        <v>3.0803666666666665</v>
      </c>
      <c r="E487" s="26">
        <v>3.6916000000000002</v>
      </c>
      <c r="F487" s="18">
        <v>9.49</v>
      </c>
      <c r="G487" s="18">
        <v>0.67540920266947668</v>
      </c>
      <c r="H487" s="18">
        <v>0.61100105374077973</v>
      </c>
      <c r="I487" s="18">
        <v>6.4408148928696951E-2</v>
      </c>
    </row>
    <row r="488" spans="1:9" x14ac:dyDescent="0.25">
      <c r="A488" s="2">
        <v>43194</v>
      </c>
      <c r="B488" s="4" t="s">
        <v>88</v>
      </c>
      <c r="C488" s="3">
        <v>823</v>
      </c>
      <c r="D488" s="26">
        <v>4.1670999999999996</v>
      </c>
      <c r="E488" s="26">
        <v>3.6392000000000002</v>
      </c>
      <c r="F488" s="18">
        <v>7.7329999999999997</v>
      </c>
      <c r="G488" s="18">
        <v>0.46112763481184538</v>
      </c>
      <c r="H488" s="18">
        <v>0.52939350834087673</v>
      </c>
      <c r="I488" s="18">
        <v>-6.8265873529031351E-2</v>
      </c>
    </row>
    <row r="489" spans="1:9" x14ac:dyDescent="0.25">
      <c r="A489" s="2">
        <v>43194</v>
      </c>
      <c r="B489" s="4" t="s">
        <v>103</v>
      </c>
      <c r="C489" s="3">
        <v>6654</v>
      </c>
      <c r="D489" s="26">
        <v>1.6317166666666667</v>
      </c>
      <c r="E489" s="26">
        <v>1.7155</v>
      </c>
      <c r="F489" s="18">
        <v>4.8170000000000002</v>
      </c>
      <c r="G489" s="18">
        <v>0.66125873641962496</v>
      </c>
      <c r="H489" s="18">
        <v>0.64386547643761682</v>
      </c>
      <c r="I489" s="18">
        <v>1.7393259982008136E-2</v>
      </c>
    </row>
    <row r="490" spans="1:9" x14ac:dyDescent="0.25">
      <c r="A490" s="2">
        <v>43194</v>
      </c>
      <c r="B490" s="4" t="s">
        <v>209</v>
      </c>
      <c r="C490" s="3">
        <v>900</v>
      </c>
      <c r="D490" s="26">
        <v>1.3724166666666668</v>
      </c>
      <c r="E490" s="26">
        <v>1.2572000000000001</v>
      </c>
      <c r="F490" s="18">
        <v>5.1539999999999999</v>
      </c>
      <c r="G490" s="18">
        <v>0.73371814771698352</v>
      </c>
      <c r="H490" s="18">
        <v>0.75607295304617772</v>
      </c>
      <c r="I490" s="18">
        <v>-2.2354805329194205E-2</v>
      </c>
    </row>
    <row r="491" spans="1:9" x14ac:dyDescent="0.25">
      <c r="A491" s="2">
        <v>43194</v>
      </c>
      <c r="B491" s="4" t="s">
        <v>420</v>
      </c>
      <c r="C491" s="3">
        <v>2412</v>
      </c>
      <c r="D491" s="26">
        <v>1.1856833333333332</v>
      </c>
      <c r="E491" s="26">
        <v>1.2725</v>
      </c>
      <c r="F491" s="18">
        <v>4.25</v>
      </c>
      <c r="G491" s="18">
        <v>0.72101568627450974</v>
      </c>
      <c r="H491" s="18">
        <v>0.70058823529411762</v>
      </c>
      <c r="I491" s="18">
        <v>2.0427450980392111E-2</v>
      </c>
    </row>
    <row r="492" spans="1:9" x14ac:dyDescent="0.25">
      <c r="A492" s="2">
        <v>43194</v>
      </c>
      <c r="B492" s="4" t="s">
        <v>442</v>
      </c>
      <c r="C492" s="3">
        <v>25938</v>
      </c>
      <c r="D492" s="26">
        <v>0.60658333333333336</v>
      </c>
      <c r="E492" s="26">
        <v>0.6401</v>
      </c>
      <c r="F492" s="18">
        <v>1.4750000000000001</v>
      </c>
      <c r="G492" s="18">
        <v>0.58875706214689261</v>
      </c>
      <c r="H492" s="18">
        <v>0.56603389830508477</v>
      </c>
      <c r="I492" s="18">
        <v>2.2723163841807836E-2</v>
      </c>
    </row>
    <row r="493" spans="1:9" x14ac:dyDescent="0.25">
      <c r="A493" s="2">
        <v>43194</v>
      </c>
      <c r="B493" s="4" t="s">
        <v>430</v>
      </c>
      <c r="C493" s="3">
        <v>2052</v>
      </c>
      <c r="D493" s="26">
        <v>2.97845</v>
      </c>
      <c r="E493" s="26">
        <v>3.1440999999999999</v>
      </c>
      <c r="F493" s="18">
        <v>7.4450000000000003</v>
      </c>
      <c r="G493" s="18">
        <v>0.59993955674949628</v>
      </c>
      <c r="H493" s="18">
        <v>0.57768972464741442</v>
      </c>
      <c r="I493" s="18">
        <v>2.2249832102081868E-2</v>
      </c>
    </row>
    <row r="494" spans="1:9" x14ac:dyDescent="0.25">
      <c r="A494" s="2">
        <v>43194</v>
      </c>
      <c r="B494" s="4" t="s">
        <v>456</v>
      </c>
      <c r="C494" s="3">
        <v>732</v>
      </c>
      <c r="D494" s="26">
        <v>3.0803666666666665</v>
      </c>
      <c r="E494" s="26">
        <v>3.6623999999999999</v>
      </c>
      <c r="F494" s="18">
        <v>9.49</v>
      </c>
      <c r="G494" s="18">
        <v>0.67540920266947668</v>
      </c>
      <c r="H494" s="18">
        <v>0.61407797681770282</v>
      </c>
      <c r="I494" s="18">
        <v>6.1331225851773863E-2</v>
      </c>
    </row>
    <row r="495" spans="1:9" x14ac:dyDescent="0.25">
      <c r="A495" s="2">
        <v>43194</v>
      </c>
      <c r="B495" s="4" t="s">
        <v>465</v>
      </c>
      <c r="C495" s="3">
        <v>606</v>
      </c>
      <c r="D495" s="26">
        <v>2.3965000000000001</v>
      </c>
      <c r="E495" s="26">
        <v>2.0659000000000001</v>
      </c>
      <c r="F495" s="18">
        <v>6.65</v>
      </c>
      <c r="G495" s="18">
        <v>0.63962406015037598</v>
      </c>
      <c r="H495" s="18">
        <v>0.68933834586466169</v>
      </c>
      <c r="I495" s="18">
        <v>-4.9714285714285711E-2</v>
      </c>
    </row>
    <row r="496" spans="1:9" x14ac:dyDescent="0.25">
      <c r="A496" s="2">
        <v>43194</v>
      </c>
      <c r="B496" s="4" t="s">
        <v>466</v>
      </c>
      <c r="C496" s="3">
        <v>984</v>
      </c>
      <c r="D496" s="26">
        <v>2.1654</v>
      </c>
      <c r="E496" s="26">
        <v>2.0655000000000001</v>
      </c>
      <c r="F496" s="18">
        <v>6</v>
      </c>
      <c r="G496" s="18">
        <v>0.6391</v>
      </c>
      <c r="H496" s="18">
        <v>0.65574999999999994</v>
      </c>
      <c r="I496" s="18">
        <v>-1.6649999999999943E-2</v>
      </c>
    </row>
    <row r="497" spans="1:9" x14ac:dyDescent="0.25">
      <c r="A497" s="2">
        <v>43194</v>
      </c>
      <c r="B497" s="4" t="s">
        <v>468</v>
      </c>
      <c r="C497" s="3">
        <v>888</v>
      </c>
      <c r="D497" s="26">
        <v>2.1231</v>
      </c>
      <c r="E497" s="26">
        <v>2.2507000000000001</v>
      </c>
      <c r="F497" s="18">
        <v>6</v>
      </c>
      <c r="G497" s="18">
        <v>0.64615</v>
      </c>
      <c r="H497" s="18">
        <v>0.62488333333333335</v>
      </c>
      <c r="I497" s="18">
        <v>2.1266666666666656E-2</v>
      </c>
    </row>
    <row r="498" spans="1:9" x14ac:dyDescent="0.25">
      <c r="A498" s="2">
        <v>43194</v>
      </c>
      <c r="B498" s="4" t="s">
        <v>469</v>
      </c>
      <c r="C498" s="3">
        <v>918</v>
      </c>
      <c r="D498" s="26">
        <v>2.1320999999999999</v>
      </c>
      <c r="E498" s="26">
        <v>2.1753999999999998</v>
      </c>
      <c r="F498" s="18">
        <v>6</v>
      </c>
      <c r="G498" s="18">
        <v>0.64465000000000006</v>
      </c>
      <c r="H498" s="18">
        <v>0.63743333333333341</v>
      </c>
      <c r="I498" s="18">
        <v>7.216666666666649E-3</v>
      </c>
    </row>
    <row r="499" spans="1:9" x14ac:dyDescent="0.25">
      <c r="A499" s="2">
        <v>43195</v>
      </c>
      <c r="B499" s="4" t="s">
        <v>88</v>
      </c>
      <c r="C499" s="3">
        <v>143</v>
      </c>
      <c r="D499" s="26">
        <v>4.1670999999999996</v>
      </c>
      <c r="E499" s="26">
        <v>3.5283000000000002</v>
      </c>
      <c r="F499" s="18">
        <v>7.7329999999999997</v>
      </c>
      <c r="G499" s="18">
        <v>0.46112763481184538</v>
      </c>
      <c r="H499" s="18">
        <v>0.54373464373464364</v>
      </c>
      <c r="I499" s="18">
        <v>-8.2607008922798278E-2</v>
      </c>
    </row>
    <row r="500" spans="1:9" x14ac:dyDescent="0.25">
      <c r="A500" s="2">
        <v>43195</v>
      </c>
      <c r="B500" s="4" t="s">
        <v>93</v>
      </c>
      <c r="C500" s="3">
        <v>985</v>
      </c>
      <c r="D500" s="26">
        <v>18.026199999999999</v>
      </c>
      <c r="E500" s="26">
        <v>18.396599999999999</v>
      </c>
      <c r="F500" s="18">
        <v>54.418999999999997</v>
      </c>
      <c r="G500" s="18">
        <v>0.66875172274389449</v>
      </c>
      <c r="H500" s="18">
        <v>0.66194527646594015</v>
      </c>
      <c r="I500" s="18">
        <v>6.8064462779543478E-3</v>
      </c>
    </row>
    <row r="501" spans="1:9" x14ac:dyDescent="0.25">
      <c r="A501" s="2">
        <v>43195</v>
      </c>
      <c r="B501" s="4" t="s">
        <v>117</v>
      </c>
      <c r="C501" s="3">
        <v>4848</v>
      </c>
      <c r="D501" s="26">
        <v>3.2890999999999999</v>
      </c>
      <c r="E501" s="26" t="s">
        <v>11</v>
      </c>
      <c r="F501" s="18">
        <v>7.44</v>
      </c>
      <c r="G501" s="18">
        <v>0.55791666666666662</v>
      </c>
      <c r="H501" s="18" t="s">
        <v>524</v>
      </c>
      <c r="I501" s="18"/>
    </row>
    <row r="502" spans="1:9" x14ac:dyDescent="0.25">
      <c r="A502" s="2">
        <v>43195</v>
      </c>
      <c r="B502" s="4" t="s">
        <v>204</v>
      </c>
      <c r="C502" s="3">
        <v>843</v>
      </c>
      <c r="D502" s="26">
        <v>18.026199999999999</v>
      </c>
      <c r="E502" s="26">
        <v>19.212499999999999</v>
      </c>
      <c r="F502" s="18">
        <v>59.351999999999997</v>
      </c>
      <c r="G502" s="18">
        <v>0.69628319180482545</v>
      </c>
      <c r="H502" s="18">
        <v>0.6762956597924249</v>
      </c>
      <c r="I502" s="18">
        <v>1.9987532012400555E-2</v>
      </c>
    </row>
    <row r="503" spans="1:9" x14ac:dyDescent="0.25">
      <c r="A503" s="2">
        <v>43195</v>
      </c>
      <c r="B503" s="4" t="s">
        <v>419</v>
      </c>
      <c r="C503" s="3">
        <v>342</v>
      </c>
      <c r="D503" s="26">
        <v>1.9525999999999999</v>
      </c>
      <c r="E503" s="26">
        <v>1.5285</v>
      </c>
      <c r="F503" s="18">
        <v>5.96</v>
      </c>
      <c r="G503" s="18">
        <v>0.67238255033557037</v>
      </c>
      <c r="H503" s="18">
        <v>0.74354026845637589</v>
      </c>
      <c r="I503" s="18">
        <v>-7.1157718120805402E-2</v>
      </c>
    </row>
    <row r="504" spans="1:9" x14ac:dyDescent="0.25">
      <c r="A504" s="2">
        <v>43195</v>
      </c>
      <c r="B504" s="4" t="s">
        <v>10</v>
      </c>
      <c r="C504" s="3">
        <v>7002</v>
      </c>
      <c r="D504" s="26">
        <v>2.5947</v>
      </c>
      <c r="E504" s="26">
        <v>2.6968000000000001</v>
      </c>
      <c r="F504" s="18">
        <v>7.56</v>
      </c>
      <c r="G504" s="18">
        <v>0.65678571428571419</v>
      </c>
      <c r="H504" s="18">
        <v>0.64328042328042323</v>
      </c>
      <c r="I504" s="18">
        <v>1.3505291005290965E-2</v>
      </c>
    </row>
    <row r="505" spans="1:9" x14ac:dyDescent="0.25">
      <c r="A505" s="2">
        <v>43195</v>
      </c>
      <c r="B505" s="4" t="s">
        <v>440</v>
      </c>
      <c r="C505" s="3">
        <v>35320</v>
      </c>
      <c r="D505" s="26">
        <v>0.60899999999999999</v>
      </c>
      <c r="E505" s="26">
        <v>0.62949999999999995</v>
      </c>
      <c r="F505" s="18">
        <v>1.4850000000000001</v>
      </c>
      <c r="G505" s="18">
        <v>0.58989898989898992</v>
      </c>
      <c r="H505" s="18">
        <v>0.5760942760942761</v>
      </c>
      <c r="I505" s="18">
        <v>1.380471380471382E-2</v>
      </c>
    </row>
    <row r="506" spans="1:9" x14ac:dyDescent="0.25">
      <c r="A506" s="2">
        <v>43196</v>
      </c>
      <c r="B506" s="4" t="s">
        <v>44</v>
      </c>
      <c r="C506" s="3">
        <v>589</v>
      </c>
      <c r="D506" s="26">
        <v>11.1036</v>
      </c>
      <c r="E506" s="26">
        <v>11.7866</v>
      </c>
      <c r="F506" s="18">
        <v>31.696999999999999</v>
      </c>
      <c r="G506" s="18">
        <v>0.64969555478436447</v>
      </c>
      <c r="H506" s="18">
        <v>0.6281477742373095</v>
      </c>
      <c r="I506" s="18">
        <v>2.1547780547054973E-2</v>
      </c>
    </row>
    <row r="507" spans="1:9" x14ac:dyDescent="0.25">
      <c r="A507" s="2">
        <v>43196</v>
      </c>
      <c r="B507" s="4" t="s">
        <v>103</v>
      </c>
      <c r="C507" s="3">
        <v>4290</v>
      </c>
      <c r="D507" s="26">
        <v>1.6317166666666667</v>
      </c>
      <c r="E507" s="26">
        <v>1.8607</v>
      </c>
      <c r="F507" s="18">
        <v>4.8170000000000002</v>
      </c>
      <c r="G507" s="18">
        <v>0.66125873641962496</v>
      </c>
      <c r="H507" s="18">
        <v>0.61372223375544943</v>
      </c>
      <c r="I507" s="18">
        <v>4.7536502664175528E-2</v>
      </c>
    </row>
    <row r="508" spans="1:9" x14ac:dyDescent="0.25">
      <c r="A508" s="2">
        <v>43196</v>
      </c>
      <c r="B508" s="4" t="s">
        <v>114</v>
      </c>
      <c r="C508" s="3">
        <v>3066</v>
      </c>
      <c r="D508" s="26">
        <v>1.9188000000000001</v>
      </c>
      <c r="E508" s="26">
        <v>1.9699</v>
      </c>
      <c r="F508" s="18">
        <v>5.9749999999999996</v>
      </c>
      <c r="G508" s="18">
        <v>0.67886192468619244</v>
      </c>
      <c r="H508" s="18">
        <v>0.67030962343096234</v>
      </c>
      <c r="I508" s="18">
        <v>8.5523012552300992E-3</v>
      </c>
    </row>
    <row r="509" spans="1:9" x14ac:dyDescent="0.25">
      <c r="A509" s="2">
        <v>43196</v>
      </c>
      <c r="B509" s="4" t="s">
        <v>131</v>
      </c>
      <c r="C509" s="3">
        <v>1415</v>
      </c>
      <c r="D509" s="26">
        <v>16.845100000000002</v>
      </c>
      <c r="E509" s="26">
        <v>16.789400000000001</v>
      </c>
      <c r="F509" s="18">
        <v>43.956000000000003</v>
      </c>
      <c r="G509" s="18">
        <v>0.6167735917735917</v>
      </c>
      <c r="H509" s="18">
        <v>0.61804076804076802</v>
      </c>
      <c r="I509" s="18">
        <v>-1.2671762671763176E-3</v>
      </c>
    </row>
    <row r="510" spans="1:9" x14ac:dyDescent="0.25">
      <c r="A510" s="2">
        <v>43196</v>
      </c>
      <c r="B510" s="4" t="s">
        <v>137</v>
      </c>
      <c r="C510" s="3">
        <v>1008</v>
      </c>
      <c r="D510" s="26">
        <v>2.6741999999999999</v>
      </c>
      <c r="E510" s="26" t="s">
        <v>11</v>
      </c>
      <c r="F510" s="18">
        <v>7.1619999999999999</v>
      </c>
      <c r="G510" s="18">
        <v>0.62661267802289866</v>
      </c>
      <c r="H510" s="18" t="s">
        <v>524</v>
      </c>
      <c r="I510" s="18"/>
    </row>
    <row r="511" spans="1:9" x14ac:dyDescent="0.25">
      <c r="A511" s="2">
        <v>43196</v>
      </c>
      <c r="B511" s="4" t="s">
        <v>202</v>
      </c>
      <c r="C511" s="3">
        <v>384</v>
      </c>
      <c r="D511" s="26">
        <v>16.845099999999999</v>
      </c>
      <c r="E511" s="26">
        <v>17.4754</v>
      </c>
      <c r="F511" s="18">
        <v>49.17</v>
      </c>
      <c r="G511" s="18">
        <v>0.65741102298149279</v>
      </c>
      <c r="H511" s="18">
        <v>0.64459223103518404</v>
      </c>
      <c r="I511" s="18">
        <v>1.281879194630875E-2</v>
      </c>
    </row>
    <row r="512" spans="1:9" x14ac:dyDescent="0.25">
      <c r="A512" s="2">
        <v>43196</v>
      </c>
      <c r="B512" s="4" t="s">
        <v>430</v>
      </c>
      <c r="C512" s="3">
        <v>4944</v>
      </c>
      <c r="D512" s="26">
        <v>2.97845</v>
      </c>
      <c r="E512" s="26">
        <v>3.137</v>
      </c>
      <c r="F512" s="18">
        <v>7.4450000000000003</v>
      </c>
      <c r="G512" s="18">
        <v>0.59993955674949628</v>
      </c>
      <c r="H512" s="18">
        <v>0.57864338482202815</v>
      </c>
      <c r="I512" s="18">
        <v>2.1296171927468133E-2</v>
      </c>
    </row>
    <row r="513" spans="1:9" x14ac:dyDescent="0.25">
      <c r="A513" s="2">
        <v>43196</v>
      </c>
      <c r="B513" s="4" t="s">
        <v>447</v>
      </c>
      <c r="C513" s="3">
        <v>64</v>
      </c>
      <c r="D513" s="26">
        <v>0.91080000000000005</v>
      </c>
      <c r="E513" s="26">
        <v>0.93510000000000004</v>
      </c>
      <c r="F513" s="18">
        <v>1.57</v>
      </c>
      <c r="G513" s="18">
        <v>0.41987261146496818</v>
      </c>
      <c r="H513" s="18">
        <v>0.40439490445859871</v>
      </c>
      <c r="I513" s="18">
        <v>1.5477707006369412E-2</v>
      </c>
    </row>
    <row r="514" spans="1:9" x14ac:dyDescent="0.25">
      <c r="A514" s="2">
        <v>43199</v>
      </c>
      <c r="B514" s="4" t="s">
        <v>104</v>
      </c>
      <c r="C514" s="3">
        <v>2802</v>
      </c>
      <c r="D514" s="26">
        <v>7.2111999999999998</v>
      </c>
      <c r="E514" s="26">
        <v>7.1852</v>
      </c>
      <c r="F514" s="18">
        <v>21.289000000000001</v>
      </c>
      <c r="G514" s="18">
        <v>0.66127107896096582</v>
      </c>
      <c r="H514" s="18">
        <v>0.66249236695006808</v>
      </c>
      <c r="I514" s="18">
        <v>-1.2212879891022601E-3</v>
      </c>
    </row>
    <row r="515" spans="1:9" x14ac:dyDescent="0.25">
      <c r="A515" s="2">
        <v>43199</v>
      </c>
      <c r="B515" s="4" t="s">
        <v>111</v>
      </c>
      <c r="C515" s="3">
        <v>4210</v>
      </c>
      <c r="D515" s="26">
        <v>1.26413</v>
      </c>
      <c r="E515" s="26">
        <v>1.22</v>
      </c>
      <c r="F515" s="18">
        <v>2.8380000000000001</v>
      </c>
      <c r="G515" s="18">
        <v>0.55457011980267801</v>
      </c>
      <c r="H515" s="18">
        <v>0.57011980267794227</v>
      </c>
      <c r="I515" s="18">
        <v>-1.5549682875264261E-2</v>
      </c>
    </row>
    <row r="516" spans="1:9" x14ac:dyDescent="0.25">
      <c r="A516" s="2">
        <v>43199</v>
      </c>
      <c r="B516" s="4" t="s">
        <v>139</v>
      </c>
      <c r="C516" s="3">
        <v>3340</v>
      </c>
      <c r="D516" s="26">
        <v>3.876725</v>
      </c>
      <c r="E516" s="26">
        <v>3.8199000000000001</v>
      </c>
      <c r="F516" s="18">
        <v>8.2110000000000003</v>
      </c>
      <c r="G516" s="18">
        <v>0.52786201437096569</v>
      </c>
      <c r="H516" s="18">
        <v>0.53478260869565208</v>
      </c>
      <c r="I516" s="18">
        <v>-6.920594324686391E-3</v>
      </c>
    </row>
    <row r="517" spans="1:9" x14ac:dyDescent="0.25">
      <c r="A517" s="2">
        <v>43199</v>
      </c>
      <c r="B517" s="4" t="s">
        <v>150</v>
      </c>
      <c r="C517" s="3">
        <v>6528</v>
      </c>
      <c r="D517" s="26">
        <v>0.83291666666666653</v>
      </c>
      <c r="E517" s="26">
        <v>0.85819999999999996</v>
      </c>
      <c r="F517" s="18">
        <v>2.0350000000000001</v>
      </c>
      <c r="G517" s="18">
        <v>0.59070434070434075</v>
      </c>
      <c r="H517" s="18">
        <v>0.5782800982800983</v>
      </c>
      <c r="I517" s="18">
        <v>1.2424242424242449E-2</v>
      </c>
    </row>
    <row r="518" spans="1:9" x14ac:dyDescent="0.25">
      <c r="A518" s="2">
        <v>43199</v>
      </c>
      <c r="B518" s="4" t="s">
        <v>181</v>
      </c>
      <c r="C518" s="3">
        <v>3336</v>
      </c>
      <c r="D518" s="26">
        <v>2.3965749999999999</v>
      </c>
      <c r="E518" s="26">
        <v>2.7191999999999998</v>
      </c>
      <c r="F518" s="18">
        <v>7.3079999999999998</v>
      </c>
      <c r="G518" s="18">
        <v>0.67206143951833597</v>
      </c>
      <c r="H518" s="18">
        <v>0.62791461412151073</v>
      </c>
      <c r="I518" s="18">
        <v>4.414682539682524E-2</v>
      </c>
    </row>
    <row r="519" spans="1:9" x14ac:dyDescent="0.25">
      <c r="A519" s="2">
        <v>43199</v>
      </c>
      <c r="B519" s="4" t="s">
        <v>422</v>
      </c>
      <c r="C519" s="3">
        <v>3144</v>
      </c>
      <c r="D519" s="26">
        <v>2.3361166666666668</v>
      </c>
      <c r="E519" s="26">
        <v>2.5741999999999998</v>
      </c>
      <c r="F519" s="18">
        <v>7.44</v>
      </c>
      <c r="G519" s="18">
        <v>0.68600582437275992</v>
      </c>
      <c r="H519" s="18">
        <v>0.65400537634408595</v>
      </c>
      <c r="I519" s="18">
        <v>3.2000448028673967E-2</v>
      </c>
    </row>
    <row r="520" spans="1:9" x14ac:dyDescent="0.25">
      <c r="A520" s="2">
        <v>43200</v>
      </c>
      <c r="B520" s="4" t="s">
        <v>137</v>
      </c>
      <c r="C520" s="3">
        <v>1680</v>
      </c>
      <c r="D520" s="26">
        <v>2.6741999999999999</v>
      </c>
      <c r="E520" s="26" t="s">
        <v>11</v>
      </c>
      <c r="F520" s="18">
        <v>7.1619999999999999</v>
      </c>
      <c r="G520" s="18">
        <v>0.62661267802289866</v>
      </c>
      <c r="H520" s="18" t="s">
        <v>524</v>
      </c>
      <c r="I520" s="18"/>
    </row>
    <row r="521" spans="1:9" x14ac:dyDescent="0.25">
      <c r="A521" s="2">
        <v>43200</v>
      </c>
      <c r="B521" s="4" t="s">
        <v>180</v>
      </c>
      <c r="C521" s="3">
        <v>4800</v>
      </c>
      <c r="D521" s="26">
        <v>0.8145</v>
      </c>
      <c r="E521" s="26">
        <v>0.89810000000000001</v>
      </c>
      <c r="F521" s="18">
        <v>2.496</v>
      </c>
      <c r="G521" s="18">
        <v>0.67367788461538458</v>
      </c>
      <c r="H521" s="18">
        <v>0.64018429487179496</v>
      </c>
      <c r="I521" s="18">
        <v>3.3493589743589625E-2</v>
      </c>
    </row>
    <row r="522" spans="1:9" x14ac:dyDescent="0.25">
      <c r="A522" s="2">
        <v>43200</v>
      </c>
      <c r="B522" s="4" t="s">
        <v>208</v>
      </c>
      <c r="C522" s="3">
        <v>6528</v>
      </c>
      <c r="D522" s="26">
        <v>1.6374333333333333</v>
      </c>
      <c r="E522" s="26">
        <v>1.7301</v>
      </c>
      <c r="F522" s="18">
        <v>5.6429999999999998</v>
      </c>
      <c r="G522" s="18">
        <v>0.70982928702226955</v>
      </c>
      <c r="H522" s="18">
        <v>0.69340776182881436</v>
      </c>
      <c r="I522" s="18">
        <v>1.6421525193455189E-2</v>
      </c>
    </row>
    <row r="523" spans="1:9" x14ac:dyDescent="0.25">
      <c r="A523" s="2">
        <v>43200</v>
      </c>
      <c r="B523" s="4" t="s">
        <v>211</v>
      </c>
      <c r="C523" s="3">
        <v>14262</v>
      </c>
      <c r="D523" s="26">
        <v>1.4243333333333332</v>
      </c>
      <c r="E523" s="26">
        <v>1.5156000000000001</v>
      </c>
      <c r="F523" s="18">
        <v>3.2160000000000002</v>
      </c>
      <c r="G523" s="18">
        <v>0.55711028192371481</v>
      </c>
      <c r="H523" s="18">
        <v>0.52873134328358207</v>
      </c>
      <c r="I523" s="18">
        <v>2.8378938640132745E-2</v>
      </c>
    </row>
    <row r="524" spans="1:9" x14ac:dyDescent="0.25">
      <c r="A524" s="2">
        <v>43200</v>
      </c>
      <c r="B524" s="4" t="s">
        <v>422</v>
      </c>
      <c r="C524" s="3">
        <v>6492</v>
      </c>
      <c r="D524" s="26">
        <v>2.3361166666666668</v>
      </c>
      <c r="E524" s="26">
        <v>2.6057999999999999</v>
      </c>
      <c r="F524" s="18">
        <v>7.44</v>
      </c>
      <c r="G524" s="18">
        <v>0.68600582437275992</v>
      </c>
      <c r="H524" s="18">
        <v>0.64975806451612916</v>
      </c>
      <c r="I524" s="18">
        <v>3.6247759856630757E-2</v>
      </c>
    </row>
    <row r="525" spans="1:9" x14ac:dyDescent="0.25">
      <c r="A525" s="2">
        <v>43201</v>
      </c>
      <c r="B525" s="4" t="s">
        <v>111</v>
      </c>
      <c r="C525" s="3">
        <v>3720</v>
      </c>
      <c r="D525" s="26">
        <v>1.26413</v>
      </c>
      <c r="E525" s="26">
        <v>1.3365</v>
      </c>
      <c r="F525" s="18">
        <v>2.8380000000000001</v>
      </c>
      <c r="G525" s="18">
        <v>0.55457011980267801</v>
      </c>
      <c r="H525" s="18">
        <v>0.52906976744186052</v>
      </c>
      <c r="I525" s="18">
        <v>2.5500352360817491E-2</v>
      </c>
    </row>
    <row r="526" spans="1:9" x14ac:dyDescent="0.25">
      <c r="A526" s="2">
        <v>43201</v>
      </c>
      <c r="B526" s="4" t="s">
        <v>211</v>
      </c>
      <c r="C526" s="3">
        <v>15996</v>
      </c>
      <c r="D526" s="26">
        <v>1.4243333333333332</v>
      </c>
      <c r="E526" s="26">
        <v>1.4520999999999999</v>
      </c>
      <c r="F526" s="18">
        <v>3.2160000000000002</v>
      </c>
      <c r="G526" s="18">
        <v>0.55711028192371481</v>
      </c>
      <c r="H526" s="18">
        <v>0.54847636815920398</v>
      </c>
      <c r="I526" s="18">
        <v>8.6339137645108366E-3</v>
      </c>
    </row>
    <row r="527" spans="1:9" x14ac:dyDescent="0.25">
      <c r="A527" s="2">
        <v>43201</v>
      </c>
      <c r="B527" s="4" t="s">
        <v>422</v>
      </c>
      <c r="C527" s="3">
        <v>3510</v>
      </c>
      <c r="D527" s="26">
        <v>2.3361166666666668</v>
      </c>
      <c r="E527" s="26">
        <v>2.7107000000000001</v>
      </c>
      <c r="F527" s="18">
        <v>7.44</v>
      </c>
      <c r="G527" s="18">
        <v>0.68600582437275992</v>
      </c>
      <c r="H527" s="18">
        <v>0.6356586021505376</v>
      </c>
      <c r="I527" s="18">
        <v>5.0347222222222321E-2</v>
      </c>
    </row>
    <row r="528" spans="1:9" x14ac:dyDescent="0.25">
      <c r="A528" s="2">
        <v>43201</v>
      </c>
      <c r="B528" s="4" t="s">
        <v>423</v>
      </c>
      <c r="C528" s="3">
        <v>4140</v>
      </c>
      <c r="D528" s="26">
        <v>2.0091666666666668</v>
      </c>
      <c r="E528" s="26">
        <v>1.7815000000000001</v>
      </c>
      <c r="F528" s="18">
        <v>7.39</v>
      </c>
      <c r="G528" s="18">
        <v>0.72812359043752828</v>
      </c>
      <c r="H528" s="18">
        <v>0.75893098782138013</v>
      </c>
      <c r="I528" s="18">
        <v>-3.0807397383851964E-2</v>
      </c>
    </row>
    <row r="529" spans="1:9" x14ac:dyDescent="0.25">
      <c r="A529" s="2">
        <v>43201</v>
      </c>
      <c r="B529" s="4" t="s">
        <v>471</v>
      </c>
      <c r="C529" s="3">
        <v>4782</v>
      </c>
      <c r="D529" s="26">
        <v>1.6794</v>
      </c>
      <c r="E529" s="26">
        <v>1.9401999999999999</v>
      </c>
      <c r="F529" s="18">
        <v>5.05</v>
      </c>
      <c r="G529" s="18">
        <v>0.66744554455445537</v>
      </c>
      <c r="H529" s="18">
        <v>0.61580198019801979</v>
      </c>
      <c r="I529" s="18">
        <v>5.1643564356435578E-2</v>
      </c>
    </row>
    <row r="530" spans="1:9" x14ac:dyDescent="0.25">
      <c r="A530" s="2">
        <v>43202</v>
      </c>
      <c r="B530" s="4" t="s">
        <v>472</v>
      </c>
      <c r="C530" s="3">
        <v>882</v>
      </c>
      <c r="E530" s="26">
        <v>2.9533499999999999</v>
      </c>
      <c r="F530" s="18">
        <v>7.415</v>
      </c>
      <c r="G530" s="18" t="s">
        <v>524</v>
      </c>
      <c r="H530" s="18">
        <v>0.60170600134861774</v>
      </c>
      <c r="I530" s="18"/>
    </row>
    <row r="531" spans="1:9" x14ac:dyDescent="0.25">
      <c r="A531" s="2">
        <v>43202</v>
      </c>
      <c r="B531" s="4" t="s">
        <v>473</v>
      </c>
      <c r="C531" s="3">
        <v>1242</v>
      </c>
      <c r="E531" s="26">
        <v>2.5336333333333334</v>
      </c>
      <c r="F531" s="18">
        <v>7.4260000000000002</v>
      </c>
      <c r="G531" s="18" t="s">
        <v>524</v>
      </c>
      <c r="H531" s="18">
        <v>0.65881587216087623</v>
      </c>
      <c r="I531" s="18"/>
    </row>
    <row r="532" spans="1:9" x14ac:dyDescent="0.25">
      <c r="A532" s="2">
        <v>43202</v>
      </c>
      <c r="B532" s="4" t="s">
        <v>474</v>
      </c>
      <c r="C532" s="3">
        <v>600</v>
      </c>
      <c r="E532" s="26">
        <v>2.7529749999999997</v>
      </c>
      <c r="F532" s="18">
        <v>5.75</v>
      </c>
      <c r="G532" s="18" t="s">
        <v>524</v>
      </c>
      <c r="H532" s="18">
        <v>0.52122173913043479</v>
      </c>
      <c r="I532" s="18"/>
    </row>
    <row r="533" spans="1:9" x14ac:dyDescent="0.25">
      <c r="A533" s="2">
        <v>43202</v>
      </c>
      <c r="B533" s="4" t="s">
        <v>475</v>
      </c>
      <c r="C533" s="3">
        <v>996</v>
      </c>
      <c r="E533" s="26">
        <v>2.4156749999999998</v>
      </c>
      <c r="F533" s="18">
        <v>5.75</v>
      </c>
      <c r="G533" s="18" t="s">
        <v>524</v>
      </c>
      <c r="H533" s="18">
        <v>0.57988260869565222</v>
      </c>
      <c r="I533" s="18"/>
    </row>
    <row r="534" spans="1:9" x14ac:dyDescent="0.25">
      <c r="A534" s="2">
        <v>43202</v>
      </c>
      <c r="B534" s="4" t="s">
        <v>476</v>
      </c>
      <c r="C534" s="3">
        <v>492</v>
      </c>
      <c r="D534" s="26">
        <v>0.95689999999999997</v>
      </c>
      <c r="E534" s="26">
        <v>1.3123</v>
      </c>
      <c r="F534" s="18">
        <v>3.2</v>
      </c>
      <c r="G534" s="18">
        <v>0.70096875000000003</v>
      </c>
      <c r="H534" s="18">
        <v>0.58990624999999997</v>
      </c>
      <c r="I534" s="18">
        <v>0.11106250000000006</v>
      </c>
    </row>
    <row r="535" spans="1:9" x14ac:dyDescent="0.25">
      <c r="A535" s="2">
        <v>43202</v>
      </c>
      <c r="B535" s="4" t="s">
        <v>477</v>
      </c>
      <c r="C535" s="3">
        <v>534</v>
      </c>
      <c r="D535" s="26">
        <v>0.79669999999999996</v>
      </c>
      <c r="E535" s="26">
        <v>1.1942999999999999</v>
      </c>
      <c r="F535" s="18">
        <v>3.2</v>
      </c>
      <c r="G535" s="18">
        <v>0.75103125000000004</v>
      </c>
      <c r="H535" s="18">
        <v>0.62678124999999996</v>
      </c>
      <c r="I535" s="18">
        <v>0.12425000000000008</v>
      </c>
    </row>
    <row r="536" spans="1:9" x14ac:dyDescent="0.25">
      <c r="A536" s="2">
        <v>43202</v>
      </c>
      <c r="B536" s="4" t="s">
        <v>150</v>
      </c>
      <c r="C536" s="3">
        <v>6900</v>
      </c>
      <c r="D536" s="26">
        <v>0.83291666666666653</v>
      </c>
      <c r="E536" s="26">
        <v>0.87441666666666673</v>
      </c>
      <c r="F536" s="18">
        <v>2.0350000000000001</v>
      </c>
      <c r="G536" s="18">
        <v>0.59070434070434075</v>
      </c>
      <c r="H536" s="18">
        <v>0.57031122031122028</v>
      </c>
      <c r="I536" s="18">
        <v>2.0393120393120467E-2</v>
      </c>
    </row>
    <row r="537" spans="1:9" x14ac:dyDescent="0.25">
      <c r="A537" s="2">
        <v>43202</v>
      </c>
      <c r="B537" s="4" t="s">
        <v>423</v>
      </c>
      <c r="C537" s="3">
        <v>6792</v>
      </c>
      <c r="D537" s="26">
        <v>2.0091666666666668</v>
      </c>
      <c r="E537" s="26">
        <v>2.2439833333333334</v>
      </c>
      <c r="F537" s="18">
        <v>7.39</v>
      </c>
      <c r="G537" s="18">
        <v>0.72812359043752828</v>
      </c>
      <c r="H537" s="18">
        <v>0.69634866937302653</v>
      </c>
      <c r="I537" s="18">
        <v>3.1774921064501749E-2</v>
      </c>
    </row>
    <row r="538" spans="1:9" x14ac:dyDescent="0.25">
      <c r="A538" s="2">
        <v>43202</v>
      </c>
      <c r="B538" s="4" t="s">
        <v>471</v>
      </c>
      <c r="C538" s="3">
        <v>3870</v>
      </c>
      <c r="D538" s="26">
        <v>1.6794</v>
      </c>
      <c r="E538" s="26">
        <v>1.9202999999999999</v>
      </c>
      <c r="F538" s="18">
        <v>5.05</v>
      </c>
      <c r="G538" s="18">
        <v>0.66744554455445537</v>
      </c>
      <c r="H538" s="18">
        <v>0.61974257425742574</v>
      </c>
      <c r="I538" s="18">
        <v>4.7702970297029634E-2</v>
      </c>
    </row>
    <row r="539" spans="1:9" x14ac:dyDescent="0.25">
      <c r="A539" s="2">
        <v>43203</v>
      </c>
      <c r="B539" s="4" t="s">
        <v>139</v>
      </c>
      <c r="C539" s="3">
        <v>3840</v>
      </c>
      <c r="D539" s="26">
        <v>3.876725</v>
      </c>
      <c r="E539" s="26">
        <v>3.8341249999999998</v>
      </c>
      <c r="F539" s="18">
        <v>8.2110000000000003</v>
      </c>
      <c r="G539" s="18">
        <v>0.52786201437096569</v>
      </c>
      <c r="H539" s="18">
        <v>0.53305017659237608</v>
      </c>
      <c r="I539" s="18">
        <v>-5.1881622214103862E-3</v>
      </c>
    </row>
    <row r="540" spans="1:9" x14ac:dyDescent="0.25">
      <c r="A540" s="2">
        <v>43203</v>
      </c>
      <c r="B540" s="4" t="s">
        <v>446</v>
      </c>
      <c r="C540" s="3">
        <v>4160</v>
      </c>
      <c r="D540" s="26">
        <v>2.2050874999999999</v>
      </c>
      <c r="E540" s="26">
        <v>2.3334874999999999</v>
      </c>
      <c r="F540" s="18">
        <v>6.57</v>
      </c>
      <c r="G540" s="18">
        <v>0.66437024353120255</v>
      </c>
      <c r="H540" s="18">
        <v>0.64482686453576865</v>
      </c>
      <c r="I540" s="18">
        <v>1.9543378995433906E-2</v>
      </c>
    </row>
    <row r="541" spans="1:9" x14ac:dyDescent="0.25">
      <c r="A541" s="2">
        <v>43203</v>
      </c>
      <c r="B541" s="4" t="s">
        <v>462</v>
      </c>
      <c r="C541" s="3">
        <v>5872</v>
      </c>
      <c r="D541" s="26">
        <v>1.8838250000000001</v>
      </c>
      <c r="E541" s="26">
        <v>2.0925750000000001</v>
      </c>
      <c r="F541" s="18">
        <v>5.5</v>
      </c>
      <c r="G541" s="18">
        <v>0.6574863636363637</v>
      </c>
      <c r="H541" s="18">
        <v>0.61953181818181813</v>
      </c>
      <c r="I541" s="18">
        <v>3.7954545454545574E-2</v>
      </c>
    </row>
    <row r="542" spans="1:9" x14ac:dyDescent="0.25">
      <c r="A542" s="2">
        <v>43203</v>
      </c>
      <c r="B542" s="4" t="s">
        <v>464</v>
      </c>
      <c r="C542" s="3">
        <v>10104</v>
      </c>
      <c r="D542" s="26">
        <v>0.79105833333333342</v>
      </c>
      <c r="E542" s="26">
        <v>0.94154166666666672</v>
      </c>
      <c r="F542" s="18">
        <v>2.512</v>
      </c>
      <c r="G542" s="18">
        <v>0.68508824309978766</v>
      </c>
      <c r="H542" s="18">
        <v>0.62518245753715496</v>
      </c>
      <c r="I542" s="18">
        <v>5.9905785562632707E-2</v>
      </c>
    </row>
    <row r="543" spans="1:9" x14ac:dyDescent="0.25">
      <c r="A543" s="2">
        <v>43203</v>
      </c>
      <c r="B543" s="4" t="s">
        <v>471</v>
      </c>
      <c r="C543" s="3">
        <v>7458</v>
      </c>
      <c r="D543" s="26">
        <v>1.6794</v>
      </c>
      <c r="E543" s="26">
        <v>1.8779999999999999</v>
      </c>
      <c r="F543" s="18">
        <v>5.05</v>
      </c>
      <c r="G543" s="18">
        <v>0.66744554455445537</v>
      </c>
      <c r="H543" s="18">
        <v>0.62811881188118812</v>
      </c>
      <c r="I543" s="18">
        <v>3.9326732673267251E-2</v>
      </c>
    </row>
    <row r="544" spans="1:9" x14ac:dyDescent="0.25">
      <c r="A544" s="2">
        <v>43206</v>
      </c>
      <c r="B544" s="4" t="s">
        <v>139</v>
      </c>
      <c r="C544" s="3">
        <v>3144</v>
      </c>
      <c r="D544" s="26">
        <v>3.876725</v>
      </c>
      <c r="E544" s="26">
        <v>3.973525</v>
      </c>
      <c r="F544" s="18">
        <v>8.2110000000000003</v>
      </c>
      <c r="G544" s="18">
        <v>0.52786201437096569</v>
      </c>
      <c r="H544" s="18">
        <v>0.51607295091949823</v>
      </c>
      <c r="I544" s="18">
        <v>1.1789063451467465E-2</v>
      </c>
    </row>
    <row r="545" spans="1:9" x14ac:dyDescent="0.25">
      <c r="A545" s="2">
        <v>43206</v>
      </c>
      <c r="B545" s="4" t="s">
        <v>214</v>
      </c>
      <c r="C545" s="3">
        <v>8508</v>
      </c>
      <c r="D545" s="26">
        <v>0.72145833333333342</v>
      </c>
      <c r="E545" s="26">
        <v>0.79527499999999995</v>
      </c>
      <c r="F545" s="18">
        <v>2.008</v>
      </c>
      <c r="G545" s="18">
        <v>0.64070800132802119</v>
      </c>
      <c r="H545" s="18">
        <v>0.60394671314741022</v>
      </c>
      <c r="I545" s="18">
        <v>3.6761288180610974E-2</v>
      </c>
    </row>
    <row r="546" spans="1:9" x14ac:dyDescent="0.25">
      <c r="A546" s="2">
        <v>43206</v>
      </c>
      <c r="B546" s="4" t="s">
        <v>446</v>
      </c>
      <c r="C546" s="3">
        <v>1376</v>
      </c>
      <c r="D546" s="26">
        <v>2.2050874999999999</v>
      </c>
      <c r="E546" s="26">
        <v>2.3728125000000002</v>
      </c>
      <c r="F546" s="18">
        <v>6.57</v>
      </c>
      <c r="G546" s="18">
        <v>0.66437024353120255</v>
      </c>
      <c r="H546" s="18">
        <v>0.63884132420091322</v>
      </c>
      <c r="I546" s="18">
        <v>2.5528919330289335E-2</v>
      </c>
    </row>
    <row r="547" spans="1:9" x14ac:dyDescent="0.25">
      <c r="A547" s="2">
        <v>43206</v>
      </c>
      <c r="B547" s="4" t="s">
        <v>430</v>
      </c>
      <c r="C547" s="3">
        <v>3762</v>
      </c>
      <c r="D547" s="26">
        <v>2.97845</v>
      </c>
      <c r="E547" s="26">
        <v>3.0847333333333338</v>
      </c>
      <c r="F547" s="18">
        <v>7.4450000000000003</v>
      </c>
      <c r="G547" s="18">
        <v>0.59993955674949628</v>
      </c>
      <c r="H547" s="18">
        <v>0.5856637564360867</v>
      </c>
      <c r="I547" s="18">
        <v>1.4275800313409579E-2</v>
      </c>
    </row>
    <row r="548" spans="1:9" x14ac:dyDescent="0.25">
      <c r="A548" s="2">
        <v>43206</v>
      </c>
      <c r="B548" s="4" t="s">
        <v>471</v>
      </c>
      <c r="C548" s="3">
        <v>2310</v>
      </c>
      <c r="D548" s="26">
        <v>1.6794</v>
      </c>
      <c r="E548" s="26">
        <v>1.8592</v>
      </c>
      <c r="F548" s="18">
        <v>5.05</v>
      </c>
      <c r="G548" s="18">
        <v>0.66744554455445537</v>
      </c>
      <c r="H548" s="18">
        <v>0.63184158415841585</v>
      </c>
      <c r="I548" s="18">
        <v>3.5603960396039525E-2</v>
      </c>
    </row>
    <row r="549" spans="1:9" x14ac:dyDescent="0.25">
      <c r="A549" s="2">
        <v>43207</v>
      </c>
      <c r="B549" s="4" t="s">
        <v>101</v>
      </c>
      <c r="C549" s="3">
        <v>20640</v>
      </c>
      <c r="D549" s="26">
        <v>0.71699999999999997</v>
      </c>
      <c r="E549" s="26">
        <v>0.71220000000000006</v>
      </c>
      <c r="F549" s="18">
        <v>1.821</v>
      </c>
      <c r="G549" s="18">
        <v>0.60626029654036251</v>
      </c>
      <c r="H549" s="18">
        <v>0.6088962108731466</v>
      </c>
      <c r="I549" s="18">
        <v>-2.635914332784095E-3</v>
      </c>
    </row>
    <row r="550" spans="1:9" x14ac:dyDescent="0.25">
      <c r="A550" s="2">
        <v>43207</v>
      </c>
      <c r="B550" s="4" t="s">
        <v>105</v>
      </c>
      <c r="C550" s="3">
        <v>1976</v>
      </c>
      <c r="D550" s="26">
        <v>8.8350000000000009</v>
      </c>
      <c r="E550" s="26">
        <v>8.9487000000000005</v>
      </c>
      <c r="F550" s="18">
        <v>22.228999999999999</v>
      </c>
      <c r="G550" s="18">
        <v>0.60254622340186237</v>
      </c>
      <c r="H550" s="18">
        <v>0.59743128345854513</v>
      </c>
      <c r="I550" s="18">
        <v>5.1149399433172427E-3</v>
      </c>
    </row>
    <row r="551" spans="1:9" x14ac:dyDescent="0.25">
      <c r="A551" s="2">
        <v>43207</v>
      </c>
      <c r="B551" s="4" t="s">
        <v>214</v>
      </c>
      <c r="C551" s="3">
        <v>7224</v>
      </c>
      <c r="D551" s="26">
        <v>0.72145833333333342</v>
      </c>
      <c r="E551" s="26">
        <v>0.7954916666666666</v>
      </c>
      <c r="F551" s="18">
        <v>2.008</v>
      </c>
      <c r="G551" s="18">
        <v>0.64070800132802119</v>
      </c>
      <c r="H551" s="18">
        <v>0.60383881142098284</v>
      </c>
      <c r="I551" s="18">
        <v>3.6869189907038358E-2</v>
      </c>
    </row>
    <row r="552" spans="1:9" x14ac:dyDescent="0.25">
      <c r="A552" s="2">
        <v>43207</v>
      </c>
      <c r="B552" s="4" t="s">
        <v>441</v>
      </c>
      <c r="C552" s="3">
        <v>15804</v>
      </c>
      <c r="D552" s="26">
        <v>0.5252</v>
      </c>
      <c r="E552" s="26">
        <v>0.49990000000000001</v>
      </c>
      <c r="F552" s="18">
        <v>1.349</v>
      </c>
      <c r="G552" s="18">
        <v>0.61067457375833956</v>
      </c>
      <c r="H552" s="18">
        <v>0.62942920681986658</v>
      </c>
      <c r="I552" s="18">
        <v>-1.8754633061527023E-2</v>
      </c>
    </row>
    <row r="553" spans="1:9" x14ac:dyDescent="0.25">
      <c r="A553" s="2">
        <v>43207</v>
      </c>
      <c r="B553" s="4" t="s">
        <v>484</v>
      </c>
      <c r="C553" s="3">
        <v>2670</v>
      </c>
      <c r="D553" s="26">
        <v>2.5760000000000001</v>
      </c>
      <c r="E553" s="26">
        <v>3.0613999999999999</v>
      </c>
      <c r="F553" s="18">
        <v>7.42</v>
      </c>
      <c r="G553" s="18">
        <v>0.65283018867924525</v>
      </c>
      <c r="H553" s="18">
        <v>0.58741239892183295</v>
      </c>
      <c r="I553" s="18">
        <v>6.5417789757412304E-2</v>
      </c>
    </row>
    <row r="554" spans="1:9" x14ac:dyDescent="0.25">
      <c r="A554" s="2">
        <v>43208</v>
      </c>
      <c r="B554" s="4" t="s">
        <v>101</v>
      </c>
      <c r="C554" s="3">
        <v>41640</v>
      </c>
      <c r="D554" s="26">
        <v>0.71699999999999997</v>
      </c>
      <c r="E554" s="26">
        <v>0.74770000000000003</v>
      </c>
      <c r="F554" s="18">
        <v>1.821</v>
      </c>
      <c r="G554" s="18">
        <v>0.60626029654036251</v>
      </c>
      <c r="H554" s="18">
        <v>0.58940142778693028</v>
      </c>
      <c r="I554" s="18">
        <v>1.6858868753432232E-2</v>
      </c>
    </row>
    <row r="555" spans="1:9" x14ac:dyDescent="0.25">
      <c r="A555" s="2">
        <v>43208</v>
      </c>
      <c r="B555" s="4" t="s">
        <v>128</v>
      </c>
      <c r="C555" s="3">
        <v>51552</v>
      </c>
      <c r="D555" s="26">
        <v>0.22900000000000001</v>
      </c>
      <c r="E555" s="26">
        <v>0.23705833333333337</v>
      </c>
      <c r="F555" s="18">
        <v>0.57199999999999995</v>
      </c>
      <c r="G555" s="18">
        <v>0.59965034965034969</v>
      </c>
      <c r="H555" s="18">
        <v>0.58556235431235426</v>
      </c>
      <c r="I555" s="18">
        <v>1.4087995337995428E-2</v>
      </c>
    </row>
    <row r="556" spans="1:9" x14ac:dyDescent="0.25">
      <c r="A556" s="2">
        <v>43208</v>
      </c>
      <c r="B556" s="4" t="s">
        <v>190</v>
      </c>
      <c r="C556" s="3">
        <v>2700</v>
      </c>
      <c r="D556" s="26">
        <v>2.6075500000000003</v>
      </c>
      <c r="E556" s="26">
        <v>2.5025333333333335</v>
      </c>
      <c r="F556" s="18">
        <v>7.0010000000000003</v>
      </c>
      <c r="G556" s="18">
        <v>0.62754606484787878</v>
      </c>
      <c r="H556" s="18">
        <v>0.6425463029091083</v>
      </c>
      <c r="I556" s="18">
        <v>-1.5000238061229521E-2</v>
      </c>
    </row>
    <row r="557" spans="1:9" x14ac:dyDescent="0.25">
      <c r="A557" s="2">
        <v>43208</v>
      </c>
      <c r="B557" s="4" t="s">
        <v>422</v>
      </c>
      <c r="C557" s="3">
        <v>804</v>
      </c>
      <c r="D557" s="26">
        <v>2.3361166666666668</v>
      </c>
      <c r="E557" s="26">
        <v>2.6063000000000001</v>
      </c>
      <c r="F557" s="18">
        <v>7.44</v>
      </c>
      <c r="G557" s="18">
        <v>0.68600582437275992</v>
      </c>
      <c r="H557" s="18">
        <v>0.64969086021505373</v>
      </c>
      <c r="I557" s="18">
        <v>3.6314964157706187E-2</v>
      </c>
    </row>
    <row r="558" spans="1:9" x14ac:dyDescent="0.25">
      <c r="A558" s="2">
        <v>43208</v>
      </c>
      <c r="B558" s="4" t="s">
        <v>423</v>
      </c>
      <c r="C558" s="3">
        <v>2472</v>
      </c>
      <c r="D558" s="26">
        <v>2.0091666666666668</v>
      </c>
      <c r="E558" s="26">
        <v>2.13565</v>
      </c>
      <c r="F558" s="18">
        <v>7.39</v>
      </c>
      <c r="G558" s="18">
        <v>0.72812359043752828</v>
      </c>
      <c r="H558" s="18">
        <v>0.71100811907983763</v>
      </c>
      <c r="I558" s="18">
        <v>1.7115471357690648E-2</v>
      </c>
    </row>
    <row r="559" spans="1:9" x14ac:dyDescent="0.25">
      <c r="A559" s="2">
        <v>43208</v>
      </c>
      <c r="B559" s="4" t="s">
        <v>484</v>
      </c>
      <c r="C559" s="3">
        <v>7542</v>
      </c>
      <c r="D559" s="26">
        <v>2.5760000000000001</v>
      </c>
      <c r="E559" s="26">
        <v>2.8862000000000001</v>
      </c>
      <c r="F559" s="18">
        <v>7.42</v>
      </c>
      <c r="G559" s="18">
        <v>0.65283018867924525</v>
      </c>
      <c r="H559" s="18">
        <v>0.61102425876010769</v>
      </c>
      <c r="I559" s="18">
        <v>4.1805929919137563E-2</v>
      </c>
    </row>
    <row r="560" spans="1:9" x14ac:dyDescent="0.25">
      <c r="A560" s="2">
        <v>43209</v>
      </c>
      <c r="B560" s="4" t="s">
        <v>235</v>
      </c>
      <c r="C560" s="3">
        <v>234</v>
      </c>
      <c r="D560" s="26">
        <v>3.8828</v>
      </c>
      <c r="E560" s="26">
        <v>3.5432999999999999</v>
      </c>
      <c r="F560" s="18">
        <v>11.07</v>
      </c>
      <c r="G560" s="18">
        <v>0.64925022583559178</v>
      </c>
      <c r="H560" s="18">
        <v>0.67991869918699188</v>
      </c>
      <c r="I560" s="18">
        <v>-3.0668473351400105E-2</v>
      </c>
    </row>
    <row r="561" spans="1:9" x14ac:dyDescent="0.25">
      <c r="A561" s="2">
        <v>43209</v>
      </c>
      <c r="B561" s="4" t="s">
        <v>45</v>
      </c>
      <c r="C561" s="3">
        <v>452</v>
      </c>
      <c r="D561" s="26">
        <v>11.3513</v>
      </c>
      <c r="E561" s="26">
        <v>13.139099999999999</v>
      </c>
      <c r="F561" s="18">
        <v>32.927</v>
      </c>
      <c r="G561" s="18">
        <v>0.65525860236280253</v>
      </c>
      <c r="H561" s="18">
        <v>0.60096273574877757</v>
      </c>
      <c r="I561" s="18">
        <v>5.4295866614024968E-2</v>
      </c>
    </row>
    <row r="562" spans="1:9" x14ac:dyDescent="0.25">
      <c r="A562" s="2">
        <v>43209</v>
      </c>
      <c r="B562" s="4" t="s">
        <v>88</v>
      </c>
      <c r="C562" s="3">
        <v>1471</v>
      </c>
      <c r="D562" s="26">
        <v>4.1670999999999996</v>
      </c>
      <c r="E562" s="26">
        <v>4.0689000000000002</v>
      </c>
      <c r="F562" s="18">
        <v>7.7329999999999997</v>
      </c>
      <c r="G562" s="18">
        <v>0.46112763481184538</v>
      </c>
      <c r="H562" s="18">
        <v>0.47382645803698431</v>
      </c>
      <c r="I562" s="18">
        <v>-1.2698823225138932E-2</v>
      </c>
    </row>
    <row r="563" spans="1:9" x14ac:dyDescent="0.25">
      <c r="A563" s="2">
        <v>43209</v>
      </c>
      <c r="B563" s="4" t="s">
        <v>101</v>
      </c>
      <c r="C563" s="3">
        <v>40956</v>
      </c>
      <c r="D563" s="26">
        <v>0.71699999999999997</v>
      </c>
      <c r="E563" s="26">
        <v>0.74</v>
      </c>
      <c r="F563" s="18">
        <v>1.821</v>
      </c>
      <c r="G563" s="18">
        <v>0.60626029654036251</v>
      </c>
      <c r="H563" s="18">
        <v>0.59362987369577158</v>
      </c>
      <c r="I563" s="18">
        <v>1.2630422844590927E-2</v>
      </c>
    </row>
    <row r="564" spans="1:9" x14ac:dyDescent="0.25">
      <c r="A564" s="2">
        <v>43209</v>
      </c>
      <c r="B564" s="4" t="s">
        <v>480</v>
      </c>
      <c r="C564" s="3">
        <v>369</v>
      </c>
      <c r="D564" s="26">
        <v>4.9654999999999996</v>
      </c>
      <c r="E564" s="26">
        <v>6.4615999999999998</v>
      </c>
      <c r="F564" s="18">
        <v>17.920000000000002</v>
      </c>
      <c r="G564" s="18">
        <v>0.72290736607142869</v>
      </c>
      <c r="H564" s="18">
        <v>0.63941964285714281</v>
      </c>
      <c r="I564" s="18">
        <v>8.3487723214285894E-2</v>
      </c>
    </row>
    <row r="565" spans="1:9" x14ac:dyDescent="0.25">
      <c r="A565" s="2">
        <v>43209</v>
      </c>
      <c r="B565" s="4" t="s">
        <v>484</v>
      </c>
      <c r="C565" s="3">
        <v>7518</v>
      </c>
      <c r="D565" s="26">
        <v>2.5760000000000001</v>
      </c>
      <c r="E565" s="26">
        <v>2.8386999999999998</v>
      </c>
      <c r="F565" s="18">
        <v>7.42</v>
      </c>
      <c r="G565" s="18">
        <v>0.65283018867924525</v>
      </c>
      <c r="H565" s="18">
        <v>0.6174258760107818</v>
      </c>
      <c r="I565" s="18">
        <v>3.5404312668463445E-2</v>
      </c>
    </row>
    <row r="566" spans="1:9" x14ac:dyDescent="0.25">
      <c r="A566" s="2">
        <v>43210</v>
      </c>
      <c r="B566" s="4" t="s">
        <v>88</v>
      </c>
      <c r="C566" s="3">
        <v>1960</v>
      </c>
      <c r="D566" s="26">
        <v>4.1670999999999996</v>
      </c>
      <c r="E566" s="26">
        <v>3.972</v>
      </c>
      <c r="F566" s="18">
        <v>7.7329999999999997</v>
      </c>
      <c r="G566" s="18">
        <v>0.46112763481184538</v>
      </c>
      <c r="H566" s="18">
        <v>0.48635717056769678</v>
      </c>
      <c r="I566" s="18">
        <v>-2.5229535755851466E-2</v>
      </c>
    </row>
    <row r="567" spans="1:9" x14ac:dyDescent="0.25">
      <c r="A567" s="2">
        <v>43210</v>
      </c>
      <c r="B567" s="4" t="s">
        <v>99</v>
      </c>
      <c r="C567" s="3">
        <v>16014</v>
      </c>
      <c r="D567" s="26">
        <v>2.5642</v>
      </c>
      <c r="E567" s="26">
        <v>2.5937999999999999</v>
      </c>
      <c r="F567" s="18">
        <v>5.3490000000000002</v>
      </c>
      <c r="G567" s="18">
        <v>0.52062067676201162</v>
      </c>
      <c r="H567" s="18">
        <v>0.51508693213684809</v>
      </c>
      <c r="I567" s="18">
        <v>5.5337446251635392E-3</v>
      </c>
    </row>
    <row r="568" spans="1:9" x14ac:dyDescent="0.25">
      <c r="A568" s="2">
        <v>43210</v>
      </c>
      <c r="B568" s="4" t="s">
        <v>441</v>
      </c>
      <c r="C568" s="3">
        <v>6624</v>
      </c>
      <c r="D568" s="26">
        <v>0.5252</v>
      </c>
      <c r="E568" s="26">
        <v>0.54059999999999997</v>
      </c>
      <c r="F568" s="18">
        <v>1.349</v>
      </c>
      <c r="G568" s="18">
        <v>0.61067457375833956</v>
      </c>
      <c r="H568" s="18">
        <v>0.59925871015567089</v>
      </c>
      <c r="I568" s="18">
        <v>1.1415863602668663E-2</v>
      </c>
    </row>
    <row r="569" spans="1:9" x14ac:dyDescent="0.25">
      <c r="A569" s="2">
        <v>43210</v>
      </c>
      <c r="B569" s="4" t="s">
        <v>465</v>
      </c>
      <c r="C569" s="3">
        <v>2268</v>
      </c>
      <c r="D569" s="26">
        <v>2.3965000000000001</v>
      </c>
      <c r="E569" s="26">
        <v>2.4195000000000002</v>
      </c>
      <c r="F569" s="18">
        <v>6.65</v>
      </c>
      <c r="G569" s="18">
        <v>0.63962406015037598</v>
      </c>
      <c r="H569" s="18">
        <v>0.6361654135338346</v>
      </c>
      <c r="I569" s="18">
        <v>3.4586466165413832E-3</v>
      </c>
    </row>
    <row r="570" spans="1:9" x14ac:dyDescent="0.25">
      <c r="A570" s="2">
        <v>43210</v>
      </c>
      <c r="B570" s="4" t="s">
        <v>466</v>
      </c>
      <c r="C570" s="3">
        <v>2472</v>
      </c>
      <c r="D570" s="26">
        <v>2.1654</v>
      </c>
      <c r="E570" s="26">
        <v>2.1657000000000002</v>
      </c>
      <c r="F570" s="18">
        <v>6</v>
      </c>
      <c r="G570" s="18">
        <v>0.6391</v>
      </c>
      <c r="H570" s="18">
        <v>0.63905000000000001</v>
      </c>
      <c r="I570" s="18">
        <v>4.9999999999994493E-5</v>
      </c>
    </row>
    <row r="571" spans="1:9" x14ac:dyDescent="0.25">
      <c r="A571" s="2">
        <v>43213</v>
      </c>
      <c r="B571" s="4" t="s">
        <v>12</v>
      </c>
      <c r="C571" s="3">
        <v>480</v>
      </c>
      <c r="D571" s="26">
        <v>2.6099000000000001</v>
      </c>
      <c r="E571" s="26">
        <v>2.61</v>
      </c>
      <c r="F571" s="18">
        <v>9.7460000000000004</v>
      </c>
      <c r="G571" s="18">
        <v>0.73220808536835613</v>
      </c>
      <c r="H571" s="18">
        <v>0.73219782474861483</v>
      </c>
      <c r="I571" s="18">
        <v>1.0260619741409016E-5</v>
      </c>
    </row>
    <row r="572" spans="1:9" x14ac:dyDescent="0.25">
      <c r="A572" s="2">
        <v>43213</v>
      </c>
      <c r="B572" s="4" t="s">
        <v>481</v>
      </c>
      <c r="C572" s="3">
        <v>567</v>
      </c>
      <c r="D572" s="26">
        <v>1.5731999999999999</v>
      </c>
      <c r="E572" s="26">
        <v>1.8465</v>
      </c>
      <c r="F572" s="18">
        <v>5.95</v>
      </c>
      <c r="G572" s="18">
        <v>0.73559663865546221</v>
      </c>
      <c r="H572" s="18">
        <v>0.6896638655462185</v>
      </c>
      <c r="I572" s="18">
        <v>4.5932773109243701E-2</v>
      </c>
    </row>
    <row r="573" spans="1:9" x14ac:dyDescent="0.25">
      <c r="A573" s="2">
        <v>43213</v>
      </c>
      <c r="B573" s="4" t="s">
        <v>33</v>
      </c>
      <c r="C573" s="3">
        <v>500</v>
      </c>
      <c r="D573" s="26">
        <v>4.4462000000000002</v>
      </c>
      <c r="E573" s="26">
        <v>4.3529999999999998</v>
      </c>
      <c r="F573" s="18">
        <v>10.603</v>
      </c>
      <c r="G573" s="18">
        <v>0.5806658492879373</v>
      </c>
      <c r="H573" s="18">
        <v>0.58945581439215322</v>
      </c>
      <c r="I573" s="18">
        <v>-8.7899651042159244E-3</v>
      </c>
    </row>
    <row r="574" spans="1:9" x14ac:dyDescent="0.25">
      <c r="A574" s="2">
        <v>43213</v>
      </c>
      <c r="B574" s="4" t="s">
        <v>90</v>
      </c>
      <c r="C574" s="3">
        <v>8040</v>
      </c>
      <c r="D574" s="26">
        <v>0.72709999999999997</v>
      </c>
      <c r="E574" s="26">
        <v>0.81318999999999997</v>
      </c>
      <c r="F574" s="18">
        <v>1.68</v>
      </c>
      <c r="G574" s="18">
        <v>0.56720238095238096</v>
      </c>
      <c r="H574" s="18">
        <v>0.5159583333333333</v>
      </c>
      <c r="I574" s="18">
        <v>5.1244047619047661E-2</v>
      </c>
    </row>
    <row r="575" spans="1:9" x14ac:dyDescent="0.25">
      <c r="A575" s="2">
        <v>43213</v>
      </c>
      <c r="B575" s="4" t="s">
        <v>93</v>
      </c>
      <c r="C575" s="3">
        <v>445</v>
      </c>
      <c r="D575" s="26">
        <v>18.026199999999999</v>
      </c>
      <c r="E575" s="26">
        <v>18.1343</v>
      </c>
      <c r="F575" s="18">
        <v>54.418999999999997</v>
      </c>
      <c r="G575" s="18">
        <v>0.66875172274389449</v>
      </c>
      <c r="H575" s="18">
        <v>0.66676528418383285</v>
      </c>
      <c r="I575" s="18">
        <v>1.986438560061643E-3</v>
      </c>
    </row>
    <row r="576" spans="1:9" x14ac:dyDescent="0.25">
      <c r="A576" s="2">
        <v>43213</v>
      </c>
      <c r="B576" s="4" t="s">
        <v>103</v>
      </c>
      <c r="C576" s="3">
        <v>318</v>
      </c>
      <c r="D576" s="26">
        <v>1.6317166666666667</v>
      </c>
      <c r="E576" s="26">
        <v>2.2999499999999999</v>
      </c>
      <c r="F576" s="18">
        <v>4.8170000000000002</v>
      </c>
      <c r="G576" s="18">
        <v>0.66125873641962496</v>
      </c>
      <c r="H576" s="18">
        <v>0.52253477268009141</v>
      </c>
      <c r="I576" s="18">
        <v>0.13872396373953355</v>
      </c>
    </row>
    <row r="577" spans="1:9" x14ac:dyDescent="0.25">
      <c r="A577" s="2">
        <v>43213</v>
      </c>
      <c r="B577" s="4" t="s">
        <v>117</v>
      </c>
      <c r="C577" s="3">
        <v>2024</v>
      </c>
      <c r="D577" s="26">
        <v>3.2890999999999999</v>
      </c>
      <c r="E577" s="26">
        <v>3.0581999999999998</v>
      </c>
      <c r="F577" s="18">
        <v>7.44</v>
      </c>
      <c r="G577" s="18">
        <v>0.55791666666666662</v>
      </c>
      <c r="H577" s="18">
        <v>0.58895161290322584</v>
      </c>
      <c r="I577" s="18">
        <v>-3.1034946236559224E-2</v>
      </c>
    </row>
    <row r="578" spans="1:9" x14ac:dyDescent="0.25">
      <c r="A578" s="2">
        <v>43213</v>
      </c>
      <c r="B578" s="4" t="s">
        <v>136</v>
      </c>
      <c r="C578" s="3">
        <v>1992</v>
      </c>
      <c r="D578" s="26">
        <v>1.7635999999999998</v>
      </c>
      <c r="E578" s="26">
        <v>1.7850999999999999</v>
      </c>
      <c r="F578" s="18">
        <v>5.4889999999999999</v>
      </c>
      <c r="G578" s="18">
        <v>0.67870286026598659</v>
      </c>
      <c r="H578" s="18">
        <v>0.67478593550737842</v>
      </c>
      <c r="I578" s="18">
        <v>3.9169247586081646E-3</v>
      </c>
    </row>
    <row r="579" spans="1:9" x14ac:dyDescent="0.25">
      <c r="A579" s="2">
        <v>43213</v>
      </c>
      <c r="B579" s="4" t="s">
        <v>137</v>
      </c>
      <c r="C579" s="3">
        <v>4032</v>
      </c>
      <c r="D579" s="26">
        <v>2.6741999999999999</v>
      </c>
      <c r="E579" s="26">
        <v>2.7174833333333335</v>
      </c>
      <c r="F579" s="18">
        <v>7.1619999999999999</v>
      </c>
      <c r="G579" s="18">
        <v>0.62661267802289866</v>
      </c>
      <c r="H579" s="18">
        <v>0.62056920785627856</v>
      </c>
      <c r="I579" s="18">
        <v>6.0434701666201018E-3</v>
      </c>
    </row>
    <row r="580" spans="1:9" x14ac:dyDescent="0.25">
      <c r="A580" s="2">
        <v>43213</v>
      </c>
      <c r="B580" s="4" t="s">
        <v>191</v>
      </c>
      <c r="C580" s="3">
        <v>6222</v>
      </c>
      <c r="D580" s="26">
        <v>2.667616666666667</v>
      </c>
      <c r="E580" s="26">
        <v>2.6080333333333332</v>
      </c>
      <c r="F580" s="18">
        <v>7</v>
      </c>
      <c r="G580" s="18">
        <v>0.61891190476190461</v>
      </c>
      <c r="H580" s="18">
        <v>0.62742380952380949</v>
      </c>
      <c r="I580" s="18">
        <v>-8.5119047619048871E-3</v>
      </c>
    </row>
    <row r="581" spans="1:9" x14ac:dyDescent="0.25">
      <c r="A581" s="2">
        <v>43213</v>
      </c>
      <c r="B581" s="4" t="s">
        <v>440</v>
      </c>
      <c r="C581" s="3">
        <v>7260</v>
      </c>
      <c r="D581" s="26">
        <v>0.60899999999999999</v>
      </c>
      <c r="E581" s="26">
        <v>0.67500000000000004</v>
      </c>
      <c r="F581" s="18">
        <v>1.4850000000000001</v>
      </c>
      <c r="G581" s="18">
        <v>0.58989898989898992</v>
      </c>
      <c r="H581" s="18">
        <v>0.54545454545454541</v>
      </c>
      <c r="I581" s="18">
        <v>4.4444444444444509E-2</v>
      </c>
    </row>
    <row r="582" spans="1:9" x14ac:dyDescent="0.25">
      <c r="A582" s="2">
        <v>43214</v>
      </c>
      <c r="B582" s="4" t="s">
        <v>93</v>
      </c>
      <c r="C582" s="3">
        <v>1491</v>
      </c>
      <c r="D582" s="26">
        <v>18.026199999999999</v>
      </c>
      <c r="E582" s="26">
        <v>18.506799999999998</v>
      </c>
      <c r="F582" s="18">
        <v>54.418999999999997</v>
      </c>
      <c r="G582" s="18">
        <v>0.66875172274389449</v>
      </c>
      <c r="H582" s="18">
        <v>0.65992024844263952</v>
      </c>
      <c r="I582" s="18">
        <v>8.8314743012549712E-3</v>
      </c>
    </row>
    <row r="583" spans="1:9" x14ac:dyDescent="0.25">
      <c r="A583" s="2">
        <v>43214</v>
      </c>
      <c r="B583" s="4" t="s">
        <v>103</v>
      </c>
      <c r="C583" s="3">
        <v>7620</v>
      </c>
      <c r="D583" s="26">
        <v>1.6317166666666667</v>
      </c>
      <c r="E583" s="26">
        <v>1.8627666666666669</v>
      </c>
      <c r="F583" s="18">
        <v>4.8170000000000002</v>
      </c>
      <c r="G583" s="18">
        <v>0.66125873641962496</v>
      </c>
      <c r="H583" s="18">
        <v>0.61329319770258117</v>
      </c>
      <c r="I583" s="18">
        <v>4.7965538717043787E-2</v>
      </c>
    </row>
    <row r="584" spans="1:9" x14ac:dyDescent="0.25">
      <c r="A584" s="2">
        <v>43214</v>
      </c>
      <c r="B584" s="4" t="s">
        <v>137</v>
      </c>
      <c r="C584" s="3">
        <v>1104</v>
      </c>
      <c r="D584" s="26">
        <v>2.6741999999999999</v>
      </c>
      <c r="E584" s="26">
        <v>2.9143000000000003</v>
      </c>
      <c r="F584" s="18">
        <v>7.1619999999999999</v>
      </c>
      <c r="G584" s="18">
        <v>0.62661267802289866</v>
      </c>
      <c r="H584" s="18">
        <v>0.59308852275900592</v>
      </c>
      <c r="I584" s="18">
        <v>3.3524155263892741E-2</v>
      </c>
    </row>
    <row r="585" spans="1:9" x14ac:dyDescent="0.25">
      <c r="A585" s="2">
        <v>43214</v>
      </c>
      <c r="B585" s="4" t="s">
        <v>441</v>
      </c>
      <c r="C585" s="3">
        <v>17808</v>
      </c>
      <c r="D585" s="26">
        <v>0.5252</v>
      </c>
      <c r="E585" s="26">
        <v>0.50480000000000003</v>
      </c>
      <c r="F585" s="18">
        <v>1.349</v>
      </c>
      <c r="G585" s="18">
        <v>0.61067457375833956</v>
      </c>
      <c r="H585" s="18">
        <v>0.62579688658265376</v>
      </c>
      <c r="I585" s="18">
        <v>-1.5122312824314201E-2</v>
      </c>
    </row>
    <row r="586" spans="1:9" x14ac:dyDescent="0.25">
      <c r="A586" s="2">
        <v>43214</v>
      </c>
      <c r="B586" s="4" t="s">
        <v>467</v>
      </c>
      <c r="C586" s="3">
        <v>3048</v>
      </c>
      <c r="D586" s="26">
        <v>2.1463999999999999</v>
      </c>
      <c r="E586" s="26">
        <v>2.1246</v>
      </c>
      <c r="F586" s="18">
        <v>6</v>
      </c>
      <c r="G586" s="18">
        <v>0.64226666666666665</v>
      </c>
      <c r="H586" s="18">
        <v>0.64590000000000003</v>
      </c>
      <c r="I586" s="18">
        <v>-3.6333333333333777E-3</v>
      </c>
    </row>
    <row r="587" spans="1:9" x14ac:dyDescent="0.25">
      <c r="A587" s="2">
        <v>43214</v>
      </c>
      <c r="B587" s="4" t="s">
        <v>468</v>
      </c>
      <c r="C587" s="3">
        <v>2718</v>
      </c>
      <c r="D587" s="26">
        <v>2.1231</v>
      </c>
      <c r="E587" s="26">
        <v>2.1492</v>
      </c>
      <c r="F587" s="18">
        <v>6</v>
      </c>
      <c r="G587" s="18">
        <v>0.64615</v>
      </c>
      <c r="H587" s="18">
        <v>0.64180000000000004</v>
      </c>
      <c r="I587" s="18">
        <v>4.349999999999965E-3</v>
      </c>
    </row>
    <row r="588" spans="1:9" x14ac:dyDescent="0.25">
      <c r="A588" s="2">
        <v>43214</v>
      </c>
      <c r="B588" s="4" t="s">
        <v>469</v>
      </c>
      <c r="C588" s="3">
        <v>2112</v>
      </c>
      <c r="D588" s="26">
        <v>2.1320999999999999</v>
      </c>
      <c r="E588" s="26">
        <v>2.2662</v>
      </c>
      <c r="F588" s="18">
        <v>6</v>
      </c>
      <c r="G588" s="18">
        <v>0.64465000000000006</v>
      </c>
      <c r="H588" s="18">
        <v>0.62229999999999996</v>
      </c>
      <c r="I588" s="18">
        <v>2.2350000000000092E-2</v>
      </c>
    </row>
    <row r="589" spans="1:9" x14ac:dyDescent="0.25">
      <c r="A589" s="2">
        <v>43215</v>
      </c>
      <c r="B589" s="4" t="s">
        <v>48</v>
      </c>
      <c r="C589" s="3">
        <v>181</v>
      </c>
      <c r="D589" s="26">
        <v>5.8020999999999994</v>
      </c>
      <c r="E589" s="26">
        <v>4.2834000000000003</v>
      </c>
      <c r="F589" s="18">
        <v>22.472000000000001</v>
      </c>
      <c r="G589" s="18">
        <v>0.74180758276966896</v>
      </c>
      <c r="H589" s="18">
        <v>0.80938946244215026</v>
      </c>
      <c r="I589" s="18">
        <v>-6.7581879672481304E-2</v>
      </c>
    </row>
    <row r="590" spans="1:9" x14ac:dyDescent="0.25">
      <c r="A590" s="2">
        <v>43215</v>
      </c>
      <c r="B590" s="4" t="s">
        <v>67</v>
      </c>
      <c r="C590" s="3">
        <v>544</v>
      </c>
      <c r="D590" s="26">
        <v>0.43089999999999989</v>
      </c>
      <c r="E590" s="26">
        <v>0.78420000000000001</v>
      </c>
      <c r="F590" s="18">
        <v>1.875</v>
      </c>
      <c r="G590" s="18">
        <v>0.7701866666666668</v>
      </c>
      <c r="H590" s="18">
        <v>0.58175999999999994</v>
      </c>
      <c r="I590" s="18">
        <v>0.18842666666666685</v>
      </c>
    </row>
    <row r="591" spans="1:9" x14ac:dyDescent="0.25">
      <c r="A591" s="2">
        <v>43215</v>
      </c>
      <c r="B591" s="4" t="s">
        <v>68</v>
      </c>
      <c r="C591" s="3">
        <v>128</v>
      </c>
      <c r="D591" s="26">
        <v>0.8999999999999998</v>
      </c>
      <c r="E591" s="26">
        <v>1.8240000000000001</v>
      </c>
      <c r="F591" s="18">
        <v>2.2650000000000001</v>
      </c>
      <c r="G591" s="18">
        <v>0.60264900662251664</v>
      </c>
      <c r="H591" s="18">
        <v>0.19470198675496692</v>
      </c>
      <c r="I591" s="18">
        <v>0.40794701986754978</v>
      </c>
    </row>
    <row r="592" spans="1:9" x14ac:dyDescent="0.25">
      <c r="A592" s="2">
        <v>43215</v>
      </c>
      <c r="B592" s="4" t="s">
        <v>482</v>
      </c>
      <c r="C592" s="3">
        <v>846</v>
      </c>
      <c r="D592" s="26">
        <v>1.6214</v>
      </c>
      <c r="E592" s="26">
        <v>2.0538000000000003</v>
      </c>
      <c r="F592" s="18">
        <v>6.19</v>
      </c>
      <c r="G592" s="18">
        <v>0.73806138933764132</v>
      </c>
      <c r="H592" s="18">
        <v>0.66820678513731835</v>
      </c>
      <c r="I592" s="18">
        <v>6.9854604200322967E-2</v>
      </c>
    </row>
    <row r="593" spans="1:9" x14ac:dyDescent="0.25">
      <c r="A593" s="2">
        <v>43215</v>
      </c>
      <c r="B593" s="4" t="s">
        <v>103</v>
      </c>
      <c r="C593" s="3">
        <v>8634</v>
      </c>
      <c r="D593" s="26">
        <v>1.6317166666666667</v>
      </c>
      <c r="E593" s="26">
        <v>1.7801833333333337</v>
      </c>
      <c r="F593" s="18">
        <v>4.8170000000000002</v>
      </c>
      <c r="G593" s="18">
        <v>0.66125873641962496</v>
      </c>
      <c r="H593" s="18">
        <v>0.63043733997647222</v>
      </c>
      <c r="I593" s="18">
        <v>3.0821396443152738E-2</v>
      </c>
    </row>
    <row r="594" spans="1:9" x14ac:dyDescent="0.25">
      <c r="A594" s="2">
        <v>43215</v>
      </c>
      <c r="B594" s="4" t="s">
        <v>440</v>
      </c>
      <c r="C594" s="3">
        <v>18750</v>
      </c>
      <c r="D594" s="26">
        <v>0.60899999999999999</v>
      </c>
      <c r="E594" s="26">
        <v>0.57989999999999997</v>
      </c>
      <c r="F594" s="18">
        <v>1.4850000000000001</v>
      </c>
      <c r="G594" s="18">
        <v>0.58989898989898992</v>
      </c>
      <c r="H594" s="18">
        <v>0.60949494949494953</v>
      </c>
      <c r="I594" s="18">
        <v>-1.9595959595959611E-2</v>
      </c>
    </row>
    <row r="595" spans="1:9" x14ac:dyDescent="0.25">
      <c r="A595" s="2">
        <v>43215</v>
      </c>
      <c r="B595" s="4" t="s">
        <v>446</v>
      </c>
      <c r="C595" s="3">
        <v>568</v>
      </c>
      <c r="D595" s="26">
        <v>2.2050874999999999</v>
      </c>
      <c r="E595" s="26">
        <v>2.4343374999999998</v>
      </c>
      <c r="F595" s="18">
        <v>6.57</v>
      </c>
      <c r="G595" s="18">
        <v>0.66437024353120255</v>
      </c>
      <c r="H595" s="18">
        <v>0.62947678843226795</v>
      </c>
      <c r="I595" s="18">
        <v>3.48934550989346E-2</v>
      </c>
    </row>
    <row r="596" spans="1:9" x14ac:dyDescent="0.25">
      <c r="A596" s="2">
        <v>43215</v>
      </c>
      <c r="B596" s="4" t="s">
        <v>484</v>
      </c>
      <c r="C596" s="3">
        <v>2034</v>
      </c>
      <c r="D596" s="26">
        <v>2.5760000000000001</v>
      </c>
      <c r="E596" s="26">
        <v>2.6886999999999999</v>
      </c>
      <c r="F596" s="18">
        <v>7.42</v>
      </c>
      <c r="G596" s="18">
        <v>0.65283018867924525</v>
      </c>
      <c r="H596" s="18">
        <v>0.63764150943396225</v>
      </c>
      <c r="I596" s="18">
        <v>1.5188679245283001E-2</v>
      </c>
    </row>
    <row r="597" spans="1:9" x14ac:dyDescent="0.25">
      <c r="A597" s="2">
        <v>43215</v>
      </c>
      <c r="B597" s="4" t="s">
        <v>486</v>
      </c>
      <c r="C597" s="3">
        <v>312</v>
      </c>
      <c r="D597" s="26">
        <v>1.6960999999999999</v>
      </c>
      <c r="E597" s="26">
        <v>2.601</v>
      </c>
      <c r="F597" s="18">
        <v>5.5229999999999997</v>
      </c>
      <c r="G597" s="18">
        <v>0.69290240811153359</v>
      </c>
      <c r="H597" s="18">
        <v>0.52906029331884841</v>
      </c>
      <c r="I597" s="18">
        <v>0.16384211479268518</v>
      </c>
    </row>
    <row r="598" spans="1:9" x14ac:dyDescent="0.25">
      <c r="A598" s="2">
        <v>43215</v>
      </c>
      <c r="B598" s="4" t="s">
        <v>226</v>
      </c>
      <c r="C598" s="3">
        <v>5544</v>
      </c>
      <c r="D598" s="26">
        <v>1.6445000000000001</v>
      </c>
      <c r="E598" s="26">
        <v>1.4952000000000001</v>
      </c>
      <c r="F598" s="18">
        <v>4.3689999999999998</v>
      </c>
      <c r="G598" s="18">
        <v>0.62359807736324102</v>
      </c>
      <c r="H598" s="18">
        <v>0.65777065690089265</v>
      </c>
      <c r="I598" s="18">
        <v>-3.4172579537651626E-2</v>
      </c>
    </row>
    <row r="599" spans="1:9" x14ac:dyDescent="0.25">
      <c r="A599" s="2">
        <v>43216</v>
      </c>
      <c r="B599" s="4" t="s">
        <v>103</v>
      </c>
      <c r="C599" s="3">
        <v>8892</v>
      </c>
      <c r="D599" s="26">
        <v>1.6317166666666667</v>
      </c>
      <c r="E599" s="26">
        <v>1.8603499999999999</v>
      </c>
      <c r="F599" s="18">
        <v>4.8170000000000002</v>
      </c>
      <c r="G599" s="18">
        <v>0.66125873641962496</v>
      </c>
      <c r="H599" s="18">
        <v>0.61379489308698354</v>
      </c>
      <c r="I599" s="18">
        <v>4.746384333264142E-2</v>
      </c>
    </row>
    <row r="600" spans="1:9" x14ac:dyDescent="0.25">
      <c r="A600" s="2">
        <v>43216</v>
      </c>
      <c r="B600" s="4" t="s">
        <v>440</v>
      </c>
      <c r="C600" s="3">
        <v>20440</v>
      </c>
      <c r="D600" s="26">
        <v>0.60899999999999999</v>
      </c>
      <c r="E600" s="26">
        <v>0.62129999999999996</v>
      </c>
      <c r="F600" s="18">
        <v>1.4850000000000001</v>
      </c>
      <c r="G600" s="18">
        <v>0.58989898989898992</v>
      </c>
      <c r="H600" s="18">
        <v>0.5816161616161617</v>
      </c>
      <c r="I600" s="18">
        <v>8.2828282828282251E-3</v>
      </c>
    </row>
    <row r="601" spans="1:9" x14ac:dyDescent="0.25">
      <c r="A601" s="2">
        <v>43216</v>
      </c>
      <c r="B601" s="4" t="s">
        <v>486</v>
      </c>
      <c r="C601" s="3">
        <v>3678</v>
      </c>
      <c r="D601" s="26">
        <v>1.6960999999999999</v>
      </c>
      <c r="E601" s="26">
        <v>1.9639</v>
      </c>
      <c r="F601" s="18">
        <v>5.5229999999999997</v>
      </c>
      <c r="G601" s="18">
        <v>0.69290240811153359</v>
      </c>
      <c r="H601" s="18">
        <v>0.64441426760818399</v>
      </c>
      <c r="I601" s="18">
        <v>4.8488140503349597E-2</v>
      </c>
    </row>
    <row r="602" spans="1:9" x14ac:dyDescent="0.25">
      <c r="A602" s="2">
        <v>43216</v>
      </c>
      <c r="B602" s="4" t="s">
        <v>226</v>
      </c>
      <c r="C602" s="3">
        <v>6468</v>
      </c>
      <c r="D602" s="26">
        <v>1.6445000000000001</v>
      </c>
      <c r="E602" s="26">
        <v>1.6281000000000001</v>
      </c>
      <c r="F602" s="18">
        <v>4.3689999999999998</v>
      </c>
      <c r="G602" s="18">
        <v>0.62359807736324102</v>
      </c>
      <c r="H602" s="18">
        <v>0.62735179674982833</v>
      </c>
      <c r="I602" s="18">
        <v>-3.7537193865873064E-3</v>
      </c>
    </row>
    <row r="603" spans="1:9" x14ac:dyDescent="0.25">
      <c r="A603" s="2">
        <v>43217</v>
      </c>
      <c r="B603" s="4" t="s">
        <v>103</v>
      </c>
      <c r="C603" s="3">
        <v>8880</v>
      </c>
      <c r="D603" s="26">
        <v>1.6317166666666667</v>
      </c>
      <c r="E603" s="26">
        <v>1.7585666666666666</v>
      </c>
      <c r="F603" s="18">
        <v>4.8170000000000002</v>
      </c>
      <c r="G603" s="18">
        <v>0.66125873641962496</v>
      </c>
      <c r="H603" s="18">
        <v>0.63492491869074807</v>
      </c>
      <c r="I603" s="18">
        <v>2.6333817728876885E-2</v>
      </c>
    </row>
    <row r="604" spans="1:9" x14ac:dyDescent="0.25">
      <c r="A604" s="2">
        <v>43217</v>
      </c>
      <c r="B604" s="4" t="s">
        <v>440</v>
      </c>
      <c r="C604" s="3">
        <v>19120</v>
      </c>
      <c r="D604" s="26">
        <v>0.60899999999999999</v>
      </c>
      <c r="E604" s="26">
        <v>0.57199999999999995</v>
      </c>
      <c r="F604" s="18">
        <v>1.4850000000000001</v>
      </c>
      <c r="G604" s="18">
        <v>0.58989898989898992</v>
      </c>
      <c r="H604" s="18">
        <v>0.61481481481481493</v>
      </c>
      <c r="I604" s="18">
        <v>-2.4915824915824999E-2</v>
      </c>
    </row>
    <row r="605" spans="1:9" x14ac:dyDescent="0.25">
      <c r="A605" s="2">
        <v>43217</v>
      </c>
      <c r="B605" s="4" t="s">
        <v>486</v>
      </c>
      <c r="C605" s="3">
        <v>7662</v>
      </c>
      <c r="D605" s="26">
        <v>1.6960999999999999</v>
      </c>
      <c r="E605" s="26">
        <v>1.9186000000000001</v>
      </c>
      <c r="F605" s="18">
        <v>5.5229999999999997</v>
      </c>
      <c r="G605" s="18">
        <v>0.69290240811153359</v>
      </c>
      <c r="H605" s="18">
        <v>0.65261633170378419</v>
      </c>
      <c r="I605" s="18">
        <v>4.0286076407749394E-2</v>
      </c>
    </row>
    <row r="606" spans="1:9" x14ac:dyDescent="0.25">
      <c r="A606" s="2">
        <v>43217</v>
      </c>
      <c r="B606" s="4" t="s">
        <v>225</v>
      </c>
      <c r="C606" s="3">
        <v>961</v>
      </c>
      <c r="D606" s="26">
        <v>7.2910000000000004</v>
      </c>
      <c r="E606" s="26">
        <v>8.1064000000000007</v>
      </c>
      <c r="F606" s="18">
        <v>19.2</v>
      </c>
      <c r="G606" s="18">
        <v>0.62026041666666665</v>
      </c>
      <c r="H606" s="18">
        <v>0.57779166666666659</v>
      </c>
      <c r="I606" s="18">
        <v>4.2468750000000055E-2</v>
      </c>
    </row>
    <row r="607" spans="1:9" x14ac:dyDescent="0.25">
      <c r="A607" s="2">
        <v>43217</v>
      </c>
      <c r="B607" s="4" t="s">
        <v>226</v>
      </c>
      <c r="C607" s="3">
        <v>3080</v>
      </c>
      <c r="D607" s="26">
        <v>1.6445000000000001</v>
      </c>
      <c r="E607" s="26">
        <v>1.7292000000000001</v>
      </c>
      <c r="F607" s="18">
        <v>4.3689999999999998</v>
      </c>
      <c r="G607" s="18">
        <v>0.62359807736324102</v>
      </c>
      <c r="H607" s="18">
        <v>0.60421149004348818</v>
      </c>
      <c r="I607" s="18">
        <v>1.9386587319752849E-2</v>
      </c>
    </row>
    <row r="608" spans="1:9" x14ac:dyDescent="0.25">
      <c r="A608" s="2">
        <v>43220</v>
      </c>
      <c r="B608" s="4" t="s">
        <v>103</v>
      </c>
      <c r="C608" s="3">
        <v>3684</v>
      </c>
      <c r="D608" s="26">
        <v>1.6317166666666667</v>
      </c>
      <c r="E608" s="26">
        <v>1.6969333333333332</v>
      </c>
      <c r="F608" s="18">
        <v>4.8170000000000002</v>
      </c>
      <c r="G608" s="18">
        <v>0.66125873641962496</v>
      </c>
      <c r="H608" s="18">
        <v>0.6477198809770951</v>
      </c>
      <c r="I608" s="18">
        <v>1.3538855442529862E-2</v>
      </c>
    </row>
    <row r="609" spans="1:9" x14ac:dyDescent="0.25">
      <c r="A609" s="2">
        <v>43220</v>
      </c>
      <c r="B609" s="4" t="s">
        <v>140</v>
      </c>
      <c r="C609" s="3">
        <v>6140</v>
      </c>
      <c r="D609" s="26">
        <v>3.5828000000000002</v>
      </c>
      <c r="E609" s="26">
        <v>3.8740999999999999</v>
      </c>
      <c r="F609" s="18">
        <v>9.14</v>
      </c>
      <c r="G609" s="18">
        <v>0.6080087527352297</v>
      </c>
      <c r="H609" s="18">
        <v>0.57613785557986874</v>
      </c>
      <c r="I609" s="18">
        <v>3.1870897155360955E-2</v>
      </c>
    </row>
    <row r="610" spans="1:9" x14ac:dyDescent="0.25">
      <c r="A610" s="2">
        <v>43220</v>
      </c>
      <c r="B610" s="4" t="s">
        <v>178</v>
      </c>
      <c r="C610" s="3">
        <v>9630</v>
      </c>
      <c r="D610" s="26">
        <v>0.53264999999999996</v>
      </c>
      <c r="E610" s="26">
        <v>0.55504999999999993</v>
      </c>
      <c r="F610" s="18">
        <v>1.5720000000000001</v>
      </c>
      <c r="G610" s="18">
        <v>0.66116412213740472</v>
      </c>
      <c r="H610" s="18">
        <v>0.64691475826972011</v>
      </c>
      <c r="I610" s="18">
        <v>1.4249363867684606E-2</v>
      </c>
    </row>
    <row r="611" spans="1:9" x14ac:dyDescent="0.25">
      <c r="A611" s="2">
        <v>43220</v>
      </c>
      <c r="B611" s="4" t="s">
        <v>199</v>
      </c>
      <c r="C611" s="3">
        <v>8292</v>
      </c>
      <c r="D611" s="26">
        <v>2.4230999999999998</v>
      </c>
      <c r="E611" s="26">
        <v>2.5929000000000002</v>
      </c>
      <c r="F611" s="18">
        <v>6.9420000000000002</v>
      </c>
      <c r="G611" s="18">
        <v>0.65095073465859987</v>
      </c>
      <c r="H611" s="18">
        <v>0.62649092480553148</v>
      </c>
      <c r="I611" s="18">
        <v>2.4459809853068393E-2</v>
      </c>
    </row>
    <row r="612" spans="1:9" x14ac:dyDescent="0.25">
      <c r="A612" s="2">
        <v>43220</v>
      </c>
      <c r="B612" s="4" t="s">
        <v>457</v>
      </c>
      <c r="C612" s="3">
        <v>1218</v>
      </c>
      <c r="D612" s="26">
        <v>3.0537333333333336</v>
      </c>
      <c r="E612" s="26">
        <v>3.6850000000000001</v>
      </c>
      <c r="F612" s="18">
        <v>9.49</v>
      </c>
      <c r="G612" s="18">
        <v>0.6782156656129259</v>
      </c>
      <c r="H612" s="18">
        <v>0.61169652265542673</v>
      </c>
      <c r="I612" s="18">
        <v>6.6519142957499167E-2</v>
      </c>
    </row>
    <row r="613" spans="1:9" x14ac:dyDescent="0.25">
      <c r="A613" s="2">
        <v>43220</v>
      </c>
      <c r="B613" s="4" t="s">
        <v>486</v>
      </c>
      <c r="C613" s="3">
        <v>1686</v>
      </c>
      <c r="D613" s="26">
        <v>1.6960999999999999</v>
      </c>
      <c r="E613" s="26">
        <v>1.9157</v>
      </c>
      <c r="F613" s="18">
        <v>5.5229999999999997</v>
      </c>
      <c r="G613" s="18">
        <v>0.69290240811153359</v>
      </c>
      <c r="H613" s="18">
        <v>0.65314140865471659</v>
      </c>
      <c r="I613" s="18">
        <v>3.9760999456816992E-2</v>
      </c>
    </row>
    <row r="614" spans="1:9" x14ac:dyDescent="0.25">
      <c r="A614" s="2">
        <v>43222</v>
      </c>
      <c r="B614" s="4" t="s">
        <v>114</v>
      </c>
      <c r="C614" s="3">
        <v>7998</v>
      </c>
      <c r="D614" s="26">
        <v>1.9188000000000001</v>
      </c>
      <c r="E614" s="26">
        <v>2.1173999999999999</v>
      </c>
      <c r="F614" s="18">
        <v>5.9749999999999996</v>
      </c>
      <c r="G614" s="18">
        <v>0.67886192468619244</v>
      </c>
      <c r="H614" s="18">
        <v>0.64562343096234309</v>
      </c>
      <c r="I614" s="18">
        <v>3.3238493723849349E-2</v>
      </c>
    </row>
    <row r="615" spans="1:9" x14ac:dyDescent="0.25">
      <c r="A615" s="2">
        <v>43222</v>
      </c>
      <c r="B615" s="4" t="s">
        <v>230</v>
      </c>
      <c r="C615" s="3">
        <v>14772</v>
      </c>
      <c r="D615" s="26">
        <v>0.55530000000000002</v>
      </c>
      <c r="E615" s="26">
        <v>0.54700000000000004</v>
      </c>
      <c r="F615" s="18">
        <v>1.57</v>
      </c>
      <c r="G615" s="18">
        <v>0.64630573248407641</v>
      </c>
      <c r="H615" s="18">
        <v>0.65159235668789817</v>
      </c>
      <c r="I615" s="18">
        <v>-5.2866242038217548E-3</v>
      </c>
    </row>
    <row r="616" spans="1:9" x14ac:dyDescent="0.25">
      <c r="A616" s="2">
        <v>43222</v>
      </c>
      <c r="B616" s="4" t="s">
        <v>215</v>
      </c>
      <c r="C616" s="3">
        <v>839</v>
      </c>
      <c r="D616" s="26">
        <v>4.8067000000000002</v>
      </c>
      <c r="E616" s="26">
        <v>5.2655000000000003</v>
      </c>
      <c r="F616" s="18">
        <v>16.984000000000002</v>
      </c>
      <c r="G616" s="18">
        <v>0.71698657560056533</v>
      </c>
      <c r="H616" s="18">
        <v>0.68997291568535102</v>
      </c>
      <c r="I616" s="18">
        <v>2.7013659915214316E-2</v>
      </c>
    </row>
    <row r="617" spans="1:9" x14ac:dyDescent="0.25">
      <c r="A617" s="2">
        <v>43222</v>
      </c>
      <c r="B617" s="4" t="s">
        <v>216</v>
      </c>
      <c r="C617" s="3">
        <v>1420</v>
      </c>
      <c r="D617" s="26">
        <v>4.2846000000000002</v>
      </c>
      <c r="E617" s="26">
        <v>4.5012999999999996</v>
      </c>
      <c r="F617" s="18">
        <v>17.062000000000001</v>
      </c>
      <c r="G617" s="18">
        <v>0.74888055327628644</v>
      </c>
      <c r="H617" s="18">
        <v>0.73617981479310757</v>
      </c>
      <c r="I617" s="18">
        <v>1.2700738483178986E-2</v>
      </c>
    </row>
    <row r="618" spans="1:9" x14ac:dyDescent="0.25">
      <c r="A618" s="2">
        <v>43222</v>
      </c>
      <c r="B618" s="4" t="s">
        <v>441</v>
      </c>
      <c r="C618" s="3">
        <v>1548</v>
      </c>
      <c r="D618" s="26">
        <v>0.5252</v>
      </c>
      <c r="E618" s="26">
        <v>0.65529999999999999</v>
      </c>
      <c r="F618" s="18">
        <v>1.349</v>
      </c>
      <c r="G618" s="18">
        <v>0.61067457375833956</v>
      </c>
      <c r="H618" s="18">
        <v>0.51423276501111936</v>
      </c>
      <c r="I618" s="18">
        <v>9.6441808747220192E-2</v>
      </c>
    </row>
    <row r="619" spans="1:9" x14ac:dyDescent="0.25">
      <c r="A619" s="2">
        <v>43222</v>
      </c>
      <c r="B619" s="4" t="s">
        <v>430</v>
      </c>
      <c r="C619" s="3">
        <v>3744</v>
      </c>
      <c r="D619" s="26">
        <v>2.97845</v>
      </c>
      <c r="E619" s="26">
        <v>3.4656666666666669</v>
      </c>
      <c r="F619" s="18">
        <v>7.4450000000000003</v>
      </c>
      <c r="G619" s="18">
        <v>0.59993955674949628</v>
      </c>
      <c r="H619" s="18">
        <v>0.53449742556525626</v>
      </c>
      <c r="I619" s="18">
        <v>6.5442131184240027E-2</v>
      </c>
    </row>
    <row r="620" spans="1:9" x14ac:dyDescent="0.25">
      <c r="A620" s="2">
        <v>43223</v>
      </c>
      <c r="B620" s="4" t="s">
        <v>102</v>
      </c>
      <c r="C620" s="3">
        <v>6138</v>
      </c>
      <c r="D620" s="26">
        <v>2.1629</v>
      </c>
      <c r="E620" s="26">
        <v>2.0876999999999999</v>
      </c>
      <c r="F620" s="18">
        <v>5.9690000000000003</v>
      </c>
      <c r="G620" s="18">
        <v>0.63764449656558886</v>
      </c>
      <c r="H620" s="18">
        <v>0.65024292176243925</v>
      </c>
      <c r="I620" s="18">
        <v>-1.2598425196850394E-2</v>
      </c>
    </row>
    <row r="621" spans="1:9" x14ac:dyDescent="0.25">
      <c r="A621" s="2">
        <v>43223</v>
      </c>
      <c r="B621" s="4" t="s">
        <v>151</v>
      </c>
      <c r="C621" s="3">
        <v>11244</v>
      </c>
      <c r="D621" s="26">
        <v>2.4890999999999996</v>
      </c>
      <c r="E621" s="26">
        <v>2.9794999999999998</v>
      </c>
      <c r="F621" s="18">
        <v>6.4210000000000003</v>
      </c>
      <c r="G621" s="18">
        <v>0.61235010123033806</v>
      </c>
      <c r="H621" s="18">
        <v>0.53597570471889122</v>
      </c>
      <c r="I621" s="18">
        <v>7.637439651144684E-2</v>
      </c>
    </row>
    <row r="622" spans="1:9" x14ac:dyDescent="0.25">
      <c r="A622" s="2">
        <v>43223</v>
      </c>
      <c r="B622" s="4" t="s">
        <v>168</v>
      </c>
      <c r="C622" s="3">
        <v>232</v>
      </c>
      <c r="D622" s="26">
        <v>5.0103499999999999</v>
      </c>
      <c r="E622" s="26">
        <v>2.1930000000000001</v>
      </c>
      <c r="F622" s="18">
        <v>8.5459999999999994</v>
      </c>
      <c r="G622" s="18">
        <v>0.41371986894453544</v>
      </c>
      <c r="H622" s="18">
        <v>0.74338871986894461</v>
      </c>
      <c r="I622" s="18">
        <v>-0.32966885092440917</v>
      </c>
    </row>
    <row r="623" spans="1:9" x14ac:dyDescent="0.25">
      <c r="A623" s="2">
        <v>43223</v>
      </c>
      <c r="B623" s="4" t="s">
        <v>169</v>
      </c>
      <c r="C623" s="3">
        <v>176</v>
      </c>
      <c r="D623" s="26">
        <v>4.4057250000000003</v>
      </c>
      <c r="E623" s="26">
        <v>7.5408999999999997</v>
      </c>
      <c r="F623" s="18">
        <v>9.3160000000000007</v>
      </c>
      <c r="G623" s="18">
        <v>0.52707975525976813</v>
      </c>
      <c r="H623" s="18">
        <v>0.19054315156719631</v>
      </c>
      <c r="I623" s="18">
        <v>0.33653660369257182</v>
      </c>
    </row>
    <row r="624" spans="1:9" x14ac:dyDescent="0.25">
      <c r="A624" s="2">
        <v>43223</v>
      </c>
      <c r="B624" s="4" t="s">
        <v>194</v>
      </c>
      <c r="C624" s="3">
        <v>926</v>
      </c>
      <c r="D624" s="26">
        <v>2.7168000000000001</v>
      </c>
      <c r="E624" s="26">
        <v>3.0354000000000001</v>
      </c>
      <c r="F624" s="18">
        <v>7.84</v>
      </c>
      <c r="G624" s="18">
        <v>0.65346938775510199</v>
      </c>
      <c r="H624" s="18">
        <v>0.61283163265306118</v>
      </c>
      <c r="I624" s="18">
        <v>4.0637755102040818E-2</v>
      </c>
    </row>
    <row r="625" spans="1:9" x14ac:dyDescent="0.25">
      <c r="A625" s="2">
        <v>43223</v>
      </c>
      <c r="B625" s="4" t="s">
        <v>195</v>
      </c>
      <c r="C625" s="3">
        <v>1094</v>
      </c>
      <c r="D625" s="26">
        <v>3.0133000000000001</v>
      </c>
      <c r="E625" s="26">
        <v>2.9102000000000001</v>
      </c>
      <c r="F625" s="18">
        <v>7.84</v>
      </c>
      <c r="G625" s="18">
        <v>0.61565051020408157</v>
      </c>
      <c r="H625" s="18">
        <v>0.62880102040816332</v>
      </c>
      <c r="I625" s="18">
        <v>-1.3150510204081756E-2</v>
      </c>
    </row>
    <row r="626" spans="1:9" x14ac:dyDescent="0.25">
      <c r="A626" s="2">
        <v>43223</v>
      </c>
      <c r="B626" s="4" t="s">
        <v>441</v>
      </c>
      <c r="C626" s="3">
        <v>18030</v>
      </c>
      <c r="D626" s="26">
        <v>0.5252</v>
      </c>
      <c r="E626" s="26">
        <v>0.4955</v>
      </c>
      <c r="F626" s="18">
        <v>1.349</v>
      </c>
      <c r="G626" s="18">
        <v>0.61067457375833956</v>
      </c>
      <c r="H626" s="18">
        <v>0.63269088213491476</v>
      </c>
      <c r="I626" s="18">
        <v>-2.20163083765752E-2</v>
      </c>
    </row>
    <row r="627" spans="1:9" x14ac:dyDescent="0.25">
      <c r="A627" s="2">
        <v>43224</v>
      </c>
      <c r="B627" s="4" t="s">
        <v>130</v>
      </c>
      <c r="C627" s="3">
        <v>395</v>
      </c>
      <c r="D627" s="26">
        <v>16.344799999999999</v>
      </c>
      <c r="E627" s="26">
        <v>19.7014</v>
      </c>
      <c r="F627" s="18">
        <v>41.808</v>
      </c>
      <c r="G627" s="18">
        <v>0.60905089934940682</v>
      </c>
      <c r="H627" s="18">
        <v>0.52876482969766547</v>
      </c>
      <c r="I627" s="18">
        <v>8.0286069651741343E-2</v>
      </c>
    </row>
    <row r="628" spans="1:9" x14ac:dyDescent="0.25">
      <c r="A628" s="2">
        <v>43224</v>
      </c>
      <c r="B628" s="4" t="s">
        <v>158</v>
      </c>
      <c r="C628" s="3">
        <v>1464</v>
      </c>
      <c r="D628" s="26">
        <v>0.71789999999999998</v>
      </c>
      <c r="E628" s="26">
        <v>0.94784999999999997</v>
      </c>
      <c r="F628" s="18">
        <v>1.9259999999999999</v>
      </c>
      <c r="G628" s="18">
        <v>0.62725856697819315</v>
      </c>
      <c r="H628" s="18">
        <v>0.50786604361370713</v>
      </c>
      <c r="I628" s="18">
        <v>0.11939252336448604</v>
      </c>
    </row>
    <row r="629" spans="1:9" x14ac:dyDescent="0.25">
      <c r="A629" s="2">
        <v>43224</v>
      </c>
      <c r="B629" s="4" t="s">
        <v>192</v>
      </c>
      <c r="C629" s="3">
        <v>9360</v>
      </c>
      <c r="D629" s="26">
        <v>0.80956249999999996</v>
      </c>
      <c r="E629" s="26">
        <v>0.99692499999999995</v>
      </c>
      <c r="F629" s="18">
        <v>2.5</v>
      </c>
      <c r="G629" s="18">
        <v>0.67617499999999997</v>
      </c>
      <c r="H629" s="18">
        <v>0.60122999999999993</v>
      </c>
      <c r="I629" s="18">
        <v>7.4945000000000025E-2</v>
      </c>
    </row>
    <row r="630" spans="1:9" x14ac:dyDescent="0.25">
      <c r="A630" s="2">
        <v>43224</v>
      </c>
      <c r="B630" s="4" t="s">
        <v>207</v>
      </c>
      <c r="C630" s="3">
        <v>13352</v>
      </c>
      <c r="D630" s="26">
        <v>0.7923</v>
      </c>
      <c r="E630" s="26">
        <v>0.86108750000000001</v>
      </c>
      <c r="F630" s="18">
        <v>2.1</v>
      </c>
      <c r="G630" s="18">
        <v>0.62271428571428578</v>
      </c>
      <c r="H630" s="18">
        <v>0.58995833333333336</v>
      </c>
      <c r="I630" s="18">
        <v>3.2755952380952413E-2</v>
      </c>
    </row>
    <row r="631" spans="1:9" x14ac:dyDescent="0.25">
      <c r="A631" s="2">
        <v>43224</v>
      </c>
      <c r="B631" s="4" t="s">
        <v>441</v>
      </c>
      <c r="C631" s="3">
        <v>9876</v>
      </c>
      <c r="D631" s="26">
        <v>0.5252</v>
      </c>
      <c r="E631" s="26">
        <v>0.44619999999999999</v>
      </c>
      <c r="F631" s="18">
        <v>1.349</v>
      </c>
      <c r="G631" s="18">
        <v>0.61067457375833956</v>
      </c>
      <c r="H631" s="18">
        <v>0.66923647146034104</v>
      </c>
      <c r="I631" s="18">
        <v>-5.8561897702001486E-2</v>
      </c>
    </row>
    <row r="632" spans="1:9" x14ac:dyDescent="0.25">
      <c r="A632" s="2">
        <v>43224</v>
      </c>
      <c r="B632" s="4" t="s">
        <v>431</v>
      </c>
      <c r="C632" s="3">
        <v>9308</v>
      </c>
      <c r="D632" s="26">
        <v>0.83314999999999995</v>
      </c>
      <c r="E632" s="26">
        <v>0.92564999999999997</v>
      </c>
      <c r="F632" s="18">
        <v>2.1800000000000002</v>
      </c>
      <c r="G632" s="18">
        <v>0.61782110091743125</v>
      </c>
      <c r="H632" s="18">
        <v>0.57538990825688074</v>
      </c>
      <c r="I632" s="18">
        <v>4.243119266055051E-2</v>
      </c>
    </row>
    <row r="633" spans="1:9" x14ac:dyDescent="0.25">
      <c r="A633" s="2">
        <v>43234</v>
      </c>
      <c r="B633" s="4" t="s">
        <v>31</v>
      </c>
      <c r="C633" s="3">
        <v>1200</v>
      </c>
      <c r="D633" s="26">
        <v>4.42</v>
      </c>
      <c r="E633" s="26">
        <v>2.0421</v>
      </c>
      <c r="F633" s="18">
        <v>11.141</v>
      </c>
      <c r="G633" s="18">
        <v>0.60326721120186699</v>
      </c>
      <c r="H633" s="18">
        <v>0.81670406606229251</v>
      </c>
      <c r="I633" s="18">
        <v>-0.21343685486042552</v>
      </c>
    </row>
    <row r="634" spans="1:9" x14ac:dyDescent="0.25">
      <c r="A634" s="2">
        <v>43234</v>
      </c>
      <c r="B634" s="4" t="s">
        <v>40</v>
      </c>
      <c r="C634" s="3">
        <v>113</v>
      </c>
      <c r="D634" s="26">
        <v>6.2930999999999999</v>
      </c>
      <c r="E634" s="26">
        <v>6.2625999999999999</v>
      </c>
      <c r="F634" s="18">
        <v>19.855</v>
      </c>
      <c r="G634" s="18">
        <v>0.68304709141274245</v>
      </c>
      <c r="H634" s="18">
        <v>0.6845832284059431</v>
      </c>
      <c r="I634" s="18">
        <v>-1.5361369932006539E-3</v>
      </c>
    </row>
    <row r="635" spans="1:9" x14ac:dyDescent="0.25">
      <c r="A635" s="2">
        <v>43234</v>
      </c>
      <c r="B635" s="4" t="s">
        <v>86</v>
      </c>
      <c r="C635" s="3">
        <v>1526</v>
      </c>
      <c r="D635" s="26">
        <v>3.8159000000000001</v>
      </c>
      <c r="E635" s="26">
        <v>2.2639999999999998</v>
      </c>
      <c r="F635" s="18">
        <v>8.3770000000000007</v>
      </c>
      <c r="G635" s="18">
        <v>0.54447893040467954</v>
      </c>
      <c r="H635" s="18">
        <v>0.72973618240420213</v>
      </c>
      <c r="I635" s="18">
        <v>-0.18525725199952259</v>
      </c>
    </row>
    <row r="636" spans="1:9" x14ac:dyDescent="0.25">
      <c r="A636" s="2">
        <v>43234</v>
      </c>
      <c r="B636" s="4" t="s">
        <v>94</v>
      </c>
      <c r="C636" s="3">
        <v>855</v>
      </c>
      <c r="D636" s="26">
        <v>4.4519000000000002</v>
      </c>
      <c r="E636" s="26">
        <v>2.12</v>
      </c>
      <c r="F636" s="18">
        <v>9.69</v>
      </c>
      <c r="G636" s="18">
        <v>0.54056759545923627</v>
      </c>
      <c r="H636" s="18">
        <v>0.78121775025799789</v>
      </c>
      <c r="I636" s="18">
        <v>-0.24065015479876159</v>
      </c>
    </row>
    <row r="637" spans="1:9" x14ac:dyDescent="0.25">
      <c r="A637" s="2">
        <v>43234</v>
      </c>
      <c r="B637" s="4" t="s">
        <v>95</v>
      </c>
      <c r="C637" s="3">
        <v>334</v>
      </c>
      <c r="D637" s="26">
        <v>3.9287000000000001</v>
      </c>
      <c r="E637" s="26">
        <v>3.8936000000000002</v>
      </c>
      <c r="F637" s="18">
        <v>9.7010000000000005</v>
      </c>
      <c r="G637" s="18">
        <v>0.59502113184207817</v>
      </c>
      <c r="H637" s="18">
        <v>0.59863931553448102</v>
      </c>
      <c r="I637" s="18">
        <v>-3.6181836924028543E-3</v>
      </c>
    </row>
    <row r="638" spans="1:9" x14ac:dyDescent="0.25">
      <c r="A638" s="2">
        <v>43234</v>
      </c>
      <c r="B638" s="4" t="s">
        <v>159</v>
      </c>
      <c r="C638" s="3">
        <v>15060</v>
      </c>
      <c r="D638" s="26">
        <v>0.7088416666666667</v>
      </c>
      <c r="E638" s="26">
        <v>0.70224166666666665</v>
      </c>
      <c r="F638" s="18">
        <v>2.1339999999999999</v>
      </c>
      <c r="G638" s="18">
        <v>0.66783427054045608</v>
      </c>
      <c r="H638" s="18">
        <v>0.6709270540456107</v>
      </c>
      <c r="I638" s="18">
        <v>-3.0927835051546282E-3</v>
      </c>
    </row>
    <row r="639" spans="1:9" x14ac:dyDescent="0.25">
      <c r="A639" s="2">
        <v>43234</v>
      </c>
      <c r="B639" s="4" t="s">
        <v>230</v>
      </c>
      <c r="C639" s="3">
        <v>18192</v>
      </c>
      <c r="D639" s="26">
        <v>0.55530000000000002</v>
      </c>
      <c r="E639" s="26">
        <v>0.57203333333333328</v>
      </c>
      <c r="F639" s="18">
        <v>1.57</v>
      </c>
      <c r="G639" s="18">
        <v>0.64630573248407641</v>
      </c>
      <c r="H639" s="18">
        <v>0.63564755838641196</v>
      </c>
      <c r="I639" s="18">
        <v>1.0658174097664452E-2</v>
      </c>
    </row>
    <row r="640" spans="1:9" x14ac:dyDescent="0.25">
      <c r="A640" s="2">
        <v>43234</v>
      </c>
      <c r="B640" s="4" t="s">
        <v>214</v>
      </c>
      <c r="C640" s="3">
        <v>9180</v>
      </c>
      <c r="D640" s="26">
        <v>0.63800000000000001</v>
      </c>
      <c r="E640" s="26">
        <v>0.74181666666666668</v>
      </c>
      <c r="F640" s="18">
        <v>2.008</v>
      </c>
      <c r="G640" s="18">
        <v>0.68227091633466141</v>
      </c>
      <c r="H640" s="18">
        <v>0.63056938911022575</v>
      </c>
      <c r="I640" s="18">
        <v>5.1701527224435662E-2</v>
      </c>
    </row>
    <row r="641" spans="1:9" x14ac:dyDescent="0.25">
      <c r="A641" s="2">
        <v>43234</v>
      </c>
      <c r="B641" s="4" t="s">
        <v>483</v>
      </c>
      <c r="C641" s="3">
        <v>1836</v>
      </c>
      <c r="D641" s="26">
        <v>6.0121527777777795E-2</v>
      </c>
      <c r="E641" s="26">
        <v>0.73130833333333323</v>
      </c>
      <c r="F641" s="18">
        <v>1.92</v>
      </c>
      <c r="G641" s="18">
        <v>0.96868670428240733</v>
      </c>
      <c r="H641" s="18">
        <v>0.61911024305555562</v>
      </c>
      <c r="I641" s="18">
        <v>0.34957646122685182</v>
      </c>
    </row>
    <row r="642" spans="1:9" x14ac:dyDescent="0.25">
      <c r="A642" s="2">
        <v>43235</v>
      </c>
      <c r="B642" s="4" t="s">
        <v>98</v>
      </c>
      <c r="C642" s="3">
        <v>29928</v>
      </c>
      <c r="D642" s="26">
        <v>0.63849999999999996</v>
      </c>
      <c r="E642" s="26">
        <v>0.78759999999999997</v>
      </c>
      <c r="F642" s="18">
        <v>2.173</v>
      </c>
      <c r="G642" s="18">
        <v>0.70616658996778647</v>
      </c>
      <c r="H642" s="18">
        <v>0.63755177174413258</v>
      </c>
      <c r="I642" s="18">
        <v>6.8614818223653895E-2</v>
      </c>
    </row>
    <row r="643" spans="1:9" x14ac:dyDescent="0.25">
      <c r="A643" s="2">
        <v>43235</v>
      </c>
      <c r="B643" s="4" t="s">
        <v>183</v>
      </c>
      <c r="C643" s="3">
        <v>6156</v>
      </c>
      <c r="D643" s="26">
        <v>2.0216333333333334</v>
      </c>
      <c r="E643" s="26">
        <v>2.0596666666666668</v>
      </c>
      <c r="F643" s="18">
        <v>6.05</v>
      </c>
      <c r="G643" s="18">
        <v>0.66584573002754821</v>
      </c>
      <c r="H643" s="18">
        <v>0.65955922865013772</v>
      </c>
      <c r="I643" s="18">
        <v>6.2865013774104908E-3</v>
      </c>
    </row>
    <row r="644" spans="1:9" x14ac:dyDescent="0.25">
      <c r="A644" s="2">
        <v>43235</v>
      </c>
      <c r="B644" s="4" t="s">
        <v>230</v>
      </c>
      <c r="C644" s="3">
        <v>16314</v>
      </c>
      <c r="D644" s="26">
        <v>0.55530000000000002</v>
      </c>
      <c r="E644" s="26">
        <v>0.51919999999999999</v>
      </c>
      <c r="F644" s="18">
        <v>1.57</v>
      </c>
      <c r="G644" s="18">
        <v>0.64630573248407641</v>
      </c>
      <c r="H644" s="18">
        <v>0.66929936305732496</v>
      </c>
      <c r="I644" s="18">
        <v>-2.2993630573248547E-2</v>
      </c>
    </row>
    <row r="645" spans="1:9" x14ac:dyDescent="0.25">
      <c r="A645" s="2">
        <v>43235</v>
      </c>
      <c r="B645" s="4" t="s">
        <v>441</v>
      </c>
      <c r="C645" s="3">
        <v>2130</v>
      </c>
      <c r="D645" s="26">
        <v>0.5252</v>
      </c>
      <c r="E645" s="26">
        <v>0.44890000000000002</v>
      </c>
      <c r="F645" s="18">
        <v>1.349</v>
      </c>
      <c r="G645" s="18">
        <v>0.61067457375833956</v>
      </c>
      <c r="H645" s="18">
        <v>0.66723498888065225</v>
      </c>
      <c r="I645" s="18">
        <v>-5.6560415122312691E-2</v>
      </c>
    </row>
    <row r="646" spans="1:9" x14ac:dyDescent="0.25">
      <c r="A646" s="2">
        <v>43235</v>
      </c>
      <c r="B646" s="4" t="s">
        <v>483</v>
      </c>
      <c r="C646" s="3">
        <v>11952</v>
      </c>
      <c r="D646" s="26">
        <v>6.0121527777777795E-2</v>
      </c>
      <c r="E646" s="26">
        <v>0.73041666666666671</v>
      </c>
      <c r="F646" s="18">
        <v>1.92</v>
      </c>
      <c r="G646" s="18">
        <v>0.96868670428240733</v>
      </c>
      <c r="H646" s="18">
        <v>0.61957465277777779</v>
      </c>
      <c r="I646" s="18">
        <v>0.34911205150462965</v>
      </c>
    </row>
    <row r="647" spans="1:9" x14ac:dyDescent="0.25">
      <c r="A647" s="2">
        <v>43236</v>
      </c>
      <c r="B647" s="4" t="s">
        <v>98</v>
      </c>
      <c r="C647" s="3">
        <v>31608</v>
      </c>
      <c r="D647" s="26">
        <v>0.63849999999999996</v>
      </c>
      <c r="E647" s="26">
        <v>0.69289999999999996</v>
      </c>
      <c r="F647" s="18">
        <v>2.173</v>
      </c>
      <c r="G647" s="18">
        <v>0.70616658996778647</v>
      </c>
      <c r="H647" s="18">
        <v>0.68113207547169818</v>
      </c>
      <c r="I647" s="18">
        <v>2.5034514496088289E-2</v>
      </c>
    </row>
    <row r="648" spans="1:9" x14ac:dyDescent="0.25">
      <c r="A648" s="2">
        <v>43236</v>
      </c>
      <c r="B648" s="4" t="s">
        <v>152</v>
      </c>
      <c r="C648" s="3">
        <v>14232</v>
      </c>
      <c r="D648" s="26">
        <v>0.58314999999999995</v>
      </c>
      <c r="E648" s="26">
        <v>0.64447500000000002</v>
      </c>
      <c r="F648" s="18">
        <v>1.621</v>
      </c>
      <c r="G648" s="18">
        <v>0.64025293028994457</v>
      </c>
      <c r="H648" s="18">
        <v>0.60242134484885868</v>
      </c>
      <c r="I648" s="18">
        <v>3.7831585441085891E-2</v>
      </c>
    </row>
    <row r="649" spans="1:9" x14ac:dyDescent="0.25">
      <c r="A649" s="2">
        <v>43236</v>
      </c>
      <c r="B649" s="4" t="s">
        <v>153</v>
      </c>
      <c r="C649" s="3">
        <v>2496</v>
      </c>
      <c r="D649" s="26">
        <v>0.56405833333333333</v>
      </c>
      <c r="E649" s="26">
        <v>0.68</v>
      </c>
      <c r="F649" s="18">
        <v>1.621</v>
      </c>
      <c r="G649" s="18">
        <v>0.65203063952292828</v>
      </c>
      <c r="H649" s="18">
        <v>0.58050586057988895</v>
      </c>
      <c r="I649" s="18">
        <v>7.1524778943039324E-2</v>
      </c>
    </row>
    <row r="650" spans="1:9" x14ac:dyDescent="0.25">
      <c r="A650" s="2">
        <v>43236</v>
      </c>
      <c r="B650" s="4" t="s">
        <v>457</v>
      </c>
      <c r="C650" s="3">
        <v>2592</v>
      </c>
      <c r="D650" s="26">
        <v>3.0537333333333336</v>
      </c>
      <c r="E650" s="26">
        <v>3.6016833333333333</v>
      </c>
      <c r="F650" s="18">
        <v>9.49</v>
      </c>
      <c r="G650" s="18">
        <v>0.6782156656129259</v>
      </c>
      <c r="H650" s="18">
        <v>0.6204759395855286</v>
      </c>
      <c r="I650" s="18">
        <v>5.7739726027397298E-2</v>
      </c>
    </row>
    <row r="651" spans="1:9" x14ac:dyDescent="0.25">
      <c r="A651" s="2">
        <v>43236</v>
      </c>
      <c r="B651" s="4" t="s">
        <v>483</v>
      </c>
      <c r="C651" s="3">
        <v>10908</v>
      </c>
      <c r="D651" s="26">
        <v>6.0121527777777795E-2</v>
      </c>
      <c r="E651" s="26">
        <v>0.75149999999999995</v>
      </c>
      <c r="F651" s="18">
        <v>1.92</v>
      </c>
      <c r="G651" s="18">
        <v>0.96868670428240733</v>
      </c>
      <c r="H651" s="18">
        <v>0.60859374999999993</v>
      </c>
      <c r="I651" s="18">
        <v>0.36009295428240751</v>
      </c>
    </row>
    <row r="652" spans="1:9" x14ac:dyDescent="0.25">
      <c r="A652" s="2">
        <v>43237</v>
      </c>
      <c r="B652" s="4" t="s">
        <v>153</v>
      </c>
      <c r="C652" s="3">
        <v>14832</v>
      </c>
      <c r="D652" s="26">
        <v>0.56405833333333333</v>
      </c>
      <c r="E652" s="26">
        <v>0.68</v>
      </c>
      <c r="F652" s="18">
        <v>1.621</v>
      </c>
      <c r="G652" s="18">
        <v>0.65203063952292828</v>
      </c>
      <c r="H652" s="18">
        <v>0.58050586057988895</v>
      </c>
      <c r="I652" s="18">
        <v>7.1524778943039324E-2</v>
      </c>
    </row>
    <row r="653" spans="1:9" x14ac:dyDescent="0.25">
      <c r="A653" s="2">
        <v>43237</v>
      </c>
      <c r="B653" s="4" t="s">
        <v>442</v>
      </c>
      <c r="C653" s="3">
        <v>23334</v>
      </c>
      <c r="D653" s="26">
        <v>0.60658333333333336</v>
      </c>
      <c r="E653" s="26">
        <v>0.67153333333333343</v>
      </c>
      <c r="F653" s="18">
        <v>1.4750000000000001</v>
      </c>
      <c r="G653" s="18">
        <v>0.58875706214689261</v>
      </c>
      <c r="H653" s="18">
        <v>0.54472316384180786</v>
      </c>
      <c r="I653" s="18">
        <v>4.4033898305084751E-2</v>
      </c>
    </row>
    <row r="654" spans="1:9" x14ac:dyDescent="0.25">
      <c r="A654" s="2">
        <v>43237</v>
      </c>
      <c r="B654" s="4" t="s">
        <v>457</v>
      </c>
      <c r="C654" s="3">
        <v>3726</v>
      </c>
      <c r="D654" s="26">
        <v>3.0537333333333336</v>
      </c>
      <c r="E654" s="26">
        <v>3.4849166666666669</v>
      </c>
      <c r="F654" s="18">
        <v>9.49</v>
      </c>
      <c r="G654" s="18">
        <v>0.6782156656129259</v>
      </c>
      <c r="H654" s="18">
        <v>0.63278011942395507</v>
      </c>
      <c r="I654" s="18">
        <v>4.5435546188970832E-2</v>
      </c>
    </row>
    <row r="655" spans="1:9" x14ac:dyDescent="0.25">
      <c r="A655" s="2">
        <v>43237</v>
      </c>
      <c r="B655" s="4" t="s">
        <v>483</v>
      </c>
      <c r="C655" s="3">
        <v>9240</v>
      </c>
      <c r="D655" s="26">
        <v>6.0121527777777795E-2</v>
      </c>
      <c r="E655" s="26">
        <v>0.75049999999999994</v>
      </c>
      <c r="F655" s="18">
        <v>1.92</v>
      </c>
      <c r="G655" s="18">
        <v>0.96868670428240733</v>
      </c>
      <c r="H655" s="18">
        <v>0.60911458333333324</v>
      </c>
      <c r="I655" s="18">
        <v>0.3595721209490742</v>
      </c>
    </row>
    <row r="656" spans="1:9" x14ac:dyDescent="0.25">
      <c r="A656" s="2">
        <v>43238</v>
      </c>
      <c r="B656" s="4" t="s">
        <v>38</v>
      </c>
      <c r="C656" s="3">
        <v>188</v>
      </c>
      <c r="D656" s="26">
        <v>4.5991999999999997</v>
      </c>
      <c r="E656" s="26">
        <v>4.8620999999999999</v>
      </c>
      <c r="F656" s="18">
        <v>17.228999999999999</v>
      </c>
      <c r="G656" s="18">
        <v>0.73305473329850834</v>
      </c>
      <c r="H656" s="18">
        <v>0.7177955772244472</v>
      </c>
      <c r="I656" s="18">
        <v>1.5259156074061142E-2</v>
      </c>
    </row>
    <row r="657" spans="1:9" x14ac:dyDescent="0.25">
      <c r="A657" s="2">
        <v>43238</v>
      </c>
      <c r="B657" s="4" t="s">
        <v>87</v>
      </c>
      <c r="C657" s="3">
        <v>1536</v>
      </c>
      <c r="D657" s="26">
        <v>3.4342999999999999</v>
      </c>
      <c r="E657" s="26">
        <v>4.2968000000000002</v>
      </c>
      <c r="F657" s="18">
        <v>8.3740000000000006</v>
      </c>
      <c r="G657" s="18">
        <v>0.58988535944590392</v>
      </c>
      <c r="H657" s="18">
        <v>0.48688798662526872</v>
      </c>
      <c r="I657" s="18">
        <v>0.1029973728206352</v>
      </c>
    </row>
    <row r="658" spans="1:9" x14ac:dyDescent="0.25">
      <c r="A658" s="2">
        <v>43238</v>
      </c>
      <c r="B658" s="4" t="s">
        <v>114</v>
      </c>
      <c r="C658" s="3">
        <v>1440</v>
      </c>
      <c r="D658" s="26">
        <v>1.9188000000000001</v>
      </c>
      <c r="E658" s="26">
        <v>2.3062</v>
      </c>
      <c r="F658" s="18">
        <v>5.9749999999999996</v>
      </c>
      <c r="G658" s="18">
        <v>0.67886192468619244</v>
      </c>
      <c r="H658" s="18">
        <v>0.61402510460251047</v>
      </c>
      <c r="I658" s="18">
        <v>6.4836820083681967E-2</v>
      </c>
    </row>
    <row r="659" spans="1:9" x14ac:dyDescent="0.25">
      <c r="A659" s="2">
        <v>43238</v>
      </c>
      <c r="B659" s="4" t="s">
        <v>124</v>
      </c>
      <c r="C659" s="3">
        <v>240</v>
      </c>
      <c r="D659" s="26">
        <v>1.2889166666666667</v>
      </c>
      <c r="E659" s="26">
        <v>1.2565833333333334</v>
      </c>
      <c r="F659" s="18">
        <v>5.4</v>
      </c>
      <c r="G659" s="18">
        <v>0.76131172839506156</v>
      </c>
      <c r="H659" s="18">
        <v>0.76729938271604925</v>
      </c>
      <c r="I659" s="18">
        <v>-5.9876543209876898E-3</v>
      </c>
    </row>
    <row r="660" spans="1:9" x14ac:dyDescent="0.25">
      <c r="A660" s="2">
        <v>43238</v>
      </c>
      <c r="B660" s="4" t="s">
        <v>125</v>
      </c>
      <c r="C660" s="3">
        <v>1170</v>
      </c>
      <c r="D660" s="26">
        <v>1.7899</v>
      </c>
      <c r="E660" s="26">
        <v>1.9108000000000001</v>
      </c>
      <c r="F660" s="18">
        <v>7.4560000000000004</v>
      </c>
      <c r="G660" s="18">
        <v>0.75993830472102997</v>
      </c>
      <c r="H660" s="18">
        <v>0.74372317596566528</v>
      </c>
      <c r="I660" s="18">
        <v>1.6215128755364683E-2</v>
      </c>
    </row>
    <row r="661" spans="1:9" x14ac:dyDescent="0.25">
      <c r="A661" s="2">
        <v>43238</v>
      </c>
      <c r="B661" s="4" t="s">
        <v>126</v>
      </c>
      <c r="C661" s="3">
        <v>600</v>
      </c>
      <c r="D661" s="26">
        <v>2.5653000000000001</v>
      </c>
      <c r="E661" s="26">
        <v>2.9245999999999999</v>
      </c>
      <c r="F661" s="18">
        <v>9.8320000000000007</v>
      </c>
      <c r="G661" s="18">
        <v>0.73908665581773791</v>
      </c>
      <c r="H661" s="18">
        <v>0.70254271765663145</v>
      </c>
      <c r="I661" s="18">
        <v>3.654393816110646E-2</v>
      </c>
    </row>
    <row r="662" spans="1:9" x14ac:dyDescent="0.25">
      <c r="A662" s="2">
        <v>43238</v>
      </c>
      <c r="B662" s="4" t="s">
        <v>442</v>
      </c>
      <c r="C662" s="3">
        <v>17010</v>
      </c>
      <c r="D662" s="26">
        <v>0.60658333333333336</v>
      </c>
      <c r="E662" s="26">
        <v>0.68038333333333334</v>
      </c>
      <c r="F662" s="18">
        <v>1.4750000000000001</v>
      </c>
      <c r="G662" s="18">
        <v>0.58875706214689261</v>
      </c>
      <c r="H662" s="18">
        <v>0.53872316384180796</v>
      </c>
      <c r="I662" s="18">
        <v>5.0033898305084645E-2</v>
      </c>
    </row>
    <row r="663" spans="1:9" x14ac:dyDescent="0.25">
      <c r="A663" s="2">
        <v>43238</v>
      </c>
      <c r="B663" s="4" t="s">
        <v>430</v>
      </c>
      <c r="C663" s="3">
        <v>960</v>
      </c>
      <c r="D663" s="26">
        <v>2.97845</v>
      </c>
      <c r="E663" s="26">
        <v>3.3421000000000003</v>
      </c>
      <c r="F663" s="18">
        <v>7.4450000000000003</v>
      </c>
      <c r="G663" s="18">
        <v>0.59993955674949628</v>
      </c>
      <c r="H663" s="18">
        <v>0.55109469442578907</v>
      </c>
      <c r="I663" s="18">
        <v>4.8844862323707217E-2</v>
      </c>
    </row>
    <row r="664" spans="1:9" x14ac:dyDescent="0.25">
      <c r="A664" s="2">
        <v>43238</v>
      </c>
      <c r="B664" s="4" t="s">
        <v>457</v>
      </c>
      <c r="C664" s="3">
        <v>1482</v>
      </c>
      <c r="D664" s="26">
        <v>3.0537333333333336</v>
      </c>
      <c r="E664" s="26">
        <v>3.3132166666666669</v>
      </c>
      <c r="F664" s="18">
        <v>9.49</v>
      </c>
      <c r="G664" s="18">
        <v>0.6782156656129259</v>
      </c>
      <c r="H664" s="18">
        <v>0.65087284861257455</v>
      </c>
      <c r="I664" s="18">
        <v>2.7342817000351349E-2</v>
      </c>
    </row>
    <row r="665" spans="1:9" x14ac:dyDescent="0.25">
      <c r="A665" s="2">
        <v>43242</v>
      </c>
      <c r="B665" s="4" t="s">
        <v>114</v>
      </c>
      <c r="C665" s="3">
        <v>942</v>
      </c>
      <c r="D665" s="26">
        <v>1.9188000000000001</v>
      </c>
      <c r="E665" s="26">
        <v>2.403</v>
      </c>
      <c r="F665" s="18">
        <v>5.9749999999999996</v>
      </c>
      <c r="G665" s="18">
        <v>0.67886192468619244</v>
      </c>
      <c r="H665" s="18">
        <v>0.5978242677824267</v>
      </c>
      <c r="I665" s="18">
        <v>8.1037656903765742E-2</v>
      </c>
    </row>
    <row r="666" spans="1:9" x14ac:dyDescent="0.25">
      <c r="A666" s="2">
        <v>43242</v>
      </c>
      <c r="B666" s="4" t="s">
        <v>230</v>
      </c>
      <c r="C666" s="3">
        <v>15966</v>
      </c>
      <c r="D666" s="26">
        <v>0.55530000000000002</v>
      </c>
      <c r="E666" s="26">
        <v>0.61014999999999997</v>
      </c>
      <c r="F666" s="18">
        <v>1.57</v>
      </c>
      <c r="G666" s="18">
        <v>0.64630573248407641</v>
      </c>
      <c r="H666" s="18">
        <v>0.61136942675159234</v>
      </c>
      <c r="I666" s="18">
        <v>3.4936305732484074E-2</v>
      </c>
    </row>
    <row r="667" spans="1:9" x14ac:dyDescent="0.25">
      <c r="A667" s="2">
        <v>43242</v>
      </c>
      <c r="B667" s="4" t="s">
        <v>212</v>
      </c>
      <c r="C667" s="3">
        <v>15780</v>
      </c>
      <c r="D667" s="26">
        <v>1.48465</v>
      </c>
      <c r="E667" s="26">
        <v>1.4992833333333333</v>
      </c>
      <c r="F667" s="18">
        <v>3.5750000000000002</v>
      </c>
      <c r="G667" s="18">
        <v>0.58471328671328671</v>
      </c>
      <c r="H667" s="18">
        <v>0.58062004662004663</v>
      </c>
      <c r="I667" s="18">
        <v>4.0932400932400803E-3</v>
      </c>
    </row>
    <row r="668" spans="1:9" x14ac:dyDescent="0.25">
      <c r="A668" s="2">
        <v>43242</v>
      </c>
      <c r="B668" s="4" t="s">
        <v>442</v>
      </c>
      <c r="C668" s="3">
        <v>5802</v>
      </c>
      <c r="D668" s="26">
        <v>0.60658333333333336</v>
      </c>
      <c r="E668" s="26">
        <v>0.68</v>
      </c>
      <c r="F668" s="18">
        <v>1.4750000000000001</v>
      </c>
      <c r="G668" s="18">
        <v>0.58875706214689261</v>
      </c>
      <c r="H668" s="18">
        <v>0.53898305084745757</v>
      </c>
      <c r="I668" s="18">
        <v>4.9774011299435039E-2</v>
      </c>
    </row>
    <row r="669" spans="1:9" x14ac:dyDescent="0.25">
      <c r="A669" s="2">
        <v>43242</v>
      </c>
      <c r="B669" s="4" t="s">
        <v>430</v>
      </c>
      <c r="C669" s="3">
        <v>2520</v>
      </c>
      <c r="D669" s="26">
        <v>2.97845</v>
      </c>
      <c r="E669" s="26">
        <v>3.3239999999999998</v>
      </c>
      <c r="F669" s="18">
        <v>7.4450000000000003</v>
      </c>
      <c r="G669" s="18">
        <v>0.59993955674949628</v>
      </c>
      <c r="H669" s="18">
        <v>0.55352585627938222</v>
      </c>
      <c r="I669" s="18">
        <v>4.6413700470114061E-2</v>
      </c>
    </row>
    <row r="670" spans="1:9" x14ac:dyDescent="0.25">
      <c r="A670" s="2">
        <v>43242</v>
      </c>
      <c r="B670" s="4" t="s">
        <v>456</v>
      </c>
      <c r="C670" s="3">
        <v>3780</v>
      </c>
      <c r="D670" s="26">
        <v>3.0803666666666665</v>
      </c>
      <c r="E670" s="26">
        <v>3.0675666666666666</v>
      </c>
      <c r="F670" s="18">
        <v>9.49</v>
      </c>
      <c r="G670" s="18">
        <v>0.67540920266947668</v>
      </c>
      <c r="H670" s="18">
        <v>0.67675799086757993</v>
      </c>
      <c r="I670" s="18">
        <v>-1.3487881981032457E-3</v>
      </c>
    </row>
    <row r="671" spans="1:9" x14ac:dyDescent="0.25">
      <c r="A671" s="2">
        <v>43242</v>
      </c>
      <c r="B671" s="4" t="s">
        <v>483</v>
      </c>
      <c r="C671" s="3">
        <v>8652</v>
      </c>
      <c r="D671" s="26">
        <v>6.0121527777777795E-2</v>
      </c>
      <c r="E671" s="26">
        <v>0.71919999999999995</v>
      </c>
      <c r="F671" s="18">
        <v>1.92</v>
      </c>
      <c r="G671" s="18">
        <v>0.96868670428240733</v>
      </c>
      <c r="H671" s="18">
        <v>0.62541666666666673</v>
      </c>
      <c r="I671" s="18">
        <v>0.34327003761574071</v>
      </c>
    </row>
    <row r="672" spans="1:9" x14ac:dyDescent="0.25">
      <c r="A672" s="2">
        <v>43243</v>
      </c>
      <c r="B672" s="4" t="s">
        <v>128</v>
      </c>
      <c r="C672" s="3">
        <v>16416</v>
      </c>
      <c r="D672" s="26">
        <v>0.22900000000000001</v>
      </c>
      <c r="E672" s="26">
        <v>0.26497777777777776</v>
      </c>
      <c r="F672" s="18">
        <v>0.57199999999999995</v>
      </c>
      <c r="G672" s="18">
        <v>0.59965034965034969</v>
      </c>
      <c r="H672" s="18">
        <v>0.53675213675213673</v>
      </c>
      <c r="I672" s="18">
        <v>6.2898212898212957E-2</v>
      </c>
    </row>
    <row r="673" spans="1:9" x14ac:dyDescent="0.25">
      <c r="A673" s="2">
        <v>43243</v>
      </c>
      <c r="B673" s="4" t="s">
        <v>207</v>
      </c>
      <c r="C673" s="3">
        <v>7608</v>
      </c>
      <c r="D673" s="26">
        <v>0.7923</v>
      </c>
      <c r="E673" s="26">
        <v>0.91022499999999995</v>
      </c>
      <c r="F673" s="18">
        <v>2.1</v>
      </c>
      <c r="G673" s="18">
        <v>0.62271428571428578</v>
      </c>
      <c r="H673" s="18">
        <v>0.56655952380952379</v>
      </c>
      <c r="I673" s="18">
        <v>5.6154761904761985E-2</v>
      </c>
    </row>
    <row r="674" spans="1:9" x14ac:dyDescent="0.25">
      <c r="A674" s="2">
        <v>43243</v>
      </c>
      <c r="B674" s="4" t="s">
        <v>212</v>
      </c>
      <c r="C674" s="3">
        <v>16140</v>
      </c>
      <c r="D674" s="26">
        <v>1.48465</v>
      </c>
      <c r="E674" s="26">
        <v>1.4355</v>
      </c>
      <c r="F674" s="18">
        <v>3.5750000000000002</v>
      </c>
      <c r="G674" s="18">
        <v>0.58471328671328671</v>
      </c>
      <c r="H674" s="18">
        <v>0.59846153846153838</v>
      </c>
      <c r="I674" s="18">
        <v>-1.3748251748251672E-2</v>
      </c>
    </row>
    <row r="675" spans="1:9" x14ac:dyDescent="0.25">
      <c r="A675" s="2">
        <v>43243</v>
      </c>
      <c r="B675" s="4" t="s">
        <v>456</v>
      </c>
      <c r="C675" s="3">
        <v>3618</v>
      </c>
      <c r="D675" s="26">
        <v>3.0803666666666665</v>
      </c>
      <c r="E675" s="26">
        <v>3.2283833333333334</v>
      </c>
      <c r="F675" s="18">
        <v>9.49</v>
      </c>
      <c r="G675" s="18">
        <v>0.67540920266947668</v>
      </c>
      <c r="H675" s="18">
        <v>0.65981208289427473</v>
      </c>
      <c r="I675" s="18">
        <v>1.5597119775201953E-2</v>
      </c>
    </row>
    <row r="676" spans="1:9" x14ac:dyDescent="0.25">
      <c r="A676" s="2">
        <v>43243</v>
      </c>
      <c r="B676" s="4" t="s">
        <v>484</v>
      </c>
      <c r="C676" s="3">
        <v>882</v>
      </c>
      <c r="D676" s="26">
        <v>2.5760000000000001</v>
      </c>
      <c r="E676" s="26">
        <v>2.9809000000000001</v>
      </c>
      <c r="F676" s="18">
        <v>7.42</v>
      </c>
      <c r="G676" s="18">
        <v>0.65283018867924525</v>
      </c>
      <c r="H676" s="18">
        <v>0.5982614555256065</v>
      </c>
      <c r="I676" s="18">
        <v>5.4568733153638749E-2</v>
      </c>
    </row>
    <row r="677" spans="1:9" x14ac:dyDescent="0.25">
      <c r="A677" s="2">
        <v>43243</v>
      </c>
      <c r="B677" s="4" t="s">
        <v>483</v>
      </c>
      <c r="C677" s="3">
        <v>10620</v>
      </c>
      <c r="D677" s="26">
        <v>6.0121527777777795E-2</v>
      </c>
      <c r="E677" s="26">
        <v>0.77090000000000003</v>
      </c>
      <c r="F677" s="18">
        <v>1.92</v>
      </c>
      <c r="G677" s="18">
        <v>0.96868670428240733</v>
      </c>
      <c r="H677" s="18">
        <v>0.59848958333333324</v>
      </c>
      <c r="I677" s="18">
        <v>0.3701971209490742</v>
      </c>
    </row>
    <row r="678" spans="1:9" x14ac:dyDescent="0.25">
      <c r="A678" s="2">
        <v>43244</v>
      </c>
      <c r="B678" s="4" t="s">
        <v>128</v>
      </c>
      <c r="C678" s="3">
        <v>57168</v>
      </c>
      <c r="D678" s="26">
        <v>0.22900000000000001</v>
      </c>
      <c r="E678" s="26">
        <v>0.25650833333333334</v>
      </c>
      <c r="F678" s="18">
        <v>0.57199999999999995</v>
      </c>
      <c r="G678" s="18">
        <v>0.59965034965034969</v>
      </c>
      <c r="H678" s="18">
        <v>0.55155885780885772</v>
      </c>
      <c r="I678" s="18">
        <v>4.8091491841491973E-2</v>
      </c>
    </row>
    <row r="679" spans="1:9" x14ac:dyDescent="0.25">
      <c r="A679" s="2">
        <v>43244</v>
      </c>
      <c r="B679" s="4" t="s">
        <v>212</v>
      </c>
      <c r="C679" s="3">
        <v>17214</v>
      </c>
      <c r="D679" s="26">
        <v>1.48465</v>
      </c>
      <c r="E679" s="26">
        <v>1.3919499999999998</v>
      </c>
      <c r="F679" s="18">
        <v>3.5750000000000002</v>
      </c>
      <c r="G679" s="18">
        <v>0.58471328671328671</v>
      </c>
      <c r="H679" s="18">
        <v>0.61064335664335678</v>
      </c>
      <c r="I679" s="18">
        <v>-2.5930069930070077E-2</v>
      </c>
    </row>
    <row r="680" spans="1:9" x14ac:dyDescent="0.25">
      <c r="A680" s="2">
        <v>43244</v>
      </c>
      <c r="B680" s="4" t="s">
        <v>214</v>
      </c>
      <c r="C680" s="3">
        <v>9480</v>
      </c>
      <c r="D680" s="26">
        <v>0.72145833333333342</v>
      </c>
      <c r="E680" s="26">
        <v>0.69609166666666666</v>
      </c>
      <c r="F680" s="18">
        <v>2.008</v>
      </c>
      <c r="G680" s="18">
        <v>0.64070800132802119</v>
      </c>
      <c r="H680" s="18">
        <v>0.65334080345285517</v>
      </c>
      <c r="I680" s="18">
        <v>-1.2632802124833977E-2</v>
      </c>
    </row>
    <row r="681" spans="1:9" x14ac:dyDescent="0.25">
      <c r="A681" s="2">
        <v>43244</v>
      </c>
      <c r="B681" s="4" t="s">
        <v>440</v>
      </c>
      <c r="C681" s="3">
        <v>2050</v>
      </c>
      <c r="D681" s="26">
        <v>0.60899999999999999</v>
      </c>
      <c r="E681" s="26">
        <v>0.68030000000000002</v>
      </c>
      <c r="F681" s="18">
        <v>1.4850000000000001</v>
      </c>
      <c r="G681" s="18">
        <v>0.58989898989898992</v>
      </c>
      <c r="H681" s="18">
        <v>0.54188552188552186</v>
      </c>
      <c r="I681" s="18">
        <v>4.8013468013468064E-2</v>
      </c>
    </row>
    <row r="682" spans="1:9" x14ac:dyDescent="0.25">
      <c r="A682" s="2">
        <v>43244</v>
      </c>
      <c r="B682" s="4" t="s">
        <v>441</v>
      </c>
      <c r="C682" s="3">
        <v>13218</v>
      </c>
      <c r="D682" s="26">
        <v>0.5252</v>
      </c>
      <c r="E682" s="26">
        <v>0.4919</v>
      </c>
      <c r="F682" s="18">
        <v>1.349</v>
      </c>
      <c r="G682" s="18">
        <v>0.61067457375833956</v>
      </c>
      <c r="H682" s="18">
        <v>0.6353595255744996</v>
      </c>
      <c r="I682" s="18">
        <v>-2.4684951816160039E-2</v>
      </c>
    </row>
    <row r="683" spans="1:9" x14ac:dyDescent="0.25">
      <c r="A683" s="2">
        <v>43244</v>
      </c>
      <c r="B683" s="4" t="s">
        <v>483</v>
      </c>
      <c r="C683" s="3">
        <v>984</v>
      </c>
      <c r="D683" s="26">
        <v>6.0121527777777795E-2</v>
      </c>
      <c r="E683" s="26">
        <v>0.70799999999999996</v>
      </c>
      <c r="F683" s="18">
        <v>1.92</v>
      </c>
      <c r="G683" s="18">
        <v>0.96868670428240733</v>
      </c>
      <c r="H683" s="18">
        <v>0.63124999999999998</v>
      </c>
      <c r="I683" s="18">
        <v>0.33743670428240746</v>
      </c>
    </row>
    <row r="684" spans="1:9" x14ac:dyDescent="0.25">
      <c r="A684" s="2">
        <v>43245</v>
      </c>
      <c r="B684" s="4" t="s">
        <v>128</v>
      </c>
      <c r="C684" s="3">
        <v>38664</v>
      </c>
      <c r="D684" s="26">
        <v>0.22900000000000001</v>
      </c>
      <c r="E684" s="26">
        <v>0.28522083333333337</v>
      </c>
      <c r="F684" s="18">
        <v>0.57199999999999995</v>
      </c>
      <c r="G684" s="18">
        <v>0.59965034965034969</v>
      </c>
      <c r="H684" s="18">
        <v>0.50136217948717943</v>
      </c>
      <c r="I684" s="18">
        <v>9.8288170163170249E-2</v>
      </c>
    </row>
    <row r="685" spans="1:9" x14ac:dyDescent="0.25">
      <c r="A685" s="2">
        <v>43245</v>
      </c>
      <c r="B685" s="4" t="s">
        <v>212</v>
      </c>
      <c r="C685" s="3">
        <v>17520</v>
      </c>
      <c r="D685" s="26">
        <v>1.48465</v>
      </c>
      <c r="E685" s="26">
        <v>1.4675833333333337</v>
      </c>
      <c r="F685" s="18">
        <v>3.5750000000000002</v>
      </c>
      <c r="G685" s="18">
        <v>0.58471328671328671</v>
      </c>
      <c r="H685" s="18">
        <v>0.58948717948717944</v>
      </c>
      <c r="I685" s="18">
        <v>-4.7738927738927295E-3</v>
      </c>
    </row>
    <row r="686" spans="1:9" x14ac:dyDescent="0.25">
      <c r="A686" s="2">
        <v>43245</v>
      </c>
      <c r="B686" s="4" t="s">
        <v>214</v>
      </c>
      <c r="C686" s="3">
        <v>6792</v>
      </c>
      <c r="D686" s="26">
        <v>0.72145833333333342</v>
      </c>
      <c r="E686" s="26">
        <v>0.74137500000000001</v>
      </c>
      <c r="F686" s="18">
        <v>2.008</v>
      </c>
      <c r="G686" s="18">
        <v>0.64070800132802119</v>
      </c>
      <c r="H686" s="18">
        <v>0.63078934262948205</v>
      </c>
      <c r="I686" s="18">
        <v>9.9186586985391401E-3</v>
      </c>
    </row>
    <row r="687" spans="1:9" x14ac:dyDescent="0.25">
      <c r="A687" s="2">
        <v>43245</v>
      </c>
      <c r="B687" s="4" t="s">
        <v>440</v>
      </c>
      <c r="C687" s="3">
        <v>12720</v>
      </c>
      <c r="D687" s="26">
        <v>0.60899999999999999</v>
      </c>
      <c r="E687" s="26">
        <v>0.5907</v>
      </c>
      <c r="F687" s="18">
        <v>1.4850000000000001</v>
      </c>
      <c r="G687" s="18">
        <v>0.58989898989898992</v>
      </c>
      <c r="H687" s="18">
        <v>0.60222222222222221</v>
      </c>
      <c r="I687" s="18">
        <v>-1.2323232323232292E-2</v>
      </c>
    </row>
    <row r="688" spans="1:9" x14ac:dyDescent="0.25">
      <c r="A688" s="2">
        <v>43245</v>
      </c>
      <c r="B688" s="4" t="s">
        <v>441</v>
      </c>
      <c r="C688" s="3">
        <v>1686</v>
      </c>
      <c r="D688" s="26">
        <v>0.5252</v>
      </c>
      <c r="E688" s="26">
        <v>0.51180000000000003</v>
      </c>
      <c r="F688" s="18">
        <v>1.349</v>
      </c>
      <c r="G688" s="18">
        <v>0.61067457375833956</v>
      </c>
      <c r="H688" s="18">
        <v>0.62060785767234983</v>
      </c>
      <c r="I688" s="18">
        <v>-9.9332839140102713E-3</v>
      </c>
    </row>
    <row r="689" spans="1:9" x14ac:dyDescent="0.25">
      <c r="A689" s="2">
        <v>43245</v>
      </c>
      <c r="B689" s="4" t="s">
        <v>483</v>
      </c>
      <c r="C689" s="3">
        <v>684</v>
      </c>
      <c r="D689" s="26">
        <v>6.0121527777777795E-2</v>
      </c>
      <c r="E689" s="26">
        <v>0.70723333333333338</v>
      </c>
      <c r="F689" s="18">
        <v>1.92</v>
      </c>
      <c r="G689" s="18">
        <v>0.96868670428240733</v>
      </c>
      <c r="H689" s="18">
        <v>0.63164930555555554</v>
      </c>
      <c r="I689" s="18">
        <v>0.3370373987268519</v>
      </c>
    </row>
    <row r="690" spans="1:9" x14ac:dyDescent="0.25">
      <c r="A690" s="2">
        <v>43248</v>
      </c>
      <c r="B690" s="4" t="s">
        <v>101</v>
      </c>
      <c r="C690" s="3">
        <v>40176</v>
      </c>
      <c r="D690" s="26">
        <v>0.71699999999999997</v>
      </c>
      <c r="E690" s="26">
        <v>0.72319999999999995</v>
      </c>
      <c r="F690" s="18">
        <v>1.821</v>
      </c>
      <c r="G690" s="18">
        <v>0.60626029654036251</v>
      </c>
      <c r="H690" s="18">
        <v>0.60285557386051614</v>
      </c>
      <c r="I690" s="18">
        <v>3.404722679846373E-3</v>
      </c>
    </row>
    <row r="691" spans="1:9" x14ac:dyDescent="0.25">
      <c r="A691" s="2">
        <v>43248</v>
      </c>
      <c r="B691" s="4" t="s">
        <v>173</v>
      </c>
      <c r="C691" s="3">
        <v>439</v>
      </c>
      <c r="D691" s="26">
        <v>5.4529999999999994</v>
      </c>
      <c r="E691" s="26">
        <v>6.3067000000000002</v>
      </c>
      <c r="F691" s="18">
        <v>15.074999999999999</v>
      </c>
      <c r="G691" s="18">
        <v>0.63827529021558871</v>
      </c>
      <c r="H691" s="18">
        <v>0.58164510779436152</v>
      </c>
      <c r="I691" s="18">
        <v>5.6630182421227193E-2</v>
      </c>
    </row>
    <row r="692" spans="1:9" x14ac:dyDescent="0.25">
      <c r="A692" s="2">
        <v>43248</v>
      </c>
      <c r="B692" s="4" t="s">
        <v>180</v>
      </c>
      <c r="C692" s="3">
        <v>7616</v>
      </c>
      <c r="D692" s="26">
        <v>0.8145</v>
      </c>
      <c r="E692" s="26">
        <v>1.0714125000000001</v>
      </c>
      <c r="F692" s="18">
        <v>2.496</v>
      </c>
      <c r="G692" s="18">
        <v>0.67367788461538458</v>
      </c>
      <c r="H692" s="18">
        <v>0.5707481971153846</v>
      </c>
      <c r="I692" s="18">
        <v>0.10292968749999998</v>
      </c>
    </row>
    <row r="693" spans="1:9" x14ac:dyDescent="0.25">
      <c r="A693" s="2">
        <v>43248</v>
      </c>
      <c r="B693" s="4" t="s">
        <v>214</v>
      </c>
      <c r="C693" s="3">
        <v>9192</v>
      </c>
      <c r="D693" s="26">
        <v>0.72145833333333342</v>
      </c>
      <c r="E693" s="26">
        <v>0.73394999999999999</v>
      </c>
      <c r="F693" s="18">
        <v>2.008</v>
      </c>
      <c r="G693" s="18">
        <v>0.64070800132802119</v>
      </c>
      <c r="H693" s="18">
        <v>0.6344870517928286</v>
      </c>
      <c r="I693" s="18">
        <v>6.2209495351925881E-3</v>
      </c>
    </row>
    <row r="694" spans="1:9" x14ac:dyDescent="0.25">
      <c r="A694" s="2">
        <v>43248</v>
      </c>
      <c r="B694" s="4" t="s">
        <v>440</v>
      </c>
      <c r="C694" s="3">
        <v>14810</v>
      </c>
      <c r="D694" s="26">
        <v>0.60899999999999999</v>
      </c>
      <c r="E694" s="26">
        <v>0.58879999999999999</v>
      </c>
      <c r="F694" s="18">
        <v>1.4850000000000001</v>
      </c>
      <c r="G694" s="18">
        <v>0.58989898989898992</v>
      </c>
      <c r="H694" s="18">
        <v>0.60350168350168354</v>
      </c>
      <c r="I694" s="18">
        <v>-1.3602693602693616E-2</v>
      </c>
    </row>
    <row r="695" spans="1:9" x14ac:dyDescent="0.25">
      <c r="A695" s="2">
        <v>43249</v>
      </c>
      <c r="B695" s="4" t="s">
        <v>101</v>
      </c>
      <c r="C695" s="3">
        <v>40044</v>
      </c>
      <c r="D695" s="26">
        <v>0.71699999999999997</v>
      </c>
      <c r="E695" s="26">
        <v>0.71409999999999996</v>
      </c>
      <c r="F695" s="18">
        <v>1.821</v>
      </c>
      <c r="G695" s="18">
        <v>0.60626029654036251</v>
      </c>
      <c r="H695" s="18">
        <v>0.60785282811641961</v>
      </c>
      <c r="I695" s="18">
        <v>-1.5925315760570993E-3</v>
      </c>
    </row>
    <row r="696" spans="1:9" x14ac:dyDescent="0.25">
      <c r="A696" s="2">
        <v>43249</v>
      </c>
      <c r="B696" s="4" t="s">
        <v>111</v>
      </c>
      <c r="C696" s="3">
        <v>6680</v>
      </c>
      <c r="D696" s="26">
        <v>1.26413</v>
      </c>
      <c r="E696" s="26">
        <v>1.3236300000000001</v>
      </c>
      <c r="F696" s="18">
        <v>2.8380000000000001</v>
      </c>
      <c r="G696" s="18">
        <v>0.55457011980267801</v>
      </c>
      <c r="H696" s="18">
        <v>0.53360465116279066</v>
      </c>
      <c r="I696" s="18">
        <v>2.0965468639887352E-2</v>
      </c>
    </row>
    <row r="697" spans="1:9" x14ac:dyDescent="0.25">
      <c r="A697" s="2">
        <v>43249</v>
      </c>
      <c r="B697" s="4" t="s">
        <v>173</v>
      </c>
      <c r="C697" s="3">
        <v>1250</v>
      </c>
      <c r="D697" s="26">
        <v>5.4529999999999994</v>
      </c>
      <c r="E697" s="26">
        <v>7.2172999999999998</v>
      </c>
      <c r="F697" s="18">
        <v>15.074999999999999</v>
      </c>
      <c r="G697" s="18">
        <v>0.63827529021558871</v>
      </c>
      <c r="H697" s="18">
        <v>0.52124046434494198</v>
      </c>
      <c r="I697" s="18">
        <v>0.11703482587064672</v>
      </c>
    </row>
    <row r="698" spans="1:9" x14ac:dyDescent="0.25">
      <c r="A698" s="2">
        <v>43249</v>
      </c>
      <c r="B698" s="4" t="s">
        <v>214</v>
      </c>
      <c r="C698" s="3">
        <v>12480</v>
      </c>
      <c r="D698" s="26">
        <v>0.72145833333333342</v>
      </c>
      <c r="E698" s="26">
        <v>0.73083333333333333</v>
      </c>
      <c r="F698" s="18">
        <v>2.008</v>
      </c>
      <c r="G698" s="18">
        <v>0.64070800132802119</v>
      </c>
      <c r="H698" s="18">
        <v>0.63603917662682596</v>
      </c>
      <c r="I698" s="18">
        <v>4.6688247011952289E-3</v>
      </c>
    </row>
    <row r="699" spans="1:9" x14ac:dyDescent="0.25">
      <c r="A699" s="2">
        <v>43249</v>
      </c>
      <c r="B699" s="4" t="s">
        <v>440</v>
      </c>
      <c r="C699" s="3">
        <v>830</v>
      </c>
      <c r="D699" s="26">
        <v>0.60899999999999999</v>
      </c>
      <c r="E699" s="26">
        <v>0.59599999999999997</v>
      </c>
      <c r="F699" s="18">
        <v>1.4850000000000001</v>
      </c>
      <c r="G699" s="18">
        <v>0.58989898989898992</v>
      </c>
      <c r="H699" s="18">
        <v>0.59865319865319866</v>
      </c>
      <c r="I699" s="18">
        <v>-8.7542087542087366E-3</v>
      </c>
    </row>
    <row r="700" spans="1:9" x14ac:dyDescent="0.25">
      <c r="A700" s="2">
        <v>43250</v>
      </c>
      <c r="B700" s="4" t="s">
        <v>99</v>
      </c>
      <c r="C700" s="3">
        <v>7176</v>
      </c>
      <c r="D700" s="26">
        <v>2.5642</v>
      </c>
      <c r="E700" s="26">
        <v>2.5518000000000001</v>
      </c>
      <c r="F700" s="18">
        <v>5.3490000000000002</v>
      </c>
      <c r="G700" s="18">
        <v>0.52062067676201162</v>
      </c>
      <c r="H700" s="18">
        <v>0.52293886707795845</v>
      </c>
      <c r="I700" s="18">
        <v>-2.318190315946822E-3</v>
      </c>
    </row>
    <row r="701" spans="1:9" x14ac:dyDescent="0.25">
      <c r="A701" s="2">
        <v>43250</v>
      </c>
      <c r="B701" s="4" t="s">
        <v>101</v>
      </c>
      <c r="C701" s="3">
        <v>20844</v>
      </c>
      <c r="D701" s="26">
        <v>0.71699999999999997</v>
      </c>
      <c r="E701" s="26">
        <v>0.71650000000000003</v>
      </c>
      <c r="F701" s="18">
        <v>1.821</v>
      </c>
      <c r="G701" s="18">
        <v>0.60626029654036251</v>
      </c>
      <c r="H701" s="18">
        <v>0.60653487095002734</v>
      </c>
      <c r="I701" s="18">
        <v>-2.7457440966482949E-4</v>
      </c>
    </row>
    <row r="702" spans="1:9" x14ac:dyDescent="0.25">
      <c r="A702" s="2">
        <v>43250</v>
      </c>
      <c r="B702" s="4" t="s">
        <v>127</v>
      </c>
      <c r="C702" s="3">
        <v>2808</v>
      </c>
      <c r="D702" s="26">
        <v>0.81426666666666669</v>
      </c>
      <c r="E702" s="26">
        <v>0.87702500000000005</v>
      </c>
      <c r="F702" s="18">
        <v>2.1349999999999998</v>
      </c>
      <c r="G702" s="18">
        <v>0.61861046057767366</v>
      </c>
      <c r="H702" s="18">
        <v>0.58921545667447295</v>
      </c>
      <c r="I702" s="18">
        <v>2.9395003903200712E-2</v>
      </c>
    </row>
    <row r="703" spans="1:9" x14ac:dyDescent="0.25">
      <c r="A703" s="2">
        <v>43250</v>
      </c>
      <c r="B703" s="4" t="s">
        <v>139</v>
      </c>
      <c r="C703" s="3">
        <v>7412</v>
      </c>
      <c r="D703" s="26">
        <v>3.876725</v>
      </c>
      <c r="E703" s="26">
        <v>3.9433500000000001</v>
      </c>
      <c r="F703" s="18">
        <v>8.2110000000000003</v>
      </c>
      <c r="G703" s="18">
        <v>0.52786201437096569</v>
      </c>
      <c r="H703" s="18">
        <v>0.5197478991596638</v>
      </c>
      <c r="I703" s="18">
        <v>8.1141152113018977E-3</v>
      </c>
    </row>
    <row r="704" spans="1:9" x14ac:dyDescent="0.25">
      <c r="A704" s="2">
        <v>43250</v>
      </c>
      <c r="B704" s="4" t="s">
        <v>214</v>
      </c>
      <c r="C704" s="3">
        <v>5004</v>
      </c>
      <c r="D704" s="26">
        <v>0.72145833333333342</v>
      </c>
      <c r="E704" s="26">
        <v>0.7788666666666666</v>
      </c>
      <c r="F704" s="18">
        <v>2.008</v>
      </c>
      <c r="G704" s="18">
        <v>0.64070800132802119</v>
      </c>
      <c r="H704" s="18">
        <v>0.61211819389110234</v>
      </c>
      <c r="I704" s="18">
        <v>2.8589807436918857E-2</v>
      </c>
    </row>
    <row r="705" spans="1:9" x14ac:dyDescent="0.25">
      <c r="A705" s="2">
        <v>43250</v>
      </c>
      <c r="B705" s="4" t="s">
        <v>440</v>
      </c>
      <c r="C705" s="3">
        <v>12010</v>
      </c>
      <c r="D705" s="26">
        <v>0.60899999999999999</v>
      </c>
      <c r="E705" s="26">
        <v>0.68089999999999995</v>
      </c>
      <c r="F705" s="18">
        <v>1.4850000000000001</v>
      </c>
      <c r="G705" s="18">
        <v>0.58989898989898992</v>
      </c>
      <c r="H705" s="18">
        <v>0.54148148148148156</v>
      </c>
      <c r="I705" s="18">
        <v>4.8417508417508359E-2</v>
      </c>
    </row>
    <row r="706" spans="1:9" x14ac:dyDescent="0.25">
      <c r="A706" s="2">
        <v>43251</v>
      </c>
      <c r="B706" s="4" t="s">
        <v>89</v>
      </c>
      <c r="C706" s="3">
        <v>655</v>
      </c>
      <c r="D706" s="26">
        <v>3.9453</v>
      </c>
      <c r="E706" s="26">
        <v>4.0606</v>
      </c>
      <c r="F706" s="18">
        <v>7.28</v>
      </c>
      <c r="G706" s="18">
        <v>0.45806318681318681</v>
      </c>
      <c r="H706" s="18">
        <v>0.44222527472527473</v>
      </c>
      <c r="I706" s="18">
        <v>1.5837912087912076E-2</v>
      </c>
    </row>
    <row r="707" spans="1:9" x14ac:dyDescent="0.25">
      <c r="A707" s="2">
        <v>43251</v>
      </c>
      <c r="B707" s="4" t="s">
        <v>99</v>
      </c>
      <c r="C707" s="3">
        <v>15018</v>
      </c>
      <c r="D707" s="26">
        <v>2.5642</v>
      </c>
      <c r="E707" s="26">
        <v>2.5495000000000001</v>
      </c>
      <c r="F707" s="18">
        <v>5.3490000000000002</v>
      </c>
      <c r="G707" s="18">
        <v>0.52062067676201162</v>
      </c>
      <c r="H707" s="18">
        <v>0.52336885399140021</v>
      </c>
      <c r="I707" s="18">
        <v>-2.748177229388582E-3</v>
      </c>
    </row>
    <row r="708" spans="1:9" x14ac:dyDescent="0.25">
      <c r="A708" s="2">
        <v>43251</v>
      </c>
      <c r="B708" s="4" t="s">
        <v>139</v>
      </c>
      <c r="C708" s="3">
        <v>8004</v>
      </c>
      <c r="D708" s="26">
        <v>3.876725</v>
      </c>
      <c r="E708" s="26">
        <v>3.8242500000000001</v>
      </c>
      <c r="F708" s="18">
        <v>8.2110000000000003</v>
      </c>
      <c r="G708" s="18">
        <v>0.52786201437096569</v>
      </c>
      <c r="H708" s="18">
        <v>0.53425283156740955</v>
      </c>
      <c r="I708" s="18">
        <v>-6.3908171964438543E-3</v>
      </c>
    </row>
    <row r="709" spans="1:9" x14ac:dyDescent="0.25">
      <c r="A709" s="2">
        <v>43251</v>
      </c>
      <c r="B709" s="4" t="s">
        <v>214</v>
      </c>
      <c r="C709" s="3">
        <v>11580</v>
      </c>
      <c r="D709" s="26">
        <v>0.72145833333333342</v>
      </c>
      <c r="E709" s="26">
        <v>0.80704166666666677</v>
      </c>
      <c r="F709" s="18">
        <v>2.008</v>
      </c>
      <c r="G709" s="18">
        <v>0.64070800132802119</v>
      </c>
      <c r="H709" s="18">
        <v>0.59808681938911024</v>
      </c>
      <c r="I709" s="18">
        <v>4.2621181938910957E-2</v>
      </c>
    </row>
    <row r="710" spans="1:9" x14ac:dyDescent="0.25">
      <c r="A710" s="2">
        <v>43251</v>
      </c>
      <c r="B710" s="4" t="s">
        <v>440</v>
      </c>
      <c r="C710" s="3">
        <v>5600</v>
      </c>
      <c r="D710" s="26">
        <v>0.60899999999999999</v>
      </c>
      <c r="E710" s="26">
        <v>0.58260000000000001</v>
      </c>
      <c r="F710" s="18">
        <v>1.4850000000000001</v>
      </c>
      <c r="G710" s="18">
        <v>0.58989898989898992</v>
      </c>
      <c r="H710" s="18">
        <v>0.6076767676767677</v>
      </c>
      <c r="I710" s="18">
        <v>-1.7777777777777781E-2</v>
      </c>
    </row>
    <row r="711" spans="1:9" x14ac:dyDescent="0.25">
      <c r="A711" s="2">
        <v>43251</v>
      </c>
      <c r="B711" s="4" t="s">
        <v>441</v>
      </c>
      <c r="C711" s="3">
        <v>2772</v>
      </c>
      <c r="D711" s="26">
        <v>0.5252</v>
      </c>
      <c r="E711" s="26">
        <v>0.55149999999999999</v>
      </c>
      <c r="F711" s="18">
        <v>1.349</v>
      </c>
      <c r="G711" s="18">
        <v>0.61067457375833956</v>
      </c>
      <c r="H711" s="18">
        <v>0.59117865085248333</v>
      </c>
      <c r="I711" s="18">
        <v>1.9495922905856226E-2</v>
      </c>
    </row>
    <row r="712" spans="1:9" x14ac:dyDescent="0.25">
      <c r="A712" s="2">
        <v>43255</v>
      </c>
      <c r="B712" s="4" t="s">
        <v>197</v>
      </c>
      <c r="C712" s="3">
        <v>1002</v>
      </c>
      <c r="D712" s="26">
        <v>1.3581500000000002</v>
      </c>
      <c r="E712" s="26">
        <v>1.5338000000000001</v>
      </c>
      <c r="F712" s="18">
        <v>4.7610000000000001</v>
      </c>
      <c r="G712" s="18">
        <v>0.71473429951690814</v>
      </c>
      <c r="H712" s="18">
        <v>0.67784078975005246</v>
      </c>
      <c r="I712" s="18">
        <v>3.6893509766855681E-2</v>
      </c>
    </row>
    <row r="713" spans="1:9" x14ac:dyDescent="0.25">
      <c r="A713" s="2">
        <v>43255</v>
      </c>
      <c r="B713" s="4" t="s">
        <v>206</v>
      </c>
      <c r="C713" s="3">
        <v>7500</v>
      </c>
      <c r="D713" s="26">
        <v>0.45295000000000002</v>
      </c>
      <c r="E713" s="26">
        <v>0.48180000000000001</v>
      </c>
      <c r="F713" s="18">
        <v>1.526</v>
      </c>
      <c r="G713" s="18">
        <v>0.70317824377457405</v>
      </c>
      <c r="H713" s="18">
        <v>0.68427260812581914</v>
      </c>
      <c r="I713" s="18">
        <v>1.8905635648754915E-2</v>
      </c>
    </row>
    <row r="714" spans="1:9" x14ac:dyDescent="0.25">
      <c r="A714" s="2">
        <v>43255</v>
      </c>
      <c r="B714" s="4" t="s">
        <v>214</v>
      </c>
      <c r="C714" s="3">
        <v>9420</v>
      </c>
      <c r="D714" s="26">
        <v>0.63339999999999996</v>
      </c>
      <c r="E714" s="26">
        <v>0.86478333333333324</v>
      </c>
      <c r="F714" s="18">
        <v>1.8759999999999999</v>
      </c>
      <c r="G714" s="18">
        <v>0.66236673773987209</v>
      </c>
      <c r="H714" s="18">
        <v>0.5390280739161335</v>
      </c>
      <c r="I714" s="18">
        <v>0.12333866382373861</v>
      </c>
    </row>
    <row r="715" spans="1:9" x14ac:dyDescent="0.25">
      <c r="A715" s="2">
        <v>43255</v>
      </c>
      <c r="B715" s="4" t="s">
        <v>440</v>
      </c>
      <c r="C715" s="3">
        <v>6470</v>
      </c>
      <c r="D715" s="26">
        <v>0.58772000000000002</v>
      </c>
      <c r="E715" s="26">
        <v>0.59989999999999999</v>
      </c>
      <c r="F715" s="18">
        <v>1.4850000000000001</v>
      </c>
      <c r="G715" s="18">
        <v>0.60422895622895623</v>
      </c>
      <c r="H715" s="18">
        <v>0.59602693602693602</v>
      </c>
      <c r="I715" s="18">
        <v>8.2020202020202104E-3</v>
      </c>
    </row>
    <row r="716" spans="1:9" x14ac:dyDescent="0.25">
      <c r="A716" s="2">
        <v>43255</v>
      </c>
      <c r="B716" s="4" t="s">
        <v>442</v>
      </c>
      <c r="C716" s="3">
        <v>20250</v>
      </c>
      <c r="D716" s="26">
        <v>0.60636666666666661</v>
      </c>
      <c r="E716" s="26">
        <v>0.70458333333333334</v>
      </c>
      <c r="F716" s="18">
        <v>1.4750000000000001</v>
      </c>
      <c r="G716" s="18">
        <v>0.58890395480225999</v>
      </c>
      <c r="H716" s="18">
        <v>0.52231638418079096</v>
      </c>
      <c r="I716" s="18">
        <v>6.6587570621469028E-2</v>
      </c>
    </row>
    <row r="717" spans="1:9" x14ac:dyDescent="0.25">
      <c r="A717" s="2">
        <v>43256</v>
      </c>
      <c r="B717" s="4" t="s">
        <v>116</v>
      </c>
      <c r="C717" s="3">
        <v>4352</v>
      </c>
      <c r="D717" s="26">
        <v>3.1036999999999999</v>
      </c>
      <c r="E717" s="26">
        <v>3.2484999999999999</v>
      </c>
      <c r="F717" s="18">
        <v>8.1910000000000007</v>
      </c>
      <c r="G717" s="18">
        <v>0.62108411671346608</v>
      </c>
      <c r="H717" s="18">
        <v>0.6034061775119034</v>
      </c>
      <c r="I717" s="18">
        <v>1.7677939201562687E-2</v>
      </c>
    </row>
    <row r="718" spans="1:9" x14ac:dyDescent="0.25">
      <c r="A718" s="2">
        <v>43256</v>
      </c>
      <c r="B718" s="4" t="s">
        <v>188</v>
      </c>
      <c r="C718" s="3">
        <v>1332</v>
      </c>
      <c r="D718" s="26">
        <v>1.7956666666666663</v>
      </c>
      <c r="E718" s="26">
        <v>1.8478000000000001</v>
      </c>
      <c r="F718" s="18">
        <v>9.1620000000000008</v>
      </c>
      <c r="G718" s="18">
        <v>0.80400931383249663</v>
      </c>
      <c r="H718" s="18">
        <v>0.79831914429163942</v>
      </c>
      <c r="I718" s="18">
        <v>5.690169540857215E-3</v>
      </c>
    </row>
    <row r="719" spans="1:9" x14ac:dyDescent="0.25">
      <c r="A719" s="2">
        <v>43256</v>
      </c>
      <c r="B719" s="4" t="s">
        <v>214</v>
      </c>
      <c r="C719" s="3">
        <v>8784</v>
      </c>
      <c r="D719" s="26">
        <v>0.63339999999999996</v>
      </c>
      <c r="E719" s="26">
        <v>0.79637500000000006</v>
      </c>
      <c r="F719" s="18">
        <v>1.8759999999999999</v>
      </c>
      <c r="G719" s="18">
        <v>0.66236673773987209</v>
      </c>
      <c r="H719" s="18">
        <v>0.57549307036247344</v>
      </c>
      <c r="I719" s="18">
        <v>8.6873667377398656E-2</v>
      </c>
    </row>
    <row r="720" spans="1:9" x14ac:dyDescent="0.25">
      <c r="A720" s="2">
        <v>43256</v>
      </c>
      <c r="B720" s="4" t="s">
        <v>442</v>
      </c>
      <c r="C720" s="3">
        <v>25380</v>
      </c>
      <c r="D720" s="26">
        <v>0.60636666666666661</v>
      </c>
      <c r="E720" s="26">
        <v>0.76621666666666677</v>
      </c>
      <c r="F720" s="18">
        <v>1.4750000000000001</v>
      </c>
      <c r="G720" s="18">
        <v>0.58890395480225999</v>
      </c>
      <c r="H720" s="18">
        <v>0.48053107344632778</v>
      </c>
      <c r="I720" s="18">
        <v>0.10837288135593226</v>
      </c>
    </row>
    <row r="721" spans="1:9" x14ac:dyDescent="0.25">
      <c r="A721" s="2">
        <v>43256</v>
      </c>
      <c r="B721" s="4" t="s">
        <v>430</v>
      </c>
      <c r="C721" s="3">
        <v>6210</v>
      </c>
      <c r="D721" s="26">
        <v>2.8742000000000001</v>
      </c>
      <c r="E721" s="26">
        <v>3.1895833333333332</v>
      </c>
      <c r="F721" s="18">
        <v>7.4450000000000003</v>
      </c>
      <c r="G721" s="18">
        <v>0.61394224311618539</v>
      </c>
      <c r="H721" s="18">
        <v>0.57158047906872622</v>
      </c>
      <c r="I721" s="18">
        <v>4.2361764047459165E-2</v>
      </c>
    </row>
    <row r="722" spans="1:9" x14ac:dyDescent="0.25">
      <c r="A722" s="2">
        <v>43257</v>
      </c>
      <c r="B722" s="4" t="s">
        <v>88</v>
      </c>
      <c r="C722" s="3">
        <v>1330</v>
      </c>
      <c r="D722" s="26">
        <v>4.0698999999999996</v>
      </c>
      <c r="E722" s="26">
        <v>3.7309000000000001</v>
      </c>
      <c r="F722" s="18">
        <v>7.98</v>
      </c>
      <c r="G722" s="18">
        <v>0.4899874686716793</v>
      </c>
      <c r="H722" s="18">
        <v>0.53246867167919798</v>
      </c>
      <c r="I722" s="18">
        <v>-4.2481203007518731E-2</v>
      </c>
    </row>
    <row r="723" spans="1:9" x14ac:dyDescent="0.25">
      <c r="A723" s="2">
        <v>43257</v>
      </c>
      <c r="B723" s="4" t="s">
        <v>89</v>
      </c>
      <c r="C723" s="3">
        <v>1461</v>
      </c>
      <c r="D723" s="26">
        <v>3.2515000000000001</v>
      </c>
      <c r="E723" s="26">
        <v>3.8761000000000001</v>
      </c>
      <c r="F723" s="18">
        <v>7.569</v>
      </c>
      <c r="G723" s="18">
        <v>0.57041881358171487</v>
      </c>
      <c r="H723" s="18">
        <v>0.48789800502047825</v>
      </c>
      <c r="I723" s="18">
        <v>8.2520808561236614E-2</v>
      </c>
    </row>
    <row r="724" spans="1:9" x14ac:dyDescent="0.25">
      <c r="A724" s="2">
        <v>43257</v>
      </c>
      <c r="B724" s="4" t="s">
        <v>116</v>
      </c>
      <c r="C724" s="3">
        <v>3982</v>
      </c>
      <c r="D724" s="26">
        <v>3.1036999999999999</v>
      </c>
      <c r="E724" s="26">
        <v>3.1120999999999999</v>
      </c>
      <c r="F724" s="18">
        <v>8.1910000000000007</v>
      </c>
      <c r="G724" s="18">
        <v>0.62108411671346608</v>
      </c>
      <c r="H724" s="18">
        <v>0.62005860090343068</v>
      </c>
      <c r="I724" s="18">
        <v>1.0255158100354045E-3</v>
      </c>
    </row>
    <row r="725" spans="1:9" x14ac:dyDescent="0.25">
      <c r="A725" s="2">
        <v>43257</v>
      </c>
      <c r="B725" s="4" t="s">
        <v>173</v>
      </c>
      <c r="C725" s="3">
        <v>51</v>
      </c>
      <c r="D725" s="26">
        <v>5.5087000000000002</v>
      </c>
      <c r="E725" s="26">
        <v>7.1856</v>
      </c>
      <c r="F725" s="18">
        <v>15.353</v>
      </c>
      <c r="G725" s="18">
        <v>0.6411971601641373</v>
      </c>
      <c r="H725" s="18">
        <v>0.53197420699537556</v>
      </c>
      <c r="I725" s="18">
        <v>0.10922295316876174</v>
      </c>
    </row>
    <row r="726" spans="1:9" x14ac:dyDescent="0.25">
      <c r="A726" s="2">
        <v>43257</v>
      </c>
      <c r="B726" s="4" t="s">
        <v>214</v>
      </c>
      <c r="C726" s="3">
        <v>11712</v>
      </c>
      <c r="D726" s="26">
        <v>0.63339999999999996</v>
      </c>
      <c r="E726" s="26">
        <v>0.76770833333333333</v>
      </c>
      <c r="F726" s="18">
        <v>1.8759999999999999</v>
      </c>
      <c r="G726" s="18">
        <v>0.66236673773987209</v>
      </c>
      <c r="H726" s="18">
        <v>0.59077380952380953</v>
      </c>
      <c r="I726" s="18">
        <v>7.1592928216062557E-2</v>
      </c>
    </row>
    <row r="727" spans="1:9" x14ac:dyDescent="0.25">
      <c r="A727" s="2">
        <v>43257</v>
      </c>
      <c r="B727" s="4" t="s">
        <v>442</v>
      </c>
      <c r="C727" s="3">
        <v>27090</v>
      </c>
      <c r="D727" s="26">
        <v>0.60636666666666661</v>
      </c>
      <c r="E727" s="26">
        <v>0.69223333333333337</v>
      </c>
      <c r="F727" s="18">
        <v>1.4750000000000001</v>
      </c>
      <c r="G727" s="18">
        <v>0.58890395480225999</v>
      </c>
      <c r="H727" s="18">
        <v>0.53068926553672313</v>
      </c>
      <c r="I727" s="18">
        <v>5.8214689265536856E-2</v>
      </c>
    </row>
    <row r="728" spans="1:9" x14ac:dyDescent="0.25">
      <c r="A728" s="2">
        <v>43258</v>
      </c>
      <c r="B728" s="4" t="s">
        <v>39</v>
      </c>
      <c r="C728" s="3">
        <v>129</v>
      </c>
      <c r="D728" s="26">
        <v>4.9366000000000003</v>
      </c>
      <c r="E728" s="26">
        <v>5.6369999999999996</v>
      </c>
      <c r="F728" s="18">
        <v>14.951000000000001</v>
      </c>
      <c r="G728" s="18">
        <v>0.66981472811183196</v>
      </c>
      <c r="H728" s="18">
        <v>0.62296836332017924</v>
      </c>
      <c r="I728" s="18">
        <v>4.6846364791652717E-2</v>
      </c>
    </row>
    <row r="729" spans="1:9" x14ac:dyDescent="0.25">
      <c r="A729" s="2">
        <v>43258</v>
      </c>
      <c r="B729" s="4" t="s">
        <v>140</v>
      </c>
      <c r="C729" s="3">
        <v>5588</v>
      </c>
      <c r="D729" s="26">
        <v>3.5828000000000002</v>
      </c>
      <c r="E729" s="26">
        <v>3.5303249999999999</v>
      </c>
      <c r="F729" s="18">
        <v>9.3260000000000005</v>
      </c>
      <c r="G729" s="18">
        <v>0.61582672099506752</v>
      </c>
      <c r="H729" s="18">
        <v>0.62145346343555663</v>
      </c>
      <c r="I729" s="18">
        <v>-5.6267424404891075E-3</v>
      </c>
    </row>
    <row r="730" spans="1:9" x14ac:dyDescent="0.25">
      <c r="A730" s="2">
        <v>43258</v>
      </c>
      <c r="B730" s="4" t="s">
        <v>150</v>
      </c>
      <c r="C730" s="3">
        <v>13770</v>
      </c>
      <c r="D730" s="26">
        <v>0.83291666666666653</v>
      </c>
      <c r="E730" s="26">
        <v>0.8293666666666667</v>
      </c>
      <c r="F730" s="18">
        <v>2.0830000000000002</v>
      </c>
      <c r="G730" s="18">
        <v>0.60013602176348213</v>
      </c>
      <c r="H730" s="18">
        <v>0.60184029444711162</v>
      </c>
      <c r="I730" s="18">
        <v>-1.704272683629493E-3</v>
      </c>
    </row>
    <row r="731" spans="1:9" x14ac:dyDescent="0.25">
      <c r="A731" s="2">
        <v>43258</v>
      </c>
      <c r="B731" s="4" t="s">
        <v>214</v>
      </c>
      <c r="C731" s="3">
        <v>9588</v>
      </c>
      <c r="D731" s="26">
        <v>0.72145833333333342</v>
      </c>
      <c r="E731" s="26">
        <v>0.74511666666666676</v>
      </c>
      <c r="F731" s="18">
        <v>1.8759999999999999</v>
      </c>
      <c r="G731" s="18">
        <v>0.61542732764747676</v>
      </c>
      <c r="H731" s="18">
        <v>0.60281627576403696</v>
      </c>
      <c r="I731" s="18">
        <v>1.2611051883439806E-2</v>
      </c>
    </row>
    <row r="732" spans="1:9" x14ac:dyDescent="0.25">
      <c r="A732" s="2">
        <v>43258</v>
      </c>
      <c r="B732" s="4" t="s">
        <v>442</v>
      </c>
      <c r="C732" s="3">
        <v>27414</v>
      </c>
      <c r="D732" s="26">
        <v>0.60658333333333336</v>
      </c>
      <c r="E732" s="26">
        <v>0.65268333333333339</v>
      </c>
      <c r="F732" s="18">
        <v>1.4750000000000001</v>
      </c>
      <c r="G732" s="18">
        <v>0.58875706214689261</v>
      </c>
      <c r="H732" s="18">
        <v>0.55750282485875702</v>
      </c>
      <c r="I732" s="18">
        <v>3.1254237288135589E-2</v>
      </c>
    </row>
    <row r="733" spans="1:9" x14ac:dyDescent="0.25">
      <c r="A733" s="2">
        <v>43259</v>
      </c>
      <c r="B733" s="4" t="s">
        <v>33</v>
      </c>
      <c r="C733" s="3">
        <v>252</v>
      </c>
      <c r="D733" s="26">
        <v>4.4462000000000002</v>
      </c>
      <c r="E733" s="26">
        <v>3.9026000000000001</v>
      </c>
      <c r="F733" s="18">
        <v>10.747999999999999</v>
      </c>
      <c r="G733" s="18">
        <v>0.58632303684406395</v>
      </c>
      <c r="H733" s="18">
        <v>0.63689988835132116</v>
      </c>
      <c r="I733" s="18">
        <v>-5.0576851507257214E-2</v>
      </c>
    </row>
    <row r="734" spans="1:9" x14ac:dyDescent="0.25">
      <c r="A734" s="2">
        <v>43259</v>
      </c>
      <c r="B734" s="4" t="s">
        <v>88</v>
      </c>
      <c r="C734" s="3">
        <v>474</v>
      </c>
      <c r="D734" s="26">
        <v>4.1670999999999996</v>
      </c>
      <c r="E734" s="26">
        <v>3.8649</v>
      </c>
      <c r="F734" s="18">
        <v>7.98</v>
      </c>
      <c r="G734" s="18">
        <v>0.47780701754385974</v>
      </c>
      <c r="H734" s="18">
        <v>0.51567669172932329</v>
      </c>
      <c r="I734" s="18">
        <v>-3.7869674185463553E-2</v>
      </c>
    </row>
    <row r="735" spans="1:9" x14ac:dyDescent="0.25">
      <c r="A735" s="2">
        <v>43259</v>
      </c>
      <c r="B735" s="4" t="s">
        <v>123</v>
      </c>
      <c r="C735" s="3">
        <v>968</v>
      </c>
      <c r="D735" s="26">
        <v>4.4780999999999995</v>
      </c>
      <c r="E735" s="26">
        <v>3.4512999999999998</v>
      </c>
      <c r="F735" s="18">
        <v>9.8170000000000002</v>
      </c>
      <c r="G735" s="18">
        <v>0.54384231435265362</v>
      </c>
      <c r="H735" s="18">
        <v>0.64843638586126107</v>
      </c>
      <c r="I735" s="18">
        <v>-0.10459407150860744</v>
      </c>
    </row>
    <row r="736" spans="1:9" x14ac:dyDescent="0.25">
      <c r="A736" s="2">
        <v>43259</v>
      </c>
      <c r="B736" s="4" t="s">
        <v>150</v>
      </c>
      <c r="C736" s="3">
        <v>8916</v>
      </c>
      <c r="D736" s="26">
        <v>0.83291666666666653</v>
      </c>
      <c r="E736" s="26">
        <v>0.85736666666666661</v>
      </c>
      <c r="F736" s="18">
        <v>2.0830000000000002</v>
      </c>
      <c r="G736" s="18">
        <v>0.60013602176348213</v>
      </c>
      <c r="H736" s="18">
        <v>0.58839814370299259</v>
      </c>
      <c r="I736" s="18">
        <v>1.1737878060489535E-2</v>
      </c>
    </row>
    <row r="737" spans="1:9" x14ac:dyDescent="0.25">
      <c r="A737" s="2">
        <v>43259</v>
      </c>
      <c r="B737" s="4" t="s">
        <v>214</v>
      </c>
      <c r="C737" s="3">
        <v>9852</v>
      </c>
      <c r="D737" s="26">
        <v>0.72145833333333342</v>
      </c>
      <c r="E737" s="26">
        <v>0.83164999999999989</v>
      </c>
      <c r="F737" s="18">
        <v>1.8759999999999999</v>
      </c>
      <c r="G737" s="18">
        <v>0.61542732764747676</v>
      </c>
      <c r="H737" s="18">
        <v>0.5566897654584223</v>
      </c>
      <c r="I737" s="18">
        <v>5.873756218905446E-2</v>
      </c>
    </row>
    <row r="738" spans="1:9" x14ac:dyDescent="0.25">
      <c r="A738" s="2">
        <v>43259</v>
      </c>
      <c r="B738" s="4" t="s">
        <v>442</v>
      </c>
      <c r="C738" s="3">
        <v>27660</v>
      </c>
      <c r="D738" s="26">
        <v>0.60658333333333336</v>
      </c>
      <c r="E738" s="26">
        <v>0.6671999999999999</v>
      </c>
      <c r="F738" s="18">
        <v>1.4750000000000001</v>
      </c>
      <c r="G738" s="18">
        <v>0.58875706214689261</v>
      </c>
      <c r="H738" s="18">
        <v>0.54766101694915259</v>
      </c>
      <c r="I738" s="18">
        <v>4.1096045197740017E-2</v>
      </c>
    </row>
    <row r="739" spans="1:9" x14ac:dyDescent="0.25">
      <c r="A739" s="2">
        <v>43262</v>
      </c>
      <c r="B739" s="4" t="s">
        <v>88</v>
      </c>
      <c r="C739" s="3">
        <v>2194</v>
      </c>
      <c r="D739" s="26">
        <v>4.1670999999999996</v>
      </c>
      <c r="E739" s="26">
        <v>3.8311000000000002</v>
      </c>
      <c r="F739" s="18">
        <v>7.98</v>
      </c>
      <c r="G739" s="18">
        <v>0.47780701754385974</v>
      </c>
      <c r="H739" s="18">
        <v>0.51991228070175444</v>
      </c>
      <c r="I739" s="18">
        <v>-4.2105263157894701E-2</v>
      </c>
    </row>
    <row r="740" spans="1:9" x14ac:dyDescent="0.25">
      <c r="A740" s="2">
        <v>43262</v>
      </c>
      <c r="B740" s="4" t="s">
        <v>99</v>
      </c>
      <c r="C740" s="3">
        <v>14862</v>
      </c>
      <c r="D740" s="26">
        <v>2.5642</v>
      </c>
      <c r="E740" s="26">
        <v>2.6949999999999998</v>
      </c>
      <c r="F740" s="18">
        <v>5.3940000000000001</v>
      </c>
      <c r="G740" s="18">
        <v>0.52461994809047086</v>
      </c>
      <c r="H740" s="18">
        <v>0.50037078235076016</v>
      </c>
      <c r="I740" s="18">
        <v>2.4249165739710699E-2</v>
      </c>
    </row>
    <row r="741" spans="1:9" x14ac:dyDescent="0.25">
      <c r="A741" s="2">
        <v>43262</v>
      </c>
      <c r="B741" s="4" t="s">
        <v>150</v>
      </c>
      <c r="C741" s="3">
        <v>13410</v>
      </c>
      <c r="D741" s="26">
        <v>0.83291666666666653</v>
      </c>
      <c r="E741" s="26">
        <v>0.86901666666666677</v>
      </c>
      <c r="F741" s="18">
        <v>2.0830000000000002</v>
      </c>
      <c r="G741" s="18">
        <v>0.60013602176348213</v>
      </c>
      <c r="H741" s="18">
        <v>0.58280524883981444</v>
      </c>
      <c r="I741" s="18">
        <v>1.7330772923667692E-2</v>
      </c>
    </row>
    <row r="742" spans="1:9" x14ac:dyDescent="0.25">
      <c r="A742" s="2">
        <v>43262</v>
      </c>
      <c r="B742" s="4" t="s">
        <v>440</v>
      </c>
      <c r="C742" s="3">
        <v>17460</v>
      </c>
      <c r="D742" s="26">
        <v>0.60899999999999999</v>
      </c>
      <c r="E742" s="26">
        <v>0.61890000000000001</v>
      </c>
      <c r="F742" s="18">
        <v>1.4850000000000001</v>
      </c>
      <c r="G742" s="18">
        <v>0.58989898989898992</v>
      </c>
      <c r="H742" s="18">
        <v>0.58323232323232321</v>
      </c>
      <c r="I742" s="18">
        <v>6.6666666666667096E-3</v>
      </c>
    </row>
    <row r="743" spans="1:9" x14ac:dyDescent="0.25">
      <c r="A743" s="2">
        <v>43263</v>
      </c>
      <c r="B743" s="4" t="s">
        <v>90</v>
      </c>
      <c r="C743" s="3">
        <v>13644</v>
      </c>
      <c r="D743" s="26">
        <v>0.72709999999999997</v>
      </c>
      <c r="E743" s="26">
        <v>0.70650833333333329</v>
      </c>
      <c r="F743" s="18">
        <v>1.8220000000000001</v>
      </c>
      <c r="G743" s="18">
        <v>0.60093304061470909</v>
      </c>
      <c r="H743" s="18">
        <v>0.61223472374679844</v>
      </c>
      <c r="I743" s="18">
        <v>-1.1301683132089346E-2</v>
      </c>
    </row>
    <row r="744" spans="1:9" x14ac:dyDescent="0.25">
      <c r="A744" s="2">
        <v>43263</v>
      </c>
      <c r="B744" s="4" t="s">
        <v>101</v>
      </c>
      <c r="C744" s="3">
        <v>39936</v>
      </c>
      <c r="D744" s="26">
        <v>0.71699999999999997</v>
      </c>
      <c r="E744" s="26">
        <v>0.70440000000000003</v>
      </c>
      <c r="F744" s="18">
        <v>1.835</v>
      </c>
      <c r="G744" s="18">
        <v>0.60926430517711161</v>
      </c>
      <c r="H744" s="18">
        <v>0.61613079019073558</v>
      </c>
      <c r="I744" s="18">
        <v>-6.8664850136239686E-3</v>
      </c>
    </row>
    <row r="745" spans="1:9" x14ac:dyDescent="0.25">
      <c r="A745" s="2">
        <v>43263</v>
      </c>
      <c r="B745" s="4" t="s">
        <v>177</v>
      </c>
      <c r="C745" s="3">
        <v>9900</v>
      </c>
      <c r="D745" s="26">
        <v>0.9587</v>
      </c>
      <c r="E745" s="26">
        <v>1.0470833333333334</v>
      </c>
      <c r="F745" s="18">
        <v>2.5299999999999998</v>
      </c>
      <c r="G745" s="18">
        <v>0.62106719367588936</v>
      </c>
      <c r="H745" s="18">
        <v>0.58613306982872193</v>
      </c>
      <c r="I745" s="18">
        <v>3.4934123847167431E-2</v>
      </c>
    </row>
    <row r="746" spans="1:9" x14ac:dyDescent="0.25">
      <c r="A746" s="2">
        <v>43263</v>
      </c>
      <c r="B746" s="4" t="s">
        <v>214</v>
      </c>
      <c r="C746" s="3">
        <v>9204</v>
      </c>
      <c r="D746" s="26">
        <v>0.72145833333333342</v>
      </c>
      <c r="E746" s="26">
        <v>0.6997916666666667</v>
      </c>
      <c r="F746" s="18">
        <v>1.8759999999999999</v>
      </c>
      <c r="G746" s="18">
        <v>0.61542732764747676</v>
      </c>
      <c r="H746" s="18">
        <v>0.62697672352523104</v>
      </c>
      <c r="I746" s="18">
        <v>-1.1549395877754276E-2</v>
      </c>
    </row>
    <row r="747" spans="1:9" x14ac:dyDescent="0.25">
      <c r="A747" s="2">
        <v>43264</v>
      </c>
      <c r="B747" s="4" t="s">
        <v>443</v>
      </c>
      <c r="C747" s="3">
        <v>122</v>
      </c>
      <c r="D747" s="26">
        <v>12.991300000000001</v>
      </c>
      <c r="E747" s="26">
        <v>10.0974</v>
      </c>
      <c r="F747" s="18">
        <v>39.697000000000003</v>
      </c>
      <c r="G747" s="18">
        <v>0.67273849409275255</v>
      </c>
      <c r="H747" s="18">
        <v>0.7456382094364814</v>
      </c>
      <c r="I747" s="18">
        <v>-7.2899715343728855E-2</v>
      </c>
    </row>
    <row r="748" spans="1:9" x14ac:dyDescent="0.25">
      <c r="A748" s="2">
        <v>43264</v>
      </c>
      <c r="B748" s="4" t="s">
        <v>104</v>
      </c>
      <c r="C748" s="3">
        <v>1402</v>
      </c>
      <c r="D748" s="26">
        <v>7.2111999999999998</v>
      </c>
      <c r="E748" s="26">
        <v>8.6130999999999993</v>
      </c>
      <c r="F748" s="18">
        <v>21.815000000000001</v>
      </c>
      <c r="G748" s="18">
        <v>0.66943845977538396</v>
      </c>
      <c r="H748" s="18">
        <v>0.60517533807013524</v>
      </c>
      <c r="I748" s="18">
        <v>6.4263121705248727E-2</v>
      </c>
    </row>
    <row r="749" spans="1:9" x14ac:dyDescent="0.25">
      <c r="A749" s="2">
        <v>43264</v>
      </c>
      <c r="B749" s="4" t="s">
        <v>162</v>
      </c>
      <c r="C749" s="3">
        <v>12840</v>
      </c>
      <c r="D749" s="26">
        <v>0.65338333333333332</v>
      </c>
      <c r="E749" s="26">
        <v>0.81311666666666671</v>
      </c>
      <c r="F749" s="18">
        <v>2.2949999999999999</v>
      </c>
      <c r="G749" s="18">
        <v>0.7153013798111838</v>
      </c>
      <c r="H749" s="18">
        <v>0.64570079883805376</v>
      </c>
      <c r="I749" s="18">
        <v>6.9600580973130044E-2</v>
      </c>
    </row>
    <row r="750" spans="1:9" x14ac:dyDescent="0.25">
      <c r="A750" s="2">
        <v>43264</v>
      </c>
      <c r="B750" s="4" t="s">
        <v>192</v>
      </c>
      <c r="C750" s="3">
        <v>8192</v>
      </c>
      <c r="D750" s="26">
        <v>0.80956249999999996</v>
      </c>
      <c r="E750" s="26">
        <v>0.96586249999999996</v>
      </c>
      <c r="F750" s="18">
        <v>2.5270000000000001</v>
      </c>
      <c r="G750" s="18">
        <v>0.67963494261970725</v>
      </c>
      <c r="H750" s="18">
        <v>0.61778294420261182</v>
      </c>
      <c r="I750" s="18">
        <v>6.1851998417095433E-2</v>
      </c>
    </row>
    <row r="751" spans="1:9" x14ac:dyDescent="0.25">
      <c r="A751" s="2">
        <v>43264</v>
      </c>
      <c r="B751" s="4" t="s">
        <v>193</v>
      </c>
      <c r="C751" s="3">
        <v>440</v>
      </c>
      <c r="D751" s="26">
        <v>5.3124000000000002</v>
      </c>
      <c r="E751" s="26">
        <v>5.3040000000000003</v>
      </c>
      <c r="F751" s="18">
        <v>12.500999999999999</v>
      </c>
      <c r="G751" s="18">
        <v>0.57504199664026878</v>
      </c>
      <c r="H751" s="18">
        <v>0.57571394288456923</v>
      </c>
      <c r="I751" s="18">
        <v>-6.7194624430044758E-4</v>
      </c>
    </row>
    <row r="752" spans="1:9" x14ac:dyDescent="0.25">
      <c r="A752" s="2">
        <v>43264</v>
      </c>
      <c r="B752" s="4" t="s">
        <v>214</v>
      </c>
      <c r="C752" s="3">
        <v>9564</v>
      </c>
      <c r="D752" s="26">
        <v>0.72145833333333342</v>
      </c>
      <c r="E752" s="26">
        <v>0.79656666666666676</v>
      </c>
      <c r="F752" s="18">
        <v>1.8759999999999999</v>
      </c>
      <c r="G752" s="18">
        <v>0.61542732764747676</v>
      </c>
      <c r="H752" s="18">
        <v>0.5753909026297086</v>
      </c>
      <c r="I752" s="18">
        <v>4.0036425017768162E-2</v>
      </c>
    </row>
    <row r="753" spans="1:9" x14ac:dyDescent="0.25">
      <c r="A753" s="2">
        <v>43264</v>
      </c>
      <c r="B753" s="4" t="s">
        <v>224</v>
      </c>
      <c r="C753" s="3">
        <v>556</v>
      </c>
      <c r="D753" s="26">
        <v>6.4832000000000001</v>
      </c>
      <c r="E753" s="26">
        <v>6.2077</v>
      </c>
      <c r="F753" s="18">
        <v>18.707000000000001</v>
      </c>
      <c r="G753" s="18">
        <v>0.65343454321911587</v>
      </c>
      <c r="H753" s="18">
        <v>0.66816165071898226</v>
      </c>
      <c r="I753" s="18">
        <v>-1.4727107499866388E-2</v>
      </c>
    </row>
    <row r="754" spans="1:9" x14ac:dyDescent="0.25">
      <c r="A754" s="2">
        <v>43265</v>
      </c>
      <c r="B754" s="4" t="s">
        <v>172</v>
      </c>
      <c r="C754" s="3">
        <v>2048</v>
      </c>
      <c r="D754" s="26">
        <v>2.3114750000000002</v>
      </c>
      <c r="E754" s="26">
        <v>2.7269999999999999</v>
      </c>
      <c r="F754" s="18">
        <v>6.5002500000000003</v>
      </c>
      <c r="G754" s="18">
        <v>0.64440213837929305</v>
      </c>
      <c r="H754" s="18">
        <v>0.58047767393561789</v>
      </c>
      <c r="I754" s="18">
        <v>6.3924464443675166E-2</v>
      </c>
    </row>
    <row r="755" spans="1:9" x14ac:dyDescent="0.25">
      <c r="A755" s="2">
        <v>43265</v>
      </c>
      <c r="B755" s="4" t="s">
        <v>181</v>
      </c>
      <c r="C755" s="3">
        <v>4592</v>
      </c>
      <c r="D755" s="26">
        <v>2.3965749999999999</v>
      </c>
      <c r="E755" s="26">
        <v>2.6863000000000001</v>
      </c>
      <c r="F755" s="18">
        <v>7.2270000000000003</v>
      </c>
      <c r="G755" s="18">
        <v>0.66838591393385915</v>
      </c>
      <c r="H755" s="18">
        <v>0.62829666528296668</v>
      </c>
      <c r="I755" s="18">
        <v>4.0089248650892473E-2</v>
      </c>
    </row>
    <row r="756" spans="1:9" x14ac:dyDescent="0.25">
      <c r="A756" s="2">
        <v>43265</v>
      </c>
      <c r="B756" s="4" t="s">
        <v>230</v>
      </c>
      <c r="C756" s="3">
        <v>35328</v>
      </c>
      <c r="D756" s="26">
        <v>0.55530000000000002</v>
      </c>
      <c r="E756" s="26">
        <v>0.54894999999999994</v>
      </c>
      <c r="F756" s="18">
        <v>1.57</v>
      </c>
      <c r="G756" s="18">
        <v>0.64630573248407641</v>
      </c>
      <c r="H756" s="18">
        <v>0.65035031847133773</v>
      </c>
      <c r="I756" s="18">
        <v>-4.0445859872613177E-3</v>
      </c>
    </row>
    <row r="757" spans="1:9" x14ac:dyDescent="0.25">
      <c r="A757" s="2">
        <v>43265</v>
      </c>
      <c r="B757" s="4" t="s">
        <v>211</v>
      </c>
      <c r="C757" s="3">
        <v>16188</v>
      </c>
      <c r="D757" s="26">
        <v>1.4243333333333332</v>
      </c>
      <c r="E757" s="26">
        <v>1.4745999999999999</v>
      </c>
      <c r="F757" s="18">
        <v>3.19</v>
      </c>
      <c r="G757" s="18">
        <v>0.55350052246603976</v>
      </c>
      <c r="H757" s="18">
        <v>0.53774294670846401</v>
      </c>
      <c r="I757" s="18">
        <v>1.5757575757575748E-2</v>
      </c>
    </row>
    <row r="758" spans="1:9" x14ac:dyDescent="0.25">
      <c r="A758" s="2">
        <v>43265</v>
      </c>
      <c r="B758" s="4" t="s">
        <v>214</v>
      </c>
      <c r="C758" s="3">
        <v>9948</v>
      </c>
      <c r="D758" s="26">
        <v>0.72145833333333342</v>
      </c>
      <c r="E758" s="26">
        <v>0.74454166666666677</v>
      </c>
      <c r="F758" s="18">
        <v>1.8759999999999999</v>
      </c>
      <c r="G758" s="18">
        <v>0.61542732764747676</v>
      </c>
      <c r="H758" s="18">
        <v>0.60312277896233113</v>
      </c>
      <c r="I758" s="18">
        <v>1.2304548685145631E-2</v>
      </c>
    </row>
    <row r="759" spans="1:9" x14ac:dyDescent="0.25">
      <c r="A759" s="2">
        <v>43266</v>
      </c>
      <c r="B759" s="4" t="s">
        <v>97</v>
      </c>
      <c r="C759" s="3">
        <v>510</v>
      </c>
      <c r="D759" s="26">
        <v>5.6894</v>
      </c>
      <c r="E759" s="26">
        <v>6.0688333333333331</v>
      </c>
      <c r="F759" s="18">
        <v>12.965999999999999</v>
      </c>
      <c r="G759" s="18">
        <v>0.56120623168286288</v>
      </c>
      <c r="H759" s="18">
        <v>0.53194251632474676</v>
      </c>
      <c r="I759" s="18">
        <v>2.9263715358116116E-2</v>
      </c>
    </row>
    <row r="760" spans="1:9" x14ac:dyDescent="0.25">
      <c r="A760" s="2">
        <v>43266</v>
      </c>
      <c r="B760" s="4" t="s">
        <v>128</v>
      </c>
      <c r="C760" s="3">
        <v>19440</v>
      </c>
      <c r="D760" s="26">
        <v>0.22900000000000001</v>
      </c>
      <c r="E760" s="26">
        <v>0.21895972222222224</v>
      </c>
      <c r="F760" s="18">
        <v>0.58699999999999997</v>
      </c>
      <c r="G760" s="18">
        <v>0.60988074957410565</v>
      </c>
      <c r="H760" s="18">
        <v>0.62698514101836067</v>
      </c>
      <c r="I760" s="18">
        <v>-1.7104391444255018E-2</v>
      </c>
    </row>
    <row r="761" spans="1:9" x14ac:dyDescent="0.25">
      <c r="A761" s="2">
        <v>43266</v>
      </c>
      <c r="B761" s="4" t="s">
        <v>139</v>
      </c>
      <c r="C761" s="3">
        <v>5100</v>
      </c>
      <c r="D761" s="26">
        <v>3.876725</v>
      </c>
      <c r="E761" s="26">
        <v>4.0326750000000002</v>
      </c>
      <c r="F761" s="18">
        <v>8.4809999999999999</v>
      </c>
      <c r="G761" s="18">
        <v>0.54289293715363751</v>
      </c>
      <c r="H761" s="18">
        <v>0.52450477538026175</v>
      </c>
      <c r="I761" s="18">
        <v>1.8388161773375766E-2</v>
      </c>
    </row>
    <row r="762" spans="1:9" x14ac:dyDescent="0.25">
      <c r="A762" s="2">
        <v>43266</v>
      </c>
      <c r="B762" s="4" t="s">
        <v>207</v>
      </c>
      <c r="C762" s="3">
        <v>6640</v>
      </c>
      <c r="D762" s="26">
        <v>0.7923</v>
      </c>
      <c r="E762" s="26">
        <v>0.8520375</v>
      </c>
      <c r="F762" s="18">
        <v>2.2050000000000001</v>
      </c>
      <c r="G762" s="18">
        <v>0.6406802721088436</v>
      </c>
      <c r="H762" s="18">
        <v>0.61358843537414964</v>
      </c>
      <c r="I762" s="18">
        <v>2.7091836734693953E-2</v>
      </c>
    </row>
    <row r="763" spans="1:9" x14ac:dyDescent="0.25">
      <c r="A763" s="2">
        <v>43266</v>
      </c>
      <c r="B763" s="4" t="s">
        <v>211</v>
      </c>
      <c r="C763" s="3">
        <v>15732</v>
      </c>
      <c r="D763" s="26">
        <v>1.4243333333333332</v>
      </c>
      <c r="E763" s="26">
        <v>1.4487166666666669</v>
      </c>
      <c r="F763" s="18">
        <v>3.19</v>
      </c>
      <c r="G763" s="18">
        <v>0.55350052246603976</v>
      </c>
      <c r="H763" s="18">
        <v>0.54585684430512016</v>
      </c>
      <c r="I763" s="18">
        <v>7.6436781609195981E-3</v>
      </c>
    </row>
    <row r="764" spans="1:9" x14ac:dyDescent="0.25">
      <c r="A764" s="2">
        <v>43266</v>
      </c>
      <c r="B764" s="4" t="s">
        <v>214</v>
      </c>
      <c r="C764" s="3">
        <v>10500</v>
      </c>
      <c r="D764" s="26">
        <v>0.72145833333333342</v>
      </c>
      <c r="E764" s="26">
        <v>0.77263333333333328</v>
      </c>
      <c r="F764" s="18">
        <v>1.8759999999999999</v>
      </c>
      <c r="G764" s="18">
        <v>0.61542732764747676</v>
      </c>
      <c r="H764" s="18">
        <v>0.58814854299928931</v>
      </c>
      <c r="I764" s="18">
        <v>2.7278784648187449E-2</v>
      </c>
    </row>
    <row r="765" spans="1:9" x14ac:dyDescent="0.25">
      <c r="A765" s="2">
        <v>43266</v>
      </c>
      <c r="B765" s="4" t="s">
        <v>222</v>
      </c>
      <c r="C765" s="3">
        <v>1160</v>
      </c>
      <c r="D765" s="26">
        <v>2.5638125</v>
      </c>
      <c r="E765" s="26">
        <v>2.7770874999999999</v>
      </c>
      <c r="F765" s="18">
        <v>8.6639999999999997</v>
      </c>
      <c r="G765" s="18">
        <v>0.70408442982456143</v>
      </c>
      <c r="H765" s="18">
        <v>0.67946820175438594</v>
      </c>
      <c r="I765" s="18">
        <v>2.4616228070175494E-2</v>
      </c>
    </row>
    <row r="766" spans="1:9" x14ac:dyDescent="0.25">
      <c r="A766" s="2">
        <v>43269</v>
      </c>
      <c r="B766" s="4" t="s">
        <v>15</v>
      </c>
      <c r="C766" s="3">
        <v>978</v>
      </c>
      <c r="D766" s="26">
        <v>3.1456</v>
      </c>
      <c r="E766" s="26">
        <v>3.407</v>
      </c>
      <c r="F766" s="18">
        <v>9.5419999999999998</v>
      </c>
      <c r="G766" s="18">
        <v>0.67034164745336411</v>
      </c>
      <c r="H766" s="18">
        <v>0.6429469712848459</v>
      </c>
      <c r="I766" s="18">
        <v>2.739467616851821E-2</v>
      </c>
    </row>
    <row r="767" spans="1:9" x14ac:dyDescent="0.25">
      <c r="A767" s="2">
        <v>43269</v>
      </c>
      <c r="B767" s="4" t="s">
        <v>36</v>
      </c>
      <c r="C767" s="3">
        <v>58</v>
      </c>
      <c r="D767" s="26">
        <v>5.9827000000000004</v>
      </c>
      <c r="E767" s="26">
        <v>7.3133999999999997</v>
      </c>
      <c r="F767" s="18">
        <v>19.456</v>
      </c>
      <c r="G767" s="18">
        <v>0.69250102796052626</v>
      </c>
      <c r="H767" s="18">
        <v>0.62410567434210529</v>
      </c>
      <c r="I767" s="18">
        <v>6.8395353618420973E-2</v>
      </c>
    </row>
    <row r="768" spans="1:9" x14ac:dyDescent="0.25">
      <c r="A768" s="2">
        <v>43269</v>
      </c>
      <c r="B768" s="4" t="s">
        <v>117</v>
      </c>
      <c r="C768" s="3">
        <v>18228</v>
      </c>
      <c r="D768" s="26">
        <v>3.2890999999999999</v>
      </c>
      <c r="E768" s="26">
        <v>3.2570999999999999</v>
      </c>
      <c r="F768" s="18">
        <v>7.86</v>
      </c>
      <c r="G768" s="18">
        <v>0.5815394402035623</v>
      </c>
      <c r="H768" s="18">
        <v>0.58561068702290076</v>
      </c>
      <c r="I768" s="18">
        <v>-4.0712468193384588E-3</v>
      </c>
    </row>
    <row r="769" spans="1:9" x14ac:dyDescent="0.25">
      <c r="A769" s="2">
        <v>43269</v>
      </c>
      <c r="B769" s="4" t="s">
        <v>132</v>
      </c>
      <c r="C769" s="3">
        <v>218</v>
      </c>
      <c r="D769" s="26">
        <v>14.2759</v>
      </c>
      <c r="E769" s="26">
        <v>17.256799999999998</v>
      </c>
      <c r="F769" s="18">
        <v>41.142000000000003</v>
      </c>
      <c r="G769" s="18">
        <v>0.65300909046716249</v>
      </c>
      <c r="H769" s="18">
        <v>0.58055515045452344</v>
      </c>
      <c r="I769" s="18">
        <v>7.2453940012639051E-2</v>
      </c>
    </row>
    <row r="770" spans="1:9" x14ac:dyDescent="0.25">
      <c r="A770" s="2">
        <v>43269</v>
      </c>
      <c r="B770" s="4" t="s">
        <v>139</v>
      </c>
      <c r="C770" s="3">
        <v>8080</v>
      </c>
      <c r="D770" s="26">
        <v>3.876725</v>
      </c>
      <c r="E770" s="26">
        <v>3.476575</v>
      </c>
      <c r="F770" s="18">
        <v>8.4809999999999999</v>
      </c>
      <c r="G770" s="18">
        <v>0.54289293715363751</v>
      </c>
      <c r="H770" s="18">
        <v>0.59007487324607943</v>
      </c>
      <c r="I770" s="18">
        <v>-4.7181936092441923E-2</v>
      </c>
    </row>
    <row r="771" spans="1:9" x14ac:dyDescent="0.25">
      <c r="A771" s="2">
        <v>43269</v>
      </c>
      <c r="B771" s="4" t="s">
        <v>152</v>
      </c>
      <c r="C771" s="3">
        <v>14364</v>
      </c>
      <c r="D771" s="26">
        <v>0.58314999999999995</v>
      </c>
      <c r="E771" s="26">
        <v>0.58873333333333333</v>
      </c>
      <c r="F771" s="18">
        <v>1.7569999999999999</v>
      </c>
      <c r="G771" s="18">
        <v>0.66809903244166191</v>
      </c>
      <c r="H771" s="18">
        <v>0.66492126731170553</v>
      </c>
      <c r="I771" s="18">
        <v>3.1777651299563781E-3</v>
      </c>
    </row>
    <row r="772" spans="1:9" x14ac:dyDescent="0.25">
      <c r="A772" s="2">
        <v>43269</v>
      </c>
      <c r="B772" s="4" t="s">
        <v>159</v>
      </c>
      <c r="C772" s="3">
        <v>13260</v>
      </c>
      <c r="D772" s="26">
        <v>0.7088416666666667</v>
      </c>
      <c r="E772" s="26">
        <v>0.73245833333333332</v>
      </c>
      <c r="F772" s="18">
        <v>2.1680000000000001</v>
      </c>
      <c r="G772" s="18">
        <v>0.67304351168511678</v>
      </c>
      <c r="H772" s="18">
        <v>0.66215021525215256</v>
      </c>
      <c r="I772" s="18">
        <v>1.0893296432964217E-2</v>
      </c>
    </row>
    <row r="773" spans="1:9" x14ac:dyDescent="0.25">
      <c r="A773" s="2">
        <v>43269</v>
      </c>
      <c r="B773" s="4" t="s">
        <v>440</v>
      </c>
      <c r="C773" s="3">
        <v>2330</v>
      </c>
      <c r="D773" s="26">
        <v>0.60899999999999999</v>
      </c>
      <c r="E773" s="26">
        <v>0.61960000000000004</v>
      </c>
      <c r="F773" s="18">
        <v>1.4850000000000001</v>
      </c>
      <c r="G773" s="18">
        <v>0.58989898989898992</v>
      </c>
      <c r="H773" s="18">
        <v>0.58276094276094281</v>
      </c>
      <c r="I773" s="18">
        <v>7.13804713804711E-3</v>
      </c>
    </row>
    <row r="774" spans="1:9" x14ac:dyDescent="0.25">
      <c r="A774" s="2">
        <v>43269</v>
      </c>
      <c r="B774" s="4" t="s">
        <v>448</v>
      </c>
      <c r="C774" s="3">
        <v>126</v>
      </c>
      <c r="D774" s="26">
        <v>0.99260000000000004</v>
      </c>
      <c r="E774" s="26">
        <v>1.2643</v>
      </c>
      <c r="F774" s="18">
        <v>1.4530000000000001</v>
      </c>
      <c r="G774" s="18">
        <v>0.31686166551961459</v>
      </c>
      <c r="H774" s="18">
        <v>0.12986923606331732</v>
      </c>
      <c r="I774" s="18">
        <v>0.18699242945629729</v>
      </c>
    </row>
    <row r="775" spans="1:9" x14ac:dyDescent="0.25">
      <c r="A775" s="2">
        <v>43270</v>
      </c>
      <c r="B775" s="4" t="s">
        <v>131</v>
      </c>
      <c r="C775" s="3">
        <v>981</v>
      </c>
      <c r="D775" s="26">
        <v>16.845100000000002</v>
      </c>
      <c r="E775" s="26">
        <v>15.1623</v>
      </c>
      <c r="F775" s="18">
        <v>44.615000000000002</v>
      </c>
      <c r="G775" s="18">
        <v>0.62243415891516307</v>
      </c>
      <c r="H775" s="18">
        <v>0.66015241510702671</v>
      </c>
      <c r="I775" s="18">
        <v>-3.7718256191863642E-2</v>
      </c>
    </row>
    <row r="776" spans="1:9" x14ac:dyDescent="0.25">
      <c r="A776" s="2">
        <v>43270</v>
      </c>
      <c r="B776" s="4" t="s">
        <v>139</v>
      </c>
      <c r="C776" s="3">
        <v>7764</v>
      </c>
      <c r="D776" s="26">
        <v>3.876725</v>
      </c>
      <c r="E776" s="26">
        <v>3.7271749999999999</v>
      </c>
      <c r="F776" s="18">
        <v>8.4809999999999999</v>
      </c>
      <c r="G776" s="18">
        <v>0.54289293715363751</v>
      </c>
      <c r="H776" s="18">
        <v>0.56052647093503127</v>
      </c>
      <c r="I776" s="18">
        <v>-1.7633533781393762E-2</v>
      </c>
    </row>
    <row r="777" spans="1:9" x14ac:dyDescent="0.25">
      <c r="A777" s="2">
        <v>43270</v>
      </c>
      <c r="B777" s="4" t="s">
        <v>152</v>
      </c>
      <c r="C777" s="3">
        <v>13452</v>
      </c>
      <c r="D777" s="26">
        <v>0.58314999999999995</v>
      </c>
      <c r="E777" s="26">
        <v>0.45533333333333337</v>
      </c>
      <c r="F777" s="18">
        <v>1.7569999999999999</v>
      </c>
      <c r="G777" s="18">
        <v>0.66809903244166191</v>
      </c>
      <c r="H777" s="18">
        <v>0.74084613925251375</v>
      </c>
      <c r="I777" s="18">
        <v>-7.2747106810851836E-2</v>
      </c>
    </row>
    <row r="778" spans="1:9" x14ac:dyDescent="0.25">
      <c r="A778" s="2">
        <v>43270</v>
      </c>
      <c r="B778" s="4" t="s">
        <v>202</v>
      </c>
      <c r="C778" s="3">
        <v>205</v>
      </c>
      <c r="D778" s="26">
        <v>16.845099999999999</v>
      </c>
      <c r="E778" s="26">
        <v>15.378299999999999</v>
      </c>
      <c r="F778" s="18">
        <v>49.814</v>
      </c>
      <c r="G778" s="18">
        <v>0.66184004496727833</v>
      </c>
      <c r="H778" s="18">
        <v>0.69128558236640292</v>
      </c>
      <c r="I778" s="18">
        <v>-2.9445537399124588E-2</v>
      </c>
    </row>
    <row r="779" spans="1:9" x14ac:dyDescent="0.25">
      <c r="A779" s="2">
        <v>43270</v>
      </c>
      <c r="B779" s="4" t="s">
        <v>203</v>
      </c>
      <c r="C779" s="3">
        <v>430</v>
      </c>
      <c r="D779" s="26">
        <v>16.845100000000002</v>
      </c>
      <c r="E779" s="26">
        <v>15.393800000000001</v>
      </c>
      <c r="F779" s="18">
        <v>50.103999999999999</v>
      </c>
      <c r="G779" s="18">
        <v>0.66379730161264561</v>
      </c>
      <c r="H779" s="18">
        <v>0.69276305285007189</v>
      </c>
      <c r="I779" s="18">
        <v>-2.8965751237426285E-2</v>
      </c>
    </row>
    <row r="780" spans="1:9" x14ac:dyDescent="0.25">
      <c r="A780" s="2">
        <v>43270</v>
      </c>
      <c r="B780" s="4" t="s">
        <v>230</v>
      </c>
      <c r="C780" s="3">
        <v>17508</v>
      </c>
      <c r="D780" s="26">
        <v>0.55530000000000002</v>
      </c>
      <c r="E780" s="26">
        <v>0.49281666666666674</v>
      </c>
      <c r="F780" s="18">
        <v>1.57</v>
      </c>
      <c r="G780" s="18">
        <v>0.64630573248407641</v>
      </c>
      <c r="H780" s="18">
        <v>0.68610403397027597</v>
      </c>
      <c r="I780" s="18">
        <v>-3.9798301486199561E-2</v>
      </c>
    </row>
    <row r="781" spans="1:9" x14ac:dyDescent="0.25">
      <c r="A781" s="2">
        <v>43270</v>
      </c>
      <c r="B781" s="4" t="s">
        <v>441</v>
      </c>
      <c r="C781" s="3">
        <v>2778</v>
      </c>
      <c r="D781" s="26">
        <v>0.5252</v>
      </c>
      <c r="E781" s="26">
        <v>0.4995</v>
      </c>
      <c r="F781" s="18">
        <v>1.349</v>
      </c>
      <c r="G781" s="18">
        <v>0.61067457375833956</v>
      </c>
      <c r="H781" s="18">
        <v>0.62972572275759819</v>
      </c>
      <c r="I781" s="18">
        <v>-1.9051148999258641E-2</v>
      </c>
    </row>
    <row r="782" spans="1:9" x14ac:dyDescent="0.25">
      <c r="A782" s="2">
        <v>43270</v>
      </c>
      <c r="B782" s="4" t="s">
        <v>231</v>
      </c>
      <c r="C782" s="3">
        <v>60</v>
      </c>
      <c r="D782" s="26">
        <v>1.6588000000000001</v>
      </c>
      <c r="E782" s="26">
        <v>1.9867999999999999</v>
      </c>
      <c r="F782" s="18">
        <v>2.6859999999999999</v>
      </c>
      <c r="G782" s="18">
        <v>0.38242740134028286</v>
      </c>
      <c r="H782" s="18">
        <v>0.26031273268801192</v>
      </c>
      <c r="I782" s="18">
        <v>0.122114668652271</v>
      </c>
    </row>
    <row r="783" spans="1:9" x14ac:dyDescent="0.25">
      <c r="A783" s="2">
        <v>43271</v>
      </c>
      <c r="B783" s="4" t="s">
        <v>86</v>
      </c>
      <c r="C783" s="3">
        <v>384</v>
      </c>
      <c r="D783" s="26">
        <v>3.8159000000000001</v>
      </c>
      <c r="E783" s="26">
        <v>3.9058999999999999</v>
      </c>
      <c r="F783" s="18">
        <v>8.6140000000000008</v>
      </c>
      <c r="G783" s="18">
        <v>0.55701184118876246</v>
      </c>
      <c r="H783" s="18">
        <v>0.5465637334571628</v>
      </c>
      <c r="I783" s="18">
        <v>1.0448107731599654E-2</v>
      </c>
    </row>
    <row r="784" spans="1:9" x14ac:dyDescent="0.25">
      <c r="A784" s="2">
        <v>43271</v>
      </c>
      <c r="B784" s="4" t="s">
        <v>102</v>
      </c>
      <c r="C784" s="3">
        <v>3102</v>
      </c>
      <c r="D784" s="26">
        <v>2.1629</v>
      </c>
      <c r="E784" s="26">
        <v>2.3767999999999998</v>
      </c>
      <c r="F784" s="18">
        <v>6.1340000000000003</v>
      </c>
      <c r="G784" s="18">
        <v>0.64739158787088358</v>
      </c>
      <c r="H784" s="18">
        <v>0.6125203782197588</v>
      </c>
      <c r="I784" s="18">
        <v>3.4871209651124779E-2</v>
      </c>
    </row>
    <row r="785" spans="1:9" x14ac:dyDescent="0.25">
      <c r="A785" s="2">
        <v>43271</v>
      </c>
      <c r="B785" s="4" t="s">
        <v>114</v>
      </c>
      <c r="C785" s="3">
        <v>1764</v>
      </c>
      <c r="D785" s="26">
        <v>1.9188000000000001</v>
      </c>
      <c r="E785" s="26">
        <v>2.5886999999999998</v>
      </c>
      <c r="F785" s="18">
        <v>6.1319999999999997</v>
      </c>
      <c r="G785" s="18">
        <v>0.68708414872798429</v>
      </c>
      <c r="H785" s="18">
        <v>0.57783757338551855</v>
      </c>
      <c r="I785" s="18">
        <v>0.10924657534246572</v>
      </c>
    </row>
    <row r="786" spans="1:9" x14ac:dyDescent="0.25">
      <c r="A786" s="2">
        <v>43271</v>
      </c>
      <c r="B786" s="4" t="s">
        <v>142</v>
      </c>
      <c r="C786" s="3">
        <v>484</v>
      </c>
      <c r="D786" s="26">
        <v>2.1945000000000001</v>
      </c>
      <c r="E786" s="26">
        <v>2.5339</v>
      </c>
      <c r="F786" s="18">
        <v>6.9870000000000001</v>
      </c>
      <c r="G786" s="18">
        <v>0.68591670244740233</v>
      </c>
      <c r="H786" s="18">
        <v>0.63734077572634895</v>
      </c>
      <c r="I786" s="18">
        <v>4.8575926721053375E-2</v>
      </c>
    </row>
    <row r="787" spans="1:9" x14ac:dyDescent="0.25">
      <c r="A787" s="2">
        <v>43271</v>
      </c>
      <c r="B787" s="4" t="s">
        <v>152</v>
      </c>
      <c r="C787" s="3">
        <v>4044</v>
      </c>
      <c r="D787" s="26">
        <v>0.58314999999999995</v>
      </c>
      <c r="E787" s="26">
        <v>0.69756666666666656</v>
      </c>
      <c r="F787" s="18">
        <v>1.7569999999999999</v>
      </c>
      <c r="G787" s="18">
        <v>0.66809903244166191</v>
      </c>
      <c r="H787" s="18">
        <v>0.60297856194270538</v>
      </c>
      <c r="I787" s="18">
        <v>6.5120470498956529E-2</v>
      </c>
    </row>
    <row r="788" spans="1:9" x14ac:dyDescent="0.25">
      <c r="A788" s="2">
        <v>43271</v>
      </c>
      <c r="B788" s="4" t="s">
        <v>153</v>
      </c>
      <c r="C788" s="3">
        <v>8400</v>
      </c>
      <c r="D788" s="26">
        <v>0.56405833333333333</v>
      </c>
      <c r="E788" s="26">
        <v>0.6704916666666666</v>
      </c>
      <c r="F788" s="18">
        <v>1.7569999999999999</v>
      </c>
      <c r="G788" s="18">
        <v>0.67896509201290078</v>
      </c>
      <c r="H788" s="18">
        <v>0.61838835135647885</v>
      </c>
      <c r="I788" s="18">
        <v>6.0576740656421935E-2</v>
      </c>
    </row>
    <row r="789" spans="1:9" x14ac:dyDescent="0.25">
      <c r="A789" s="2">
        <v>43271</v>
      </c>
      <c r="B789" s="4" t="s">
        <v>183</v>
      </c>
      <c r="C789" s="3">
        <v>2142</v>
      </c>
      <c r="D789" s="26">
        <v>2.0216333333333334</v>
      </c>
      <c r="E789" s="26">
        <v>2.3108499999999998</v>
      </c>
      <c r="F789" s="18">
        <v>6.5590000000000002</v>
      </c>
      <c r="G789" s="18">
        <v>0.69177720180921898</v>
      </c>
      <c r="H789" s="18">
        <v>0.64768257356304326</v>
      </c>
      <c r="I789" s="18">
        <v>4.4094628246175709E-2</v>
      </c>
    </row>
    <row r="790" spans="1:9" x14ac:dyDescent="0.25">
      <c r="A790" s="2">
        <v>43271</v>
      </c>
      <c r="B790" s="4" t="s">
        <v>184</v>
      </c>
      <c r="C790" s="3">
        <v>1548</v>
      </c>
      <c r="D790" s="26">
        <v>1.91805</v>
      </c>
      <c r="E790" s="26">
        <v>2.0107666666666666</v>
      </c>
      <c r="F790" s="18">
        <v>6.5579999999999998</v>
      </c>
      <c r="G790" s="18">
        <v>0.70752516010978961</v>
      </c>
      <c r="H790" s="18">
        <v>0.69338721154823624</v>
      </c>
      <c r="I790" s="18">
        <v>1.4137948561553372E-2</v>
      </c>
    </row>
    <row r="791" spans="1:9" x14ac:dyDescent="0.25">
      <c r="A791" s="2">
        <v>43271</v>
      </c>
      <c r="B791" s="4" t="s">
        <v>200</v>
      </c>
      <c r="C791" s="3">
        <v>10410</v>
      </c>
      <c r="D791" s="26">
        <v>2.2185999999999999</v>
      </c>
      <c r="E791" s="26">
        <v>2.7902</v>
      </c>
      <c r="F791" s="18">
        <v>5.8380000000000001</v>
      </c>
      <c r="G791" s="18">
        <v>0.61997259335388832</v>
      </c>
      <c r="H791" s="18">
        <v>0.5220623501199041</v>
      </c>
      <c r="I791" s="18">
        <v>9.7910243233984229E-2</v>
      </c>
    </row>
    <row r="792" spans="1:9" x14ac:dyDescent="0.25">
      <c r="A792" s="2">
        <v>43271</v>
      </c>
      <c r="B792" s="4" t="s">
        <v>424</v>
      </c>
      <c r="C792" s="3">
        <v>91</v>
      </c>
      <c r="D792" s="26">
        <v>2.194</v>
      </c>
      <c r="E792" s="26">
        <v>2.9327000000000001</v>
      </c>
      <c r="F792" s="18">
        <v>2.956</v>
      </c>
      <c r="G792" s="18">
        <v>0.25778078484438433</v>
      </c>
      <c r="H792" s="18">
        <v>7.8822733423544906E-3</v>
      </c>
      <c r="I792" s="18">
        <v>0.24989851150202985</v>
      </c>
    </row>
    <row r="793" spans="1:9" x14ac:dyDescent="0.25">
      <c r="A793" s="2">
        <v>43272</v>
      </c>
      <c r="B793" s="4" t="s">
        <v>13</v>
      </c>
      <c r="C793" s="3">
        <v>918</v>
      </c>
      <c r="D793" s="26">
        <v>2.6546000000000003</v>
      </c>
      <c r="E793" s="26">
        <v>2.6993</v>
      </c>
      <c r="F793" s="18">
        <v>9.8010000000000002</v>
      </c>
      <c r="G793" s="18">
        <v>0.72915008672584436</v>
      </c>
      <c r="H793" s="18">
        <v>0.72458932761963069</v>
      </c>
      <c r="I793" s="18">
        <v>4.5607591062135633E-3</v>
      </c>
    </row>
    <row r="794" spans="1:9" x14ac:dyDescent="0.25">
      <c r="A794" s="2">
        <v>43272</v>
      </c>
      <c r="B794" s="4" t="s">
        <v>86</v>
      </c>
      <c r="C794" s="3">
        <v>1584</v>
      </c>
      <c r="D794" s="26">
        <v>3.8159000000000001</v>
      </c>
      <c r="E794" s="26">
        <v>3.9649000000000001</v>
      </c>
      <c r="F794" s="18">
        <v>8.6140000000000008</v>
      </c>
      <c r="G794" s="18">
        <v>0.55701184118876246</v>
      </c>
      <c r="H794" s="18">
        <v>0.53971441838866963</v>
      </c>
      <c r="I794" s="18">
        <v>1.7297422800092832E-2</v>
      </c>
    </row>
    <row r="795" spans="1:9" x14ac:dyDescent="0.25">
      <c r="A795" s="2">
        <v>43272</v>
      </c>
      <c r="B795" s="4" t="s">
        <v>114</v>
      </c>
      <c r="C795" s="3">
        <v>2862</v>
      </c>
      <c r="D795" s="26">
        <v>1.9188000000000001</v>
      </c>
      <c r="E795" s="26">
        <v>2.1968000000000001</v>
      </c>
      <c r="F795" s="18">
        <v>6.1319999999999997</v>
      </c>
      <c r="G795" s="18">
        <v>0.68708414872798429</v>
      </c>
      <c r="H795" s="18">
        <v>0.64174820613176775</v>
      </c>
      <c r="I795" s="18">
        <v>4.5335942596216539E-2</v>
      </c>
    </row>
    <row r="796" spans="1:9" x14ac:dyDescent="0.25">
      <c r="A796" s="2">
        <v>43272</v>
      </c>
      <c r="B796" s="4" t="s">
        <v>153</v>
      </c>
      <c r="C796" s="3">
        <v>5724</v>
      </c>
      <c r="D796" s="26">
        <v>0.56405833333333333</v>
      </c>
      <c r="E796" s="26">
        <v>0.73914999999999997</v>
      </c>
      <c r="F796" s="18">
        <v>1.7569999999999999</v>
      </c>
      <c r="G796" s="18">
        <v>0.67896509201290078</v>
      </c>
      <c r="H796" s="18">
        <v>0.5793113261240751</v>
      </c>
      <c r="I796" s="18">
        <v>9.9653765888825685E-2</v>
      </c>
    </row>
    <row r="797" spans="1:9" x14ac:dyDescent="0.25">
      <c r="A797" s="2">
        <v>43272</v>
      </c>
      <c r="B797" s="4" t="s">
        <v>184</v>
      </c>
      <c r="C797" s="3">
        <v>3210</v>
      </c>
      <c r="D797" s="26">
        <v>1.91805</v>
      </c>
      <c r="E797" s="26">
        <v>2.0541833333333335</v>
      </c>
      <c r="F797" s="18">
        <v>6.5579999999999998</v>
      </c>
      <c r="G797" s="18">
        <v>0.70752516010978961</v>
      </c>
      <c r="H797" s="18">
        <v>0.68676679882077862</v>
      </c>
      <c r="I797" s="18">
        <v>2.0758361289010985E-2</v>
      </c>
    </row>
    <row r="798" spans="1:9" x14ac:dyDescent="0.25">
      <c r="A798" s="2">
        <v>43272</v>
      </c>
      <c r="B798" s="4" t="s">
        <v>200</v>
      </c>
      <c r="C798" s="3">
        <v>10158</v>
      </c>
      <c r="D798" s="26">
        <v>2.2185999999999999</v>
      </c>
      <c r="E798" s="26">
        <v>2.6787999999999998</v>
      </c>
      <c r="F798" s="18">
        <v>5.8380000000000001</v>
      </c>
      <c r="G798" s="18">
        <v>0.61997259335388832</v>
      </c>
      <c r="H798" s="18">
        <v>0.54114422747516278</v>
      </c>
      <c r="I798" s="18">
        <v>7.8828365878725548E-2</v>
      </c>
    </row>
    <row r="799" spans="1:9" x14ac:dyDescent="0.25">
      <c r="A799" s="2">
        <v>43272</v>
      </c>
      <c r="B799" s="4" t="s">
        <v>230</v>
      </c>
      <c r="C799" s="3">
        <v>15498</v>
      </c>
      <c r="D799" s="26">
        <v>0.55530000000000002</v>
      </c>
      <c r="E799" s="26">
        <v>0.53953333333333331</v>
      </c>
      <c r="F799" s="18">
        <v>1.57</v>
      </c>
      <c r="G799" s="18">
        <v>0.64630573248407641</v>
      </c>
      <c r="H799" s="18">
        <v>0.65634819532908717</v>
      </c>
      <c r="I799" s="18">
        <v>-1.0042462845010758E-2</v>
      </c>
    </row>
    <row r="800" spans="1:9" x14ac:dyDescent="0.25">
      <c r="A800" s="2">
        <v>43272</v>
      </c>
      <c r="B800" s="4" t="s">
        <v>209</v>
      </c>
      <c r="C800" s="3">
        <v>300</v>
      </c>
      <c r="D800" s="26">
        <v>1.3724166666666668</v>
      </c>
      <c r="E800" s="26">
        <v>0.81879999999999997</v>
      </c>
      <c r="F800" s="18">
        <v>5.4080000000000004</v>
      </c>
      <c r="G800" s="18">
        <v>0.74622472879684421</v>
      </c>
      <c r="H800" s="18">
        <v>0.84859467455621296</v>
      </c>
      <c r="I800" s="18">
        <v>-0.10236994575936886</v>
      </c>
    </row>
    <row r="801" spans="1:9" x14ac:dyDescent="0.25">
      <c r="A801" s="2">
        <v>43272</v>
      </c>
      <c r="B801" s="4" t="s">
        <v>450</v>
      </c>
      <c r="C801" s="3">
        <v>95</v>
      </c>
      <c r="D801" s="26">
        <v>1.0280333333333334</v>
      </c>
      <c r="E801" s="26">
        <v>0.96389999999999998</v>
      </c>
      <c r="F801" s="18">
        <v>1.3049999999999999</v>
      </c>
      <c r="G801" s="18">
        <v>0.2122349936143039</v>
      </c>
      <c r="H801" s="18">
        <v>0.26137931034482759</v>
      </c>
      <c r="I801" s="18">
        <v>-4.9144316730523691E-2</v>
      </c>
    </row>
    <row r="802" spans="1:9" x14ac:dyDescent="0.25">
      <c r="A802" s="2">
        <v>43273</v>
      </c>
      <c r="B802" s="4" t="s">
        <v>20</v>
      </c>
      <c r="C802" s="3">
        <v>186</v>
      </c>
      <c r="D802" s="26">
        <v>2.3112000000000004</v>
      </c>
      <c r="E802" s="26">
        <v>2.4546000000000001</v>
      </c>
      <c r="F802" s="18">
        <v>5.8440000000000003</v>
      </c>
      <c r="G802" s="18">
        <v>0.60451745379876798</v>
      </c>
      <c r="H802" s="18">
        <v>0.57997946611909657</v>
      </c>
      <c r="I802" s="18">
        <v>2.4537987679671417E-2</v>
      </c>
    </row>
    <row r="803" spans="1:9" x14ac:dyDescent="0.25">
      <c r="A803" s="2">
        <v>43273</v>
      </c>
      <c r="B803" s="4" t="s">
        <v>234</v>
      </c>
      <c r="C803" s="3">
        <v>348</v>
      </c>
      <c r="D803" s="26">
        <v>2.3216000000000001</v>
      </c>
      <c r="E803" s="26">
        <v>2.6396000000000002</v>
      </c>
      <c r="F803" s="18">
        <v>6.4390000000000001</v>
      </c>
      <c r="G803" s="18">
        <v>0.63944711911787544</v>
      </c>
      <c r="H803" s="18">
        <v>0.59006056841124399</v>
      </c>
      <c r="I803" s="18">
        <v>4.9386550706631449E-2</v>
      </c>
    </row>
    <row r="804" spans="1:9" x14ac:dyDescent="0.25">
      <c r="A804" s="2">
        <v>43273</v>
      </c>
      <c r="B804" s="4" t="s">
        <v>88</v>
      </c>
      <c r="C804" s="3">
        <v>2103</v>
      </c>
      <c r="D804" s="26">
        <v>4.1670999999999996</v>
      </c>
      <c r="E804" s="26">
        <v>4.5766</v>
      </c>
      <c r="F804" s="18">
        <v>7.98</v>
      </c>
      <c r="G804" s="18">
        <v>0.47780701754385974</v>
      </c>
      <c r="H804" s="18">
        <v>0.42649122807017553</v>
      </c>
      <c r="I804" s="18">
        <v>5.1315789473684259E-2</v>
      </c>
    </row>
    <row r="805" spans="1:9" x14ac:dyDescent="0.25">
      <c r="A805" s="2">
        <v>43273</v>
      </c>
      <c r="B805" s="4" t="s">
        <v>93</v>
      </c>
      <c r="C805" s="3">
        <v>240</v>
      </c>
      <c r="D805" s="26">
        <v>18.026199999999999</v>
      </c>
      <c r="E805" s="26">
        <v>18.506900000000002</v>
      </c>
      <c r="F805" s="18">
        <v>55.122999999999998</v>
      </c>
      <c r="G805" s="18">
        <v>0.67298223971844795</v>
      </c>
      <c r="H805" s="18">
        <v>0.66426174192260934</v>
      </c>
      <c r="I805" s="18"/>
    </row>
    <row r="806" spans="1:9" x14ac:dyDescent="0.25">
      <c r="A806" s="2">
        <v>43273</v>
      </c>
      <c r="B806" s="4" t="s">
        <v>201</v>
      </c>
      <c r="C806" s="3">
        <v>7626</v>
      </c>
      <c r="D806" s="26">
        <v>2.3020999999999998</v>
      </c>
      <c r="E806" s="26">
        <v>2.5855999999999999</v>
      </c>
      <c r="F806" s="18">
        <v>6.45</v>
      </c>
      <c r="G806" s="18">
        <v>0.64308527131782944</v>
      </c>
      <c r="H806" s="18">
        <v>0.59913178294573644</v>
      </c>
      <c r="I806" s="18">
        <v>4.3953488372093008E-2</v>
      </c>
    </row>
    <row r="807" spans="1:9" x14ac:dyDescent="0.25">
      <c r="A807" s="2">
        <v>43273</v>
      </c>
      <c r="B807" s="4" t="s">
        <v>440</v>
      </c>
      <c r="C807" s="3">
        <v>16870</v>
      </c>
      <c r="D807" s="26">
        <v>0.60899999999999999</v>
      </c>
      <c r="E807" s="26">
        <v>0.64849999999999997</v>
      </c>
      <c r="F807" s="18">
        <v>1.4850000000000001</v>
      </c>
      <c r="G807" s="18">
        <v>0.58989898989898992</v>
      </c>
      <c r="H807" s="18">
        <v>0.5632996632996633</v>
      </c>
      <c r="I807" s="18">
        <v>2.6599326599326623E-2</v>
      </c>
    </row>
    <row r="808" spans="1:9" x14ac:dyDescent="0.25">
      <c r="A808" s="2">
        <v>43273</v>
      </c>
      <c r="B808" s="4" t="s">
        <v>465</v>
      </c>
      <c r="C808" s="3">
        <v>2040</v>
      </c>
      <c r="D808" s="26">
        <v>2.3965000000000001</v>
      </c>
      <c r="E808" s="26">
        <v>2.3780000000000001</v>
      </c>
      <c r="F808" s="18">
        <v>6.65</v>
      </c>
      <c r="G808" s="18">
        <v>0.63962406015037598</v>
      </c>
      <c r="H808" s="18">
        <v>0.64240601503759398</v>
      </c>
      <c r="I808" s="18">
        <v>-2.7819548872179967E-3</v>
      </c>
    </row>
    <row r="809" spans="1:9" x14ac:dyDescent="0.25">
      <c r="A809" s="2">
        <v>43273</v>
      </c>
      <c r="B809" s="4" t="s">
        <v>466</v>
      </c>
      <c r="C809" s="3">
        <v>3960</v>
      </c>
      <c r="D809" s="26">
        <v>2.1654</v>
      </c>
      <c r="E809" s="26">
        <v>2.2789999999999999</v>
      </c>
      <c r="F809" s="18">
        <v>6</v>
      </c>
      <c r="G809" s="18">
        <v>0.6391</v>
      </c>
      <c r="H809" s="18">
        <v>0.62016666666666664</v>
      </c>
      <c r="I809" s="18">
        <v>1.8933333333333361E-2</v>
      </c>
    </row>
    <row r="810" spans="1:9" x14ac:dyDescent="0.25">
      <c r="A810" s="2">
        <v>43276</v>
      </c>
      <c r="B810" s="4" t="s">
        <v>90</v>
      </c>
      <c r="C810" s="3">
        <v>11736</v>
      </c>
      <c r="D810" s="26">
        <v>0.72709999999999997</v>
      </c>
      <c r="E810" s="26">
        <v>0.73139166666666677</v>
      </c>
      <c r="F810" s="18">
        <v>1.8220000000000001</v>
      </c>
      <c r="G810" s="18">
        <v>0.60093304061470909</v>
      </c>
      <c r="H810" s="18">
        <v>0.59857757043541893</v>
      </c>
      <c r="I810" s="18">
        <v>2.3554701792901644E-3</v>
      </c>
    </row>
    <row r="811" spans="1:9" x14ac:dyDescent="0.25">
      <c r="A811" s="2">
        <v>43276</v>
      </c>
      <c r="B811" s="4" t="s">
        <v>93</v>
      </c>
      <c r="C811" s="3">
        <v>162</v>
      </c>
      <c r="D811" s="26">
        <v>18.026199999999999</v>
      </c>
      <c r="E811" s="26">
        <v>18.3965</v>
      </c>
      <c r="F811" s="18">
        <v>55.122999999999998</v>
      </c>
      <c r="G811" s="18">
        <v>0.67298223971844795</v>
      </c>
      <c r="H811" s="18">
        <v>0.66626453567476374</v>
      </c>
      <c r="I811" s="18"/>
    </row>
    <row r="812" spans="1:9" x14ac:dyDescent="0.25">
      <c r="A812" s="2">
        <v>43276</v>
      </c>
      <c r="B812" s="4" t="s">
        <v>440</v>
      </c>
      <c r="C812" s="3">
        <v>20570</v>
      </c>
      <c r="D812" s="26">
        <v>0.60899999999999999</v>
      </c>
      <c r="E812" s="26">
        <v>0.59079999999999999</v>
      </c>
      <c r="F812" s="18">
        <v>1.4850000000000001</v>
      </c>
      <c r="G812" s="18">
        <v>0.58989898989898992</v>
      </c>
      <c r="H812" s="18">
        <v>0.60215488215488222</v>
      </c>
      <c r="I812" s="18">
        <v>-1.2255892255892298E-2</v>
      </c>
    </row>
    <row r="813" spans="1:9" x14ac:dyDescent="0.25">
      <c r="A813" s="2">
        <v>43276</v>
      </c>
      <c r="B813" s="4" t="s">
        <v>465</v>
      </c>
      <c r="C813" s="3">
        <v>666</v>
      </c>
      <c r="D813" s="26">
        <v>2.3965000000000001</v>
      </c>
      <c r="E813" s="26">
        <v>2.6608999999999998</v>
      </c>
      <c r="F813" s="18">
        <v>6.65</v>
      </c>
      <c r="G813" s="18">
        <v>0.63962406015037598</v>
      </c>
      <c r="H813" s="18">
        <v>0.59986466165413543</v>
      </c>
      <c r="I813" s="18">
        <v>3.975939849624055E-2</v>
      </c>
    </row>
    <row r="814" spans="1:9" x14ac:dyDescent="0.25">
      <c r="A814" s="2">
        <v>43276</v>
      </c>
      <c r="B814" s="4" t="s">
        <v>467</v>
      </c>
      <c r="C814" s="3">
        <v>1728</v>
      </c>
      <c r="D814" s="26">
        <v>2.1463999999999999</v>
      </c>
      <c r="E814" s="26">
        <v>2.1652</v>
      </c>
      <c r="F814" s="18">
        <v>6</v>
      </c>
      <c r="G814" s="18">
        <v>0.64226666666666665</v>
      </c>
      <c r="H814" s="18">
        <v>0.63913333333333333</v>
      </c>
      <c r="I814" s="18">
        <v>3.1333333333333213E-3</v>
      </c>
    </row>
    <row r="815" spans="1:9" x14ac:dyDescent="0.25">
      <c r="A815" s="2">
        <v>43276</v>
      </c>
      <c r="B815" s="4" t="s">
        <v>468</v>
      </c>
      <c r="C815" s="3">
        <v>2166</v>
      </c>
      <c r="D815" s="26">
        <v>2.1231</v>
      </c>
      <c r="E815" s="26">
        <v>2.1977000000000002</v>
      </c>
      <c r="F815" s="18">
        <v>6</v>
      </c>
      <c r="G815" s="18">
        <v>0.64615</v>
      </c>
      <c r="H815" s="18">
        <v>0.63371666666666659</v>
      </c>
      <c r="I815" s="18">
        <v>1.2433333333333407E-2</v>
      </c>
    </row>
    <row r="816" spans="1:9" x14ac:dyDescent="0.25">
      <c r="A816" s="2">
        <v>43276</v>
      </c>
      <c r="B816" s="4" t="s">
        <v>469</v>
      </c>
      <c r="C816" s="3">
        <v>2160</v>
      </c>
      <c r="D816" s="26">
        <v>2.1320999999999999</v>
      </c>
      <c r="E816" s="26">
        <v>2.0078</v>
      </c>
      <c r="F816" s="18">
        <v>6</v>
      </c>
      <c r="G816" s="18">
        <v>0.64465000000000006</v>
      </c>
      <c r="H816" s="18">
        <v>0.66536666666666666</v>
      </c>
      <c r="I816" s="18">
        <v>-2.0716666666666609E-2</v>
      </c>
    </row>
    <row r="817" spans="1:9" x14ac:dyDescent="0.25">
      <c r="A817" s="2">
        <v>43276</v>
      </c>
      <c r="B817" s="4" t="s">
        <v>226</v>
      </c>
      <c r="C817" s="3">
        <v>6160</v>
      </c>
      <c r="D817" s="26">
        <v>1.6445000000000001</v>
      </c>
      <c r="E817" s="26">
        <v>1.6547000000000001</v>
      </c>
      <c r="F817" s="18">
        <v>4.3689999999999998</v>
      </c>
      <c r="G817" s="18">
        <v>0.62359807736324102</v>
      </c>
      <c r="H817" s="18">
        <v>0.62126344701304648</v>
      </c>
      <c r="I817" s="18">
        <v>2.3346303501945438E-3</v>
      </c>
    </row>
    <row r="818" spans="1:9" x14ac:dyDescent="0.25">
      <c r="A818" s="2">
        <v>43277</v>
      </c>
      <c r="B818" s="4" t="s">
        <v>16</v>
      </c>
      <c r="C818" s="3">
        <v>846</v>
      </c>
      <c r="D818" s="26">
        <v>2.8228999999999997</v>
      </c>
      <c r="E818" s="26">
        <v>4.0462999999999996</v>
      </c>
      <c r="F818" s="18">
        <v>9.0380000000000003</v>
      </c>
      <c r="G818" s="18">
        <v>0.68766319982296975</v>
      </c>
      <c r="H818" s="18">
        <v>0.55230139411374202</v>
      </c>
      <c r="I818" s="18">
        <v>0.13536180570922773</v>
      </c>
    </row>
    <row r="819" spans="1:9" x14ac:dyDescent="0.25">
      <c r="A819" s="2">
        <v>43277</v>
      </c>
      <c r="B819" s="4" t="s">
        <v>130</v>
      </c>
      <c r="C819" s="3">
        <v>181</v>
      </c>
      <c r="D819" s="26">
        <v>16.344799999999999</v>
      </c>
      <c r="E819" s="26">
        <v>22.461400000000001</v>
      </c>
      <c r="F819" s="18">
        <v>42.341000000000001</v>
      </c>
      <c r="G819" s="18">
        <v>0.61397227273800814</v>
      </c>
      <c r="H819" s="18">
        <v>0.46951182069389008</v>
      </c>
      <c r="I819" s="18">
        <v>0.14446045204411806</v>
      </c>
    </row>
    <row r="820" spans="1:9" x14ac:dyDescent="0.25">
      <c r="A820" s="2">
        <v>43277</v>
      </c>
      <c r="B820" s="4" t="s">
        <v>150</v>
      </c>
      <c r="C820" s="3">
        <v>9966</v>
      </c>
      <c r="D820" s="26">
        <v>0.83291666666666653</v>
      </c>
      <c r="E820" s="26">
        <v>0.81673333333333342</v>
      </c>
      <c r="F820" s="18">
        <v>2.0830000000000002</v>
      </c>
      <c r="G820" s="18">
        <v>0.60013602176348213</v>
      </c>
      <c r="H820" s="18">
        <v>0.60790526484237473</v>
      </c>
      <c r="I820" s="18">
        <v>-7.769243078892595E-3</v>
      </c>
    </row>
    <row r="821" spans="1:9" x14ac:dyDescent="0.25">
      <c r="A821" s="2">
        <v>43277</v>
      </c>
      <c r="B821" s="4" t="s">
        <v>151</v>
      </c>
      <c r="C821" s="3">
        <v>2034</v>
      </c>
      <c r="D821" s="26">
        <v>2.4890999999999996</v>
      </c>
      <c r="E821" s="26">
        <v>3.2153999999999998</v>
      </c>
      <c r="F821" s="18">
        <v>6.5369999999999999</v>
      </c>
      <c r="G821" s="18">
        <v>0.6192290041303351</v>
      </c>
      <c r="H821" s="18">
        <v>0.50812299219825607</v>
      </c>
      <c r="I821" s="18">
        <v>0.11110601193207904</v>
      </c>
    </row>
    <row r="822" spans="1:9" x14ac:dyDescent="0.25">
      <c r="A822" s="2">
        <v>43277</v>
      </c>
      <c r="B822" s="4" t="s">
        <v>158</v>
      </c>
      <c r="C822" s="3">
        <v>2520</v>
      </c>
      <c r="D822" s="26">
        <v>0.71789999999999998</v>
      </c>
      <c r="E822" s="26">
        <v>0.94052500000000006</v>
      </c>
      <c r="F822" s="18">
        <v>1.9450000000000001</v>
      </c>
      <c r="G822" s="18">
        <v>0.63089974293059126</v>
      </c>
      <c r="H822" s="18">
        <v>0.51643958868894602</v>
      </c>
      <c r="I822" s="18">
        <v>0.11446015424164524</v>
      </c>
    </row>
    <row r="823" spans="1:9" x14ac:dyDescent="0.25">
      <c r="A823" s="2">
        <v>43277</v>
      </c>
      <c r="B823" s="4" t="s">
        <v>440</v>
      </c>
      <c r="C823" s="3">
        <v>20740</v>
      </c>
      <c r="D823" s="26">
        <v>0.60899999999999999</v>
      </c>
      <c r="E823" s="26">
        <v>0.59589999999999999</v>
      </c>
      <c r="F823" s="18">
        <v>1.4850000000000001</v>
      </c>
      <c r="G823" s="18">
        <v>0.58989898989898992</v>
      </c>
      <c r="H823" s="18">
        <v>0.59872053872053876</v>
      </c>
      <c r="I823" s="18">
        <v>-8.8215488215488413E-3</v>
      </c>
    </row>
    <row r="824" spans="1:9" x14ac:dyDescent="0.25">
      <c r="A824" s="2">
        <v>43277</v>
      </c>
      <c r="B824" s="4" t="s">
        <v>431</v>
      </c>
      <c r="C824" s="3">
        <v>3900</v>
      </c>
      <c r="D824" s="26">
        <v>0.83314999999999995</v>
      </c>
      <c r="E824" s="26">
        <v>1.07185</v>
      </c>
      <c r="F824" s="18">
        <v>2.1800000000000002</v>
      </c>
      <c r="G824" s="18">
        <v>0.61782110091743125</v>
      </c>
      <c r="H824" s="18">
        <v>0.50832568807339451</v>
      </c>
      <c r="I824" s="18">
        <v>0.10949541284403674</v>
      </c>
    </row>
    <row r="825" spans="1:9" x14ac:dyDescent="0.25">
      <c r="A825" s="2">
        <v>43277</v>
      </c>
      <c r="B825" s="4" t="s">
        <v>457</v>
      </c>
      <c r="C825" s="3">
        <v>4470</v>
      </c>
      <c r="D825" s="26">
        <v>3.0537333333333336</v>
      </c>
      <c r="E825" s="26">
        <v>3.1949666666666663</v>
      </c>
      <c r="F825" s="18">
        <v>9.49</v>
      </c>
      <c r="G825" s="18">
        <v>0.6782156656129259</v>
      </c>
      <c r="H825" s="18">
        <v>0.66333333333333344</v>
      </c>
      <c r="I825" s="18">
        <v>1.4882332279592458E-2</v>
      </c>
    </row>
    <row r="826" spans="1:9" x14ac:dyDescent="0.25">
      <c r="A826" s="2">
        <v>43277</v>
      </c>
      <c r="B826" s="4" t="s">
        <v>221</v>
      </c>
      <c r="C826" s="3">
        <v>1320</v>
      </c>
      <c r="D826" s="26">
        <v>2.1641333333333335</v>
      </c>
      <c r="E826" s="26">
        <v>3.7051166666666666</v>
      </c>
      <c r="F826" s="18">
        <v>7.5460000000000003</v>
      </c>
      <c r="G826" s="18">
        <v>0.71320788055481943</v>
      </c>
      <c r="H826" s="18">
        <v>0.50899593603675242</v>
      </c>
      <c r="I826" s="18">
        <v>0.20421194451806701</v>
      </c>
    </row>
    <row r="827" spans="1:9" x14ac:dyDescent="0.25">
      <c r="A827" s="2">
        <v>43277</v>
      </c>
      <c r="B827" s="4" t="s">
        <v>452</v>
      </c>
      <c r="C827" s="3">
        <v>48</v>
      </c>
      <c r="D827" s="26">
        <v>1.1154999999999999</v>
      </c>
      <c r="E827" s="26">
        <v>1.7007000000000001</v>
      </c>
      <c r="F827" s="18">
        <v>1.8109999999999999</v>
      </c>
      <c r="G827" s="18">
        <v>0.3840419657647709</v>
      </c>
      <c r="H827" s="18">
        <v>6.0905577029265523E-2</v>
      </c>
      <c r="I827" s="18">
        <v>0.32313638873550532</v>
      </c>
    </row>
    <row r="828" spans="1:9" x14ac:dyDescent="0.25">
      <c r="A828" s="2">
        <v>43278</v>
      </c>
      <c r="B828" s="4" t="s">
        <v>81</v>
      </c>
      <c r="C828" s="3">
        <v>888</v>
      </c>
      <c r="D828" s="26">
        <v>2.5562749999999999</v>
      </c>
      <c r="E828" s="26">
        <v>2.8251750000000002</v>
      </c>
      <c r="F828" s="18">
        <v>9.2379999999999995</v>
      </c>
      <c r="G828" s="18">
        <v>0.72328696687594718</v>
      </c>
      <c r="H828" s="18">
        <v>0.69417893483437976</v>
      </c>
      <c r="I828" s="18">
        <v>2.9108032041567426E-2</v>
      </c>
    </row>
    <row r="829" spans="1:9" x14ac:dyDescent="0.25">
      <c r="A829" s="2">
        <v>43278</v>
      </c>
      <c r="B829" s="4" t="s">
        <v>93</v>
      </c>
      <c r="C829" s="3">
        <v>585</v>
      </c>
      <c r="D829" s="26">
        <v>18.026199999999999</v>
      </c>
      <c r="E829" s="26">
        <v>17.577200000000001</v>
      </c>
      <c r="F829" s="18">
        <v>55.122999999999998</v>
      </c>
      <c r="G829" s="18">
        <v>0.67298223971844795</v>
      </c>
      <c r="H829" s="18">
        <v>0.6811276599604521</v>
      </c>
      <c r="I829" s="18">
        <v>-8.1454202420041533E-3</v>
      </c>
    </row>
    <row r="830" spans="1:9" x14ac:dyDescent="0.25">
      <c r="A830" s="2">
        <v>43278</v>
      </c>
      <c r="B830" s="4" t="s">
        <v>117</v>
      </c>
      <c r="C830" s="3">
        <v>932</v>
      </c>
      <c r="D830" s="26">
        <v>3.2890999999999999</v>
      </c>
      <c r="E830" s="26">
        <v>3.5217999999999998</v>
      </c>
      <c r="F830" s="18">
        <v>7.86</v>
      </c>
      <c r="G830" s="18">
        <v>0.5815394402035623</v>
      </c>
      <c r="H830" s="18">
        <v>0.55193384223918585</v>
      </c>
      <c r="I830" s="18">
        <v>2.9605597964376451E-2</v>
      </c>
    </row>
    <row r="831" spans="1:9" x14ac:dyDescent="0.25">
      <c r="A831" s="2">
        <v>43278</v>
      </c>
      <c r="B831" s="4" t="s">
        <v>125</v>
      </c>
      <c r="C831" s="3">
        <v>288</v>
      </c>
      <c r="D831" s="26">
        <v>1.7899</v>
      </c>
      <c r="E831" s="26">
        <v>1.87</v>
      </c>
      <c r="F831" s="18">
        <v>7.6230000000000002</v>
      </c>
      <c r="G831" s="18">
        <v>0.76519742883379249</v>
      </c>
      <c r="H831" s="18">
        <v>0.75468975468975452</v>
      </c>
      <c r="I831" s="18">
        <v>1.050767414403786E-2</v>
      </c>
    </row>
    <row r="832" spans="1:9" x14ac:dyDescent="0.25">
      <c r="A832" s="2">
        <v>43278</v>
      </c>
      <c r="B832" s="4" t="s">
        <v>126</v>
      </c>
      <c r="C832" s="3">
        <v>468</v>
      </c>
      <c r="D832" s="26">
        <v>2.5653000000000001</v>
      </c>
      <c r="E832" s="26">
        <v>2.6150000000000002</v>
      </c>
      <c r="F832" s="18">
        <v>10.067</v>
      </c>
      <c r="G832" s="18">
        <v>0.74517731200953596</v>
      </c>
      <c r="H832" s="18">
        <v>0.74024038939107972</v>
      </c>
      <c r="I832" s="18">
        <v>4.9369226184563519E-3</v>
      </c>
    </row>
    <row r="833" spans="1:9" x14ac:dyDescent="0.25">
      <c r="A833" s="2">
        <v>43278</v>
      </c>
      <c r="B833" s="4" t="s">
        <v>177</v>
      </c>
      <c r="C833" s="3">
        <v>5328</v>
      </c>
      <c r="D833" s="26">
        <v>0.9587</v>
      </c>
      <c r="E833" s="26">
        <v>0.99243333333333339</v>
      </c>
      <c r="F833" s="18">
        <v>2.5299999999999998</v>
      </c>
      <c r="G833" s="18">
        <v>0.62106719367588936</v>
      </c>
      <c r="H833" s="18">
        <v>0.60773386034255594</v>
      </c>
      <c r="I833" s="18">
        <v>1.3333333333333419E-2</v>
      </c>
    </row>
    <row r="834" spans="1:9" x14ac:dyDescent="0.25">
      <c r="A834" s="2">
        <v>43278</v>
      </c>
      <c r="B834" s="4" t="s">
        <v>182</v>
      </c>
      <c r="C834" s="3">
        <v>2766</v>
      </c>
      <c r="D834" s="26">
        <v>1.8178000000000001</v>
      </c>
      <c r="E834" s="26">
        <v>2.1012333333333335</v>
      </c>
      <c r="F834" s="18">
        <v>5.5</v>
      </c>
      <c r="G834" s="18">
        <v>0.66949090909090903</v>
      </c>
      <c r="H834" s="18">
        <v>0.61795757575757571</v>
      </c>
      <c r="I834" s="18">
        <v>5.153333333333332E-2</v>
      </c>
    </row>
    <row r="835" spans="1:9" x14ac:dyDescent="0.25">
      <c r="A835" s="2">
        <v>43278</v>
      </c>
      <c r="B835" s="4" t="s">
        <v>204</v>
      </c>
      <c r="C835" s="3">
        <v>554</v>
      </c>
      <c r="D835" s="26">
        <v>18.026199999999999</v>
      </c>
      <c r="E835" s="26">
        <v>16.3523</v>
      </c>
      <c r="F835" s="18">
        <v>60.201000000000001</v>
      </c>
      <c r="G835" s="18">
        <v>0.7005664357734922</v>
      </c>
      <c r="H835" s="18">
        <v>0.72837162173385828</v>
      </c>
      <c r="I835" s="18">
        <v>-2.7805185960366071E-2</v>
      </c>
    </row>
    <row r="836" spans="1:9" x14ac:dyDescent="0.25">
      <c r="A836" s="2">
        <v>43278</v>
      </c>
      <c r="B836" s="4" t="s">
        <v>205</v>
      </c>
      <c r="C836" s="3">
        <v>3084</v>
      </c>
      <c r="D836" s="26">
        <v>18.026199999999999</v>
      </c>
      <c r="E836" s="26">
        <v>16.6388</v>
      </c>
      <c r="F836" s="18">
        <v>60.591000000000001</v>
      </c>
      <c r="G836" s="18">
        <v>0.70249376970177102</v>
      </c>
      <c r="H836" s="18">
        <v>0.72539155980261105</v>
      </c>
      <c r="I836" s="18">
        <v>-2.2897790100840032E-2</v>
      </c>
    </row>
    <row r="837" spans="1:9" x14ac:dyDescent="0.25">
      <c r="A837" s="2">
        <v>43278</v>
      </c>
      <c r="B837" s="4" t="s">
        <v>440</v>
      </c>
      <c r="C837" s="3">
        <v>10880</v>
      </c>
      <c r="D837" s="26">
        <v>0.60899999999999999</v>
      </c>
      <c r="E837" s="26">
        <v>0.60119999999999996</v>
      </c>
      <c r="F837" s="18">
        <v>1.4850000000000001</v>
      </c>
      <c r="G837" s="18">
        <v>0.58989898989898992</v>
      </c>
      <c r="H837" s="18">
        <v>0.59515151515151521</v>
      </c>
      <c r="I837" s="18">
        <v>-5.2525252525252863E-3</v>
      </c>
    </row>
    <row r="838" spans="1:9" x14ac:dyDescent="0.25">
      <c r="A838" s="2">
        <v>43278</v>
      </c>
      <c r="B838" s="4" t="s">
        <v>456</v>
      </c>
      <c r="C838" s="3">
        <v>2370</v>
      </c>
      <c r="D838" s="26">
        <v>3.0803666666666665</v>
      </c>
      <c r="E838" s="26">
        <v>3.5082833333333334</v>
      </c>
      <c r="F838" s="18">
        <v>9.4879999999999995</v>
      </c>
      <c r="G838" s="18">
        <v>0.67534078133783026</v>
      </c>
      <c r="H838" s="18">
        <v>0.63023995222034856</v>
      </c>
      <c r="I838" s="18">
        <v>4.51008291174817E-2</v>
      </c>
    </row>
    <row r="839" spans="1:9" x14ac:dyDescent="0.25">
      <c r="A839" s="2">
        <v>43278</v>
      </c>
      <c r="B839" s="4" t="s">
        <v>226</v>
      </c>
      <c r="C839" s="3">
        <v>7392</v>
      </c>
      <c r="D839" s="26">
        <v>1.6445000000000001</v>
      </c>
      <c r="E839" s="26">
        <v>1.8379000000000001</v>
      </c>
      <c r="F839" s="18">
        <v>4.3689999999999998</v>
      </c>
      <c r="G839" s="18">
        <v>0.62359807736324102</v>
      </c>
      <c r="H839" s="18">
        <v>0.57933165484092464</v>
      </c>
      <c r="I839" s="18">
        <v>4.4266422522316384E-2</v>
      </c>
    </row>
    <row r="840" spans="1:9" x14ac:dyDescent="0.25">
      <c r="A840" s="2">
        <v>43279</v>
      </c>
      <c r="B840" s="4" t="s">
        <v>17</v>
      </c>
      <c r="C840" s="3">
        <v>276</v>
      </c>
      <c r="D840" s="26">
        <v>2.7642000000000002</v>
      </c>
      <c r="E840" s="26">
        <v>4.1817000000000002</v>
      </c>
      <c r="F840" s="18">
        <v>6.8550000000000004</v>
      </c>
      <c r="G840" s="18">
        <v>0.59676148796498896</v>
      </c>
      <c r="H840" s="18">
        <v>0.38997811816192562</v>
      </c>
      <c r="I840" s="18">
        <v>0.20678336980306333</v>
      </c>
    </row>
    <row r="841" spans="1:9" x14ac:dyDescent="0.25">
      <c r="A841" s="2">
        <v>43279</v>
      </c>
      <c r="B841" s="4" t="s">
        <v>100</v>
      </c>
      <c r="C841" s="3">
        <v>1572</v>
      </c>
      <c r="D841" s="26">
        <v>3.2241999999999997</v>
      </c>
      <c r="E841" s="26">
        <v>2.8454999999999999</v>
      </c>
      <c r="F841" s="18">
        <v>7.6870000000000003</v>
      </c>
      <c r="G841" s="18">
        <v>0.58056458956680113</v>
      </c>
      <c r="H841" s="18">
        <v>0.62982958241186415</v>
      </c>
      <c r="I841" s="18">
        <v>-4.9264992845063027E-2</v>
      </c>
    </row>
    <row r="842" spans="1:9" x14ac:dyDescent="0.25">
      <c r="A842" s="2">
        <v>43279</v>
      </c>
      <c r="B842" s="4" t="s">
        <v>103</v>
      </c>
      <c r="C842" s="3">
        <v>6372</v>
      </c>
      <c r="D842" s="26">
        <v>1.6317166666666667</v>
      </c>
      <c r="E842" s="26">
        <v>1.7915833333333333</v>
      </c>
      <c r="F842" s="18">
        <v>4.95</v>
      </c>
      <c r="G842" s="18">
        <v>0.67036026936026938</v>
      </c>
      <c r="H842" s="18">
        <v>0.638063973063973</v>
      </c>
      <c r="I842" s="18">
        <v>3.2296296296296378E-2</v>
      </c>
    </row>
    <row r="843" spans="1:9" x14ac:dyDescent="0.25">
      <c r="A843" s="2">
        <v>43279</v>
      </c>
      <c r="B843" s="4" t="s">
        <v>105</v>
      </c>
      <c r="C843" s="3">
        <v>1342</v>
      </c>
      <c r="D843" s="26">
        <v>8.8350000000000009</v>
      </c>
      <c r="E843" s="26">
        <v>7.6128999999999998</v>
      </c>
      <c r="F843" s="18">
        <v>22.416</v>
      </c>
      <c r="G843" s="18">
        <v>0.60586188436830835</v>
      </c>
      <c r="H843" s="18">
        <v>0.66038097787294792</v>
      </c>
      <c r="I843" s="18">
        <v>-5.4519093504639571E-2</v>
      </c>
    </row>
    <row r="844" spans="1:9" x14ac:dyDescent="0.25">
      <c r="A844" s="2">
        <v>43279</v>
      </c>
      <c r="B844" s="4" t="s">
        <v>128</v>
      </c>
      <c r="C844" s="3">
        <v>31104</v>
      </c>
      <c r="D844" s="26">
        <v>0.22900000000000001</v>
      </c>
      <c r="E844" s="26">
        <v>0.25348194444444444</v>
      </c>
      <c r="F844" s="18">
        <v>0.58699999999999997</v>
      </c>
      <c r="G844" s="18">
        <v>0.60988074957410565</v>
      </c>
      <c r="H844" s="18">
        <v>0.56817385954949839</v>
      </c>
      <c r="I844" s="18">
        <v>4.1706890024607257E-2</v>
      </c>
    </row>
    <row r="845" spans="1:9" x14ac:dyDescent="0.25">
      <c r="A845" s="2">
        <v>43279</v>
      </c>
      <c r="B845" s="4" t="s">
        <v>138</v>
      </c>
      <c r="C845" s="3">
        <v>4476</v>
      </c>
      <c r="D845" s="26">
        <v>0.88490000000000002</v>
      </c>
      <c r="E845" s="26">
        <v>1.0804666666666669</v>
      </c>
      <c r="F845" s="18">
        <v>2.3889999999999998</v>
      </c>
      <c r="G845" s="18">
        <v>0.629593972373378</v>
      </c>
      <c r="H845" s="18">
        <v>0.54773266359704198</v>
      </c>
      <c r="I845" s="18">
        <v>8.1861308776336017E-2</v>
      </c>
    </row>
    <row r="846" spans="1:9" x14ac:dyDescent="0.25">
      <c r="A846" s="2">
        <v>43279</v>
      </c>
      <c r="B846" s="4" t="s">
        <v>143</v>
      </c>
      <c r="C846" s="3">
        <v>2124</v>
      </c>
      <c r="D846" s="26">
        <v>2.0066999999999999</v>
      </c>
      <c r="E846" s="26">
        <v>2.0758999999999999</v>
      </c>
      <c r="F846" s="18">
        <v>5.2930000000000001</v>
      </c>
      <c r="G846" s="18">
        <v>0.62087662951067446</v>
      </c>
      <c r="H846" s="18">
        <v>0.60780275836009823</v>
      </c>
      <c r="I846" s="18">
        <v>1.3073871150576233E-2</v>
      </c>
    </row>
    <row r="847" spans="1:9" x14ac:dyDescent="0.25">
      <c r="A847" s="2">
        <v>43279</v>
      </c>
      <c r="B847" s="4" t="s">
        <v>153</v>
      </c>
      <c r="C847" s="3">
        <v>6408</v>
      </c>
      <c r="D847" s="26">
        <v>0.56405833333333333</v>
      </c>
      <c r="E847" s="26">
        <v>0.69223333333333337</v>
      </c>
      <c r="F847" s="18">
        <v>1.7569999999999999</v>
      </c>
      <c r="G847" s="18">
        <v>0.67896509201290078</v>
      </c>
      <c r="H847" s="18">
        <v>0.6060140390817681</v>
      </c>
      <c r="I847" s="18">
        <v>7.2951052931132687E-2</v>
      </c>
    </row>
    <row r="848" spans="1:9" x14ac:dyDescent="0.25">
      <c r="A848" s="2">
        <v>43279</v>
      </c>
      <c r="B848" s="4" t="s">
        <v>441</v>
      </c>
      <c r="C848" s="3">
        <v>14076</v>
      </c>
      <c r="D848" s="26">
        <v>0.5252</v>
      </c>
      <c r="E848" s="26">
        <v>0.51470000000000005</v>
      </c>
      <c r="F848" s="18">
        <v>1.349</v>
      </c>
      <c r="G848" s="18">
        <v>0.61067457375833956</v>
      </c>
      <c r="H848" s="18">
        <v>0.61845811712379539</v>
      </c>
      <c r="I848" s="18">
        <v>-7.783543365455837E-3</v>
      </c>
    </row>
    <row r="849" spans="1:9" x14ac:dyDescent="0.25">
      <c r="A849" s="2">
        <v>43280</v>
      </c>
      <c r="B849" s="4" t="s">
        <v>98</v>
      </c>
      <c r="C849" s="3">
        <v>29844</v>
      </c>
      <c r="D849" s="26">
        <v>0.63849999999999996</v>
      </c>
      <c r="E849" s="26">
        <v>0.66790000000000005</v>
      </c>
      <c r="F849" s="18">
        <v>2.2229999999999999</v>
      </c>
      <c r="G849" s="18">
        <v>0.71277552856500215</v>
      </c>
      <c r="H849" s="18">
        <v>0.69955015744489435</v>
      </c>
      <c r="I849" s="18">
        <v>1.3225371120107798E-2</v>
      </c>
    </row>
    <row r="850" spans="1:9" x14ac:dyDescent="0.25">
      <c r="A850" s="2">
        <v>43280</v>
      </c>
      <c r="B850" s="4" t="s">
        <v>103</v>
      </c>
      <c r="C850" s="3">
        <v>5544</v>
      </c>
      <c r="D850" s="26">
        <v>1.6317166666666667</v>
      </c>
      <c r="E850" s="26">
        <v>1.6291666666666669</v>
      </c>
      <c r="F850" s="18">
        <v>4.95</v>
      </c>
      <c r="G850" s="18">
        <v>0.67036026936026938</v>
      </c>
      <c r="H850" s="18">
        <v>0.67087542087542096</v>
      </c>
      <c r="I850" s="18">
        <v>-5.1515151515157953E-4</v>
      </c>
    </row>
    <row r="851" spans="1:9" x14ac:dyDescent="0.25">
      <c r="A851" s="2">
        <v>43280</v>
      </c>
      <c r="B851" s="4" t="s">
        <v>114</v>
      </c>
      <c r="C851" s="3">
        <v>726</v>
      </c>
      <c r="D851" s="26">
        <v>1.9188000000000001</v>
      </c>
      <c r="E851" s="26">
        <v>2.2738999999999998</v>
      </c>
      <c r="F851" s="18">
        <v>6.1319999999999997</v>
      </c>
      <c r="G851" s="18">
        <v>0.68708414872798429</v>
      </c>
      <c r="H851" s="18">
        <v>0.62917482061317676</v>
      </c>
      <c r="I851" s="18">
        <v>5.7909328114807535E-2</v>
      </c>
    </row>
    <row r="852" spans="1:9" x14ac:dyDescent="0.25">
      <c r="A852" s="2">
        <v>43280</v>
      </c>
      <c r="B852" s="4" t="s">
        <v>150</v>
      </c>
      <c r="C852" s="3">
        <v>2382</v>
      </c>
      <c r="D852" s="26">
        <v>0.83291666666666653</v>
      </c>
      <c r="E852" s="26">
        <v>0.82164999999999999</v>
      </c>
      <c r="F852" s="18">
        <v>2.0830000000000002</v>
      </c>
      <c r="G852" s="18">
        <v>0.60013602176348213</v>
      </c>
      <c r="H852" s="18">
        <v>0.6055448871819491</v>
      </c>
      <c r="I852" s="18">
        <v>-5.4088654184669682E-3</v>
      </c>
    </row>
    <row r="853" spans="1:9" x14ac:dyDescent="0.25">
      <c r="A853" s="2">
        <v>43280</v>
      </c>
      <c r="B853" s="4" t="s">
        <v>389</v>
      </c>
      <c r="C853" s="3">
        <v>7854</v>
      </c>
      <c r="D853" s="26">
        <v>0.8037333333333333</v>
      </c>
      <c r="E853" s="26">
        <v>0.88144999999999996</v>
      </c>
      <c r="F853" s="18">
        <v>2.7069999999999999</v>
      </c>
      <c r="G853" s="18">
        <v>0.70309075237039775</v>
      </c>
      <c r="H853" s="18">
        <v>0.67438123383819726</v>
      </c>
      <c r="I853" s="18">
        <v>2.8709518532200495E-2</v>
      </c>
    </row>
    <row r="854" spans="1:9" x14ac:dyDescent="0.25">
      <c r="A854" s="2">
        <v>43280</v>
      </c>
      <c r="B854" s="4" t="s">
        <v>430</v>
      </c>
      <c r="C854" s="3">
        <v>5322</v>
      </c>
      <c r="D854" s="26">
        <v>2.97845</v>
      </c>
      <c r="E854" s="26">
        <v>3.3374833333333331</v>
      </c>
      <c r="F854" s="18">
        <v>7.4450000000000003</v>
      </c>
      <c r="G854" s="18">
        <v>0.59993955674949628</v>
      </c>
      <c r="H854" s="18">
        <v>0.55171479740317886</v>
      </c>
      <c r="I854" s="18">
        <v>4.8224759346317425E-2</v>
      </c>
    </row>
    <row r="855" spans="1:9" x14ac:dyDescent="0.25">
      <c r="A855" s="2">
        <v>43281</v>
      </c>
      <c r="B855" s="4" t="s">
        <v>93</v>
      </c>
      <c r="C855" s="3">
        <v>340</v>
      </c>
      <c r="D855" s="26">
        <v>18.026199999999999</v>
      </c>
      <c r="E855" s="26">
        <v>18.506900000000002</v>
      </c>
      <c r="F855" s="18">
        <v>55.122999999999998</v>
      </c>
      <c r="G855" s="18">
        <v>0.67298223971844795</v>
      </c>
      <c r="H855" s="18">
        <v>0.66426174192260934</v>
      </c>
      <c r="I855" s="18">
        <v>8.720497795838611E-3</v>
      </c>
    </row>
    <row r="856" spans="1:9" x14ac:dyDescent="0.25">
      <c r="A856" s="2">
        <v>43281</v>
      </c>
      <c r="B856" s="4" t="s">
        <v>99</v>
      </c>
      <c r="C856" s="3">
        <v>6204</v>
      </c>
      <c r="D856" s="26">
        <v>2.5642</v>
      </c>
      <c r="E856" s="26">
        <v>2.5428999999999999</v>
      </c>
      <c r="F856" s="18">
        <v>5.3940000000000001</v>
      </c>
      <c r="G856" s="18">
        <v>0.52461994809047086</v>
      </c>
      <c r="H856" s="18">
        <v>0.52856878012606601</v>
      </c>
      <c r="I856" s="18">
        <v>-3.9488320355951512E-3</v>
      </c>
    </row>
    <row r="857" spans="1:9" x14ac:dyDescent="0.25">
      <c r="A857" s="2">
        <v>43281</v>
      </c>
      <c r="B857" s="4" t="s">
        <v>100</v>
      </c>
      <c r="C857" s="3">
        <v>510</v>
      </c>
      <c r="D857" s="26">
        <v>3.2241999999999997</v>
      </c>
      <c r="E857" s="26">
        <v>3.3593999999999999</v>
      </c>
      <c r="F857" s="18">
        <v>7.6870000000000003</v>
      </c>
      <c r="G857" s="18">
        <v>0.58056458956680113</v>
      </c>
      <c r="H857" s="18">
        <v>0.56297645375308969</v>
      </c>
      <c r="I857" s="18">
        <v>1.7588135813711436E-2</v>
      </c>
    </row>
    <row r="858" spans="1:9" x14ac:dyDescent="0.25">
      <c r="A858" s="2">
        <v>43281</v>
      </c>
      <c r="B858" s="4" t="s">
        <v>103</v>
      </c>
      <c r="C858" s="3">
        <v>1272</v>
      </c>
      <c r="D858" s="26">
        <v>1.6317166666666667</v>
      </c>
      <c r="E858" s="26">
        <v>1.6835000000000002</v>
      </c>
      <c r="F858" s="18">
        <v>4.95</v>
      </c>
      <c r="G858" s="18">
        <v>0.67036026936026938</v>
      </c>
      <c r="H858" s="18">
        <v>0.65989898989898987</v>
      </c>
      <c r="I858" s="18">
        <v>1.0461279461279505E-2</v>
      </c>
    </row>
    <row r="859" spans="1:9" x14ac:dyDescent="0.25">
      <c r="A859" s="2">
        <v>43281</v>
      </c>
      <c r="B859" s="4" t="s">
        <v>389</v>
      </c>
      <c r="C859" s="3">
        <v>4506</v>
      </c>
      <c r="D859" s="26">
        <v>0.8037333333333333</v>
      </c>
      <c r="E859" s="26">
        <v>0.95828333333333326</v>
      </c>
      <c r="F859" s="18">
        <v>2.7069999999999999</v>
      </c>
      <c r="G859" s="18">
        <v>0.70309075237039775</v>
      </c>
      <c r="H859" s="18">
        <v>0.64599802979928589</v>
      </c>
      <c r="I859" s="18">
        <v>5.7092722571111865E-2</v>
      </c>
    </row>
    <row r="860" spans="1:9" x14ac:dyDescent="0.25">
      <c r="A860" s="2">
        <v>43281</v>
      </c>
      <c r="B860" s="4" t="s">
        <v>208</v>
      </c>
      <c r="C860" s="3">
        <v>3972</v>
      </c>
      <c r="D860" s="26">
        <v>1.6374333333333333</v>
      </c>
      <c r="E860" s="26">
        <v>1.6176833333333331</v>
      </c>
      <c r="F860" s="18">
        <v>5.9249999999999998</v>
      </c>
      <c r="G860" s="18">
        <v>0.72363994374120955</v>
      </c>
      <c r="H860" s="18">
        <v>0.72697327707454307</v>
      </c>
      <c r="I860" s="18">
        <v>-3.3333333333334103E-3</v>
      </c>
    </row>
    <row r="861" spans="1:9" x14ac:dyDescent="0.25">
      <c r="A861" s="2">
        <v>43281</v>
      </c>
      <c r="B861" s="4" t="s">
        <v>232</v>
      </c>
      <c r="C861" s="3">
        <v>216</v>
      </c>
      <c r="D861" s="26">
        <v>1.7262</v>
      </c>
      <c r="E861" s="26">
        <v>1.847</v>
      </c>
      <c r="F861" s="18">
        <v>3.6640000000000001</v>
      </c>
      <c r="G861" s="18">
        <v>0.52887554585152841</v>
      </c>
      <c r="H861" s="18">
        <v>0.49590611353711794</v>
      </c>
      <c r="I861" s="18">
        <v>3.2969432314410463E-2</v>
      </c>
    </row>
    <row r="862" spans="1:9" x14ac:dyDescent="0.25">
      <c r="A862" s="2">
        <v>43281</v>
      </c>
      <c r="B862" s="4" t="s">
        <v>229</v>
      </c>
      <c r="C862" s="3">
        <v>95</v>
      </c>
      <c r="D862" s="26">
        <v>1.5855999999999999</v>
      </c>
      <c r="E862" s="26">
        <v>2.1442999999999999</v>
      </c>
      <c r="F862" s="18">
        <v>3.7690000000000001</v>
      </c>
      <c r="G862" s="18">
        <v>0.5793048553993102</v>
      </c>
      <c r="H862" s="18">
        <v>0.43106924913770234</v>
      </c>
      <c r="I862" s="18">
        <v>0.14823560626160787</v>
      </c>
    </row>
    <row r="863" spans="1:9" x14ac:dyDescent="0.25">
      <c r="A863" s="2">
        <v>43281</v>
      </c>
      <c r="B863" s="4" t="s">
        <v>425</v>
      </c>
      <c r="C863" s="3">
        <v>27</v>
      </c>
      <c r="D863" s="26">
        <v>2.0996000000000001</v>
      </c>
      <c r="E863" s="26">
        <v>2.2799999999999998</v>
      </c>
      <c r="F863" s="18">
        <v>3.1589999999999998</v>
      </c>
      <c r="G863" s="18">
        <v>0.3353592909148464</v>
      </c>
      <c r="H863" s="18">
        <v>0.27825261158594494</v>
      </c>
      <c r="I863" s="18">
        <v>5.7106679328901455E-2</v>
      </c>
    </row>
    <row r="864" spans="1:9" x14ac:dyDescent="0.25">
      <c r="A864" s="2">
        <v>43283</v>
      </c>
      <c r="B864" s="4" t="s">
        <v>103</v>
      </c>
      <c r="C864" s="3">
        <v>5652</v>
      </c>
      <c r="D864" s="26">
        <v>1.6317166666666667</v>
      </c>
      <c r="E864" s="26">
        <v>1.5919666666666668</v>
      </c>
      <c r="F864" s="18">
        <v>4.95</v>
      </c>
      <c r="G864" s="18">
        <v>0.67036026936026938</v>
      </c>
      <c r="H864" s="18">
        <v>0.67839057239057232</v>
      </c>
      <c r="I864" s="18">
        <v>-8.0303030303029432E-3</v>
      </c>
    </row>
    <row r="865" spans="1:9" x14ac:dyDescent="0.25">
      <c r="A865" s="2">
        <v>43283</v>
      </c>
      <c r="B865" s="4" t="s">
        <v>315</v>
      </c>
      <c r="C865" s="3">
        <v>31456</v>
      </c>
      <c r="D865" s="26">
        <v>0.20490000000000003</v>
      </c>
      <c r="E865" s="26">
        <v>0.2215</v>
      </c>
      <c r="F865" s="18">
        <v>0.66200000000000003</v>
      </c>
      <c r="G865" s="18">
        <v>0.69048338368580053</v>
      </c>
      <c r="H865" s="18">
        <v>0.66540785498489419</v>
      </c>
      <c r="I865" s="18">
        <v>2.5075528700906347E-2</v>
      </c>
    </row>
    <row r="866" spans="1:9" x14ac:dyDescent="0.25">
      <c r="A866" s="2">
        <v>43283</v>
      </c>
      <c r="B866" s="4" t="s">
        <v>317</v>
      </c>
      <c r="C866" s="3">
        <v>23004</v>
      </c>
      <c r="D866" s="26">
        <v>0.43540000000000001</v>
      </c>
      <c r="E866" s="26">
        <v>0.47349999999999998</v>
      </c>
      <c r="F866" s="18">
        <v>1.407</v>
      </c>
      <c r="G866" s="18">
        <v>0.69054726368159203</v>
      </c>
      <c r="H866" s="18">
        <v>0.66346837242359624</v>
      </c>
      <c r="I866" s="18">
        <v>2.7078891257995785E-2</v>
      </c>
    </row>
    <row r="867" spans="1:9" x14ac:dyDescent="0.25">
      <c r="A867" s="2">
        <v>43283</v>
      </c>
      <c r="B867" s="4" t="s">
        <v>389</v>
      </c>
      <c r="C867" s="3">
        <v>834</v>
      </c>
      <c r="D867" s="26">
        <v>0.8037333333333333</v>
      </c>
      <c r="E867" s="26">
        <v>0.89493333333333347</v>
      </c>
      <c r="F867" s="18">
        <v>2.7069999999999999</v>
      </c>
      <c r="G867" s="18">
        <v>0.70309075237039775</v>
      </c>
      <c r="H867" s="18">
        <v>0.66940032015761608</v>
      </c>
      <c r="I867" s="18">
        <v>3.3690432212781674E-2</v>
      </c>
    </row>
    <row r="868" spans="1:9" x14ac:dyDescent="0.25">
      <c r="A868" s="2">
        <v>43283</v>
      </c>
      <c r="B868" s="4" t="s">
        <v>208</v>
      </c>
      <c r="C868" s="3">
        <v>1782</v>
      </c>
      <c r="D868" s="26">
        <v>1.6374333333333333</v>
      </c>
      <c r="E868" s="26">
        <v>1.5426833333333334</v>
      </c>
      <c r="F868" s="18">
        <v>5.9249999999999998</v>
      </c>
      <c r="G868" s="18">
        <v>0.72363994374120955</v>
      </c>
      <c r="H868" s="18">
        <v>0.73963150492264396</v>
      </c>
      <c r="I868" s="18">
        <v>-1.5991561181434522E-2</v>
      </c>
    </row>
    <row r="869" spans="1:9" x14ac:dyDescent="0.25">
      <c r="A869" s="2">
        <v>43283</v>
      </c>
      <c r="B869" s="4" t="s">
        <v>230</v>
      </c>
      <c r="C869" s="3">
        <v>17046</v>
      </c>
      <c r="D869" s="26">
        <v>0.55530000000000002</v>
      </c>
      <c r="E869" s="26">
        <v>0.62283333333333335</v>
      </c>
      <c r="F869" s="18">
        <v>1.57</v>
      </c>
      <c r="G869" s="18">
        <v>0.64630573248407641</v>
      </c>
      <c r="H869" s="18">
        <v>0.60329087048832275</v>
      </c>
      <c r="I869" s="18">
        <v>4.3014861995753662E-2</v>
      </c>
    </row>
    <row r="870" spans="1:9" x14ac:dyDescent="0.25">
      <c r="A870" s="2">
        <v>43283</v>
      </c>
      <c r="B870" s="4" t="s">
        <v>463</v>
      </c>
      <c r="C870" s="3">
        <v>7914</v>
      </c>
      <c r="D870" s="26">
        <v>3.453816666666667</v>
      </c>
      <c r="E870" s="26">
        <v>3.2189999999999999</v>
      </c>
      <c r="F870" s="18">
        <v>9.5</v>
      </c>
      <c r="G870" s="18">
        <v>0.63644035087719297</v>
      </c>
      <c r="H870" s="18">
        <v>0.66115789473684217</v>
      </c>
      <c r="I870" s="18">
        <v>-2.4717543859649194E-2</v>
      </c>
    </row>
    <row r="871" spans="1:9" x14ac:dyDescent="0.25">
      <c r="A871" s="2">
        <v>43284</v>
      </c>
      <c r="B871" s="4" t="s">
        <v>18</v>
      </c>
      <c r="C871" s="3">
        <v>210</v>
      </c>
      <c r="D871" s="26">
        <v>1.7713000000000001</v>
      </c>
      <c r="E871" s="26">
        <v>2.2033</v>
      </c>
      <c r="F871" s="18">
        <v>4.0819999999999999</v>
      </c>
      <c r="G871" s="18">
        <v>0.56607055365017145</v>
      </c>
      <c r="H871" s="18">
        <v>0.46024007839294462</v>
      </c>
      <c r="I871" s="18">
        <v>0.10583047525722684</v>
      </c>
    </row>
    <row r="872" spans="1:9" x14ac:dyDescent="0.25">
      <c r="A872" s="2">
        <v>43284</v>
      </c>
      <c r="B872" s="4" t="s">
        <v>21</v>
      </c>
      <c r="C872" s="3">
        <v>624</v>
      </c>
      <c r="D872" s="26">
        <v>1.7817000000000001</v>
      </c>
      <c r="E872" s="26">
        <v>2.1766999999999999</v>
      </c>
      <c r="F872" s="18">
        <v>6.8840000000000003</v>
      </c>
      <c r="G872" s="18">
        <v>0.74118245206275424</v>
      </c>
      <c r="H872" s="18">
        <v>0.68380302149912842</v>
      </c>
      <c r="I872" s="18">
        <v>5.7379430563625822E-2</v>
      </c>
    </row>
    <row r="873" spans="1:9" x14ac:dyDescent="0.25">
      <c r="A873" s="2">
        <v>43284</v>
      </c>
      <c r="B873" s="4" t="s">
        <v>25</v>
      </c>
      <c r="C873" s="3">
        <v>76</v>
      </c>
      <c r="D873" s="26">
        <v>4.4297000000000004</v>
      </c>
      <c r="E873" s="26">
        <v>5.5130999999999997</v>
      </c>
      <c r="F873" s="18">
        <v>20.96</v>
      </c>
      <c r="G873" s="18">
        <v>0.78865935114503805</v>
      </c>
      <c r="H873" s="18">
        <v>0.73697041984732836</v>
      </c>
      <c r="I873" s="18">
        <v>5.1688931297709906E-2</v>
      </c>
    </row>
    <row r="874" spans="1:9" x14ac:dyDescent="0.25">
      <c r="A874" s="2">
        <v>43284</v>
      </c>
      <c r="B874" s="4" t="s">
        <v>160</v>
      </c>
      <c r="C874" s="3">
        <v>5580</v>
      </c>
      <c r="D874" s="26">
        <v>2.0857333333333332</v>
      </c>
      <c r="E874" s="26">
        <v>2.1759833333333334</v>
      </c>
      <c r="F874" s="18">
        <v>6.673</v>
      </c>
      <c r="G874" s="18">
        <v>0.68743693491183366</v>
      </c>
      <c r="H874" s="18">
        <v>0.67391228333083575</v>
      </c>
      <c r="I874" s="18">
        <v>1.3524651580997917E-2</v>
      </c>
    </row>
    <row r="875" spans="1:9" x14ac:dyDescent="0.25">
      <c r="A875" s="2">
        <v>43284</v>
      </c>
      <c r="B875" s="4" t="s">
        <v>161</v>
      </c>
      <c r="C875" s="3">
        <v>1218</v>
      </c>
      <c r="D875" s="26">
        <v>3.1958666666666669</v>
      </c>
      <c r="E875" s="26">
        <v>3.1043000000000003</v>
      </c>
      <c r="F875" s="18">
        <v>10.452</v>
      </c>
      <c r="G875" s="18">
        <v>0.69423395841306279</v>
      </c>
      <c r="H875" s="18">
        <v>0.70299464217374663</v>
      </c>
      <c r="I875" s="18">
        <v>-8.7606837606838406E-3</v>
      </c>
    </row>
    <row r="876" spans="1:9" x14ac:dyDescent="0.25">
      <c r="A876" s="2">
        <v>43284</v>
      </c>
      <c r="B876" s="4" t="s">
        <v>162</v>
      </c>
      <c r="C876" s="3">
        <v>1080</v>
      </c>
      <c r="D876" s="26">
        <v>0.65338333333333332</v>
      </c>
      <c r="E876" s="26">
        <v>0.59317500000000001</v>
      </c>
      <c r="F876" s="18">
        <v>2.2949999999999999</v>
      </c>
      <c r="G876" s="18">
        <v>0.7153013798111838</v>
      </c>
      <c r="H876" s="18">
        <v>0.74153594771241826</v>
      </c>
      <c r="I876" s="18">
        <v>-2.6234567901234462E-2</v>
      </c>
    </row>
    <row r="877" spans="1:9" x14ac:dyDescent="0.25">
      <c r="A877" s="2">
        <v>43284</v>
      </c>
      <c r="B877" s="4" t="s">
        <v>380</v>
      </c>
      <c r="C877" s="3">
        <v>366</v>
      </c>
      <c r="D877" s="26">
        <v>1.9254833333333332</v>
      </c>
      <c r="E877" s="26">
        <v>2.0373333333333332</v>
      </c>
      <c r="F877" s="18">
        <v>7.0369999999999999</v>
      </c>
      <c r="G877" s="18">
        <v>0.72637724409075843</v>
      </c>
      <c r="H877" s="18">
        <v>0.71048268675098281</v>
      </c>
      <c r="I877" s="18">
        <v>1.5894557339775628E-2</v>
      </c>
    </row>
    <row r="878" spans="1:9" x14ac:dyDescent="0.25">
      <c r="A878" s="2">
        <v>43284</v>
      </c>
      <c r="B878" s="4" t="s">
        <v>381</v>
      </c>
      <c r="C878" s="3">
        <v>348</v>
      </c>
      <c r="D878" s="26">
        <v>0.89863333333333328</v>
      </c>
      <c r="E878" s="26">
        <v>0.88867499999999999</v>
      </c>
      <c r="F878" s="18">
        <v>2.5960000000000001</v>
      </c>
      <c r="G878" s="18">
        <v>0.65383923985618908</v>
      </c>
      <c r="H878" s="18">
        <v>0.65767526964560863</v>
      </c>
      <c r="I878" s="18">
        <v>-3.8360297894195479E-3</v>
      </c>
    </row>
    <row r="879" spans="1:9" x14ac:dyDescent="0.25">
      <c r="A879" s="2">
        <v>43284</v>
      </c>
      <c r="B879" s="4" t="s">
        <v>382</v>
      </c>
      <c r="C879" s="3">
        <v>432</v>
      </c>
      <c r="D879" s="26">
        <v>1.97915</v>
      </c>
      <c r="E879" s="26">
        <v>2.0141</v>
      </c>
      <c r="F879" s="18">
        <v>7.2839999999999998</v>
      </c>
      <c r="G879" s="18">
        <v>0.7282880285557386</v>
      </c>
      <c r="H879" s="18">
        <v>0.72348984074684242</v>
      </c>
      <c r="I879" s="18">
        <v>4.7981878088961816E-3</v>
      </c>
    </row>
    <row r="880" spans="1:9" x14ac:dyDescent="0.25">
      <c r="A880" s="2">
        <v>43284</v>
      </c>
      <c r="B880" s="4" t="s">
        <v>383</v>
      </c>
      <c r="C880" s="3">
        <v>222</v>
      </c>
      <c r="D880" s="26">
        <v>2.8104166666666668</v>
      </c>
      <c r="E880" s="26">
        <v>3.0183</v>
      </c>
      <c r="F880" s="18">
        <v>9.3130000000000006</v>
      </c>
      <c r="G880" s="18">
        <v>0.69822649343211995</v>
      </c>
      <c r="H880" s="18">
        <v>0.67590464941479655</v>
      </c>
      <c r="I880" s="18">
        <v>2.23218440173234E-2</v>
      </c>
    </row>
    <row r="881" spans="1:9" x14ac:dyDescent="0.25">
      <c r="A881" s="2">
        <v>43284</v>
      </c>
      <c r="B881" s="4" t="s">
        <v>384</v>
      </c>
      <c r="C881" s="3">
        <v>84</v>
      </c>
      <c r="D881" s="26">
        <v>0.62089166666666673</v>
      </c>
      <c r="E881" s="26">
        <v>0.83204999999999996</v>
      </c>
      <c r="F881" s="18">
        <v>2.5960000000000001</v>
      </c>
      <c r="G881" s="18">
        <v>0.76082755521314849</v>
      </c>
      <c r="H881" s="18">
        <v>0.67948767334360549</v>
      </c>
      <c r="I881" s="18">
        <v>8.1339881869542996E-2</v>
      </c>
    </row>
    <row r="882" spans="1:9" x14ac:dyDescent="0.25">
      <c r="A882" s="2">
        <v>43284</v>
      </c>
      <c r="B882" s="4" t="s">
        <v>386</v>
      </c>
      <c r="C882" s="3">
        <v>18</v>
      </c>
      <c r="D882" s="26">
        <v>2.4520500000000003</v>
      </c>
      <c r="E882" s="26">
        <v>2.3578000000000001</v>
      </c>
      <c r="F882" s="18">
        <v>7.157</v>
      </c>
      <c r="G882" s="18">
        <v>0.65739136509710772</v>
      </c>
      <c r="H882" s="18">
        <v>0.67056029062456335</v>
      </c>
      <c r="I882" s="18">
        <v>-1.3168925527455633E-2</v>
      </c>
    </row>
    <row r="883" spans="1:9" x14ac:dyDescent="0.25">
      <c r="A883" s="2">
        <v>43284</v>
      </c>
      <c r="B883" s="4" t="s">
        <v>387</v>
      </c>
      <c r="C883" s="3">
        <v>12</v>
      </c>
      <c r="D883" s="26">
        <v>3.5050833333333333</v>
      </c>
      <c r="E883" s="26">
        <v>3.3616833333333336</v>
      </c>
      <c r="F883" s="18">
        <v>9.8140000000000001</v>
      </c>
      <c r="G883" s="18">
        <v>0.64284865158616944</v>
      </c>
      <c r="H883" s="18">
        <v>0.65746043067726379</v>
      </c>
      <c r="I883" s="18">
        <v>-1.4611779091094346E-2</v>
      </c>
    </row>
    <row r="884" spans="1:9" x14ac:dyDescent="0.25">
      <c r="A884" s="2">
        <v>43284</v>
      </c>
      <c r="B884" s="4" t="s">
        <v>388</v>
      </c>
      <c r="C884" s="3">
        <v>56</v>
      </c>
      <c r="D884" s="26">
        <v>0.90312499999999996</v>
      </c>
      <c r="E884" s="26">
        <v>0.88046250000000004</v>
      </c>
      <c r="F884" s="18">
        <v>2.9580000000000002</v>
      </c>
      <c r="G884" s="18">
        <v>0.69468390804597702</v>
      </c>
      <c r="H884" s="18">
        <v>0.70234533468559834</v>
      </c>
      <c r="I884" s="18">
        <v>-7.6614266396213262E-3</v>
      </c>
    </row>
    <row r="885" spans="1:9" x14ac:dyDescent="0.25">
      <c r="A885" s="2">
        <v>43284</v>
      </c>
      <c r="B885" s="4" t="s">
        <v>182</v>
      </c>
      <c r="C885" s="3">
        <v>1296</v>
      </c>
      <c r="D885" s="26">
        <v>1.8178000000000001</v>
      </c>
      <c r="E885" s="26">
        <v>2.2689166666666667</v>
      </c>
      <c r="F885" s="18">
        <v>5.5</v>
      </c>
      <c r="G885" s="18">
        <v>0.66949090909090903</v>
      </c>
      <c r="H885" s="18">
        <v>0.58746969696969698</v>
      </c>
      <c r="I885" s="18">
        <v>8.202121212121205E-2</v>
      </c>
    </row>
    <row r="886" spans="1:9" x14ac:dyDescent="0.25">
      <c r="A886" s="2">
        <v>43284</v>
      </c>
      <c r="B886" s="4" t="s">
        <v>389</v>
      </c>
      <c r="C886" s="3">
        <v>3414</v>
      </c>
      <c r="D886" s="26">
        <v>0.8037333333333333</v>
      </c>
      <c r="E886" s="26">
        <v>0.85581666666666667</v>
      </c>
      <c r="F886" s="18">
        <v>2.7069999999999999</v>
      </c>
      <c r="G886" s="18">
        <v>0.70309075237039775</v>
      </c>
      <c r="H886" s="18">
        <v>0.68385051102081018</v>
      </c>
      <c r="I886" s="18">
        <v>1.9240241349587572E-2</v>
      </c>
    </row>
    <row r="887" spans="1:9" x14ac:dyDescent="0.25">
      <c r="A887" s="2">
        <v>43284</v>
      </c>
      <c r="B887" s="4" t="s">
        <v>208</v>
      </c>
      <c r="C887" s="3">
        <v>5580</v>
      </c>
      <c r="D887" s="26">
        <v>1.6374333333333333</v>
      </c>
      <c r="E887" s="26">
        <v>1.6264166666666666</v>
      </c>
      <c r="F887" s="18">
        <v>5.9249999999999998</v>
      </c>
      <c r="G887" s="18">
        <v>0.72363994374120955</v>
      </c>
      <c r="H887" s="18">
        <v>0.72549929676511948</v>
      </c>
      <c r="I887" s="18">
        <v>-1.8593530239100489E-3</v>
      </c>
    </row>
    <row r="888" spans="1:9" x14ac:dyDescent="0.25">
      <c r="A888" s="2">
        <v>43284</v>
      </c>
      <c r="B888" s="4" t="s">
        <v>230</v>
      </c>
      <c r="C888" s="3">
        <v>7182</v>
      </c>
      <c r="D888" s="26">
        <v>0.55530000000000002</v>
      </c>
      <c r="E888" s="26">
        <v>0.64958333333333329</v>
      </c>
      <c r="F888" s="18">
        <v>1.57</v>
      </c>
      <c r="G888" s="18">
        <v>0.64630573248407641</v>
      </c>
      <c r="H888" s="18">
        <v>0.58625265392781323</v>
      </c>
      <c r="I888" s="18">
        <v>6.0053078556263184E-2</v>
      </c>
    </row>
    <row r="889" spans="1:9" x14ac:dyDescent="0.25">
      <c r="A889" s="2">
        <v>43284</v>
      </c>
      <c r="B889" s="4" t="s">
        <v>421</v>
      </c>
      <c r="C889" s="3">
        <v>1544</v>
      </c>
      <c r="D889" s="26">
        <v>1.1591499999999999</v>
      </c>
      <c r="E889" s="26">
        <v>1.2565249999999999</v>
      </c>
      <c r="F889" s="18">
        <v>3.6</v>
      </c>
      <c r="G889" s="18">
        <v>0.67801388888888892</v>
      </c>
      <c r="H889" s="18">
        <v>0.6509652777777778</v>
      </c>
      <c r="I889" s="18">
        <v>2.704861111111112E-2</v>
      </c>
    </row>
    <row r="890" spans="1:9" x14ac:dyDescent="0.25">
      <c r="A890" s="2">
        <v>43284</v>
      </c>
      <c r="B890" s="4" t="s">
        <v>441</v>
      </c>
      <c r="C890" s="3">
        <v>1734</v>
      </c>
      <c r="D890" s="26">
        <v>0.5252</v>
      </c>
      <c r="E890" s="26">
        <v>0.51539999999999997</v>
      </c>
      <c r="F890" s="18">
        <v>1.349</v>
      </c>
      <c r="G890" s="18">
        <v>0.61067457375833956</v>
      </c>
      <c r="H890" s="18">
        <v>0.61793921423276499</v>
      </c>
      <c r="I890" s="18">
        <v>-7.2646404744254323E-3</v>
      </c>
    </row>
    <row r="891" spans="1:9" x14ac:dyDescent="0.25">
      <c r="A891" s="2">
        <v>43285</v>
      </c>
      <c r="B891" s="4" t="s">
        <v>304</v>
      </c>
      <c r="C891" s="3">
        <v>10208</v>
      </c>
      <c r="D891" s="26">
        <v>0.21190000000000001</v>
      </c>
      <c r="E891" s="26">
        <v>0.28242499999999998</v>
      </c>
      <c r="F891" s="18">
        <v>0.66200000000000003</v>
      </c>
      <c r="G891" s="18">
        <v>0.67990936555891246</v>
      </c>
      <c r="H891" s="18">
        <v>0.57337613293051359</v>
      </c>
      <c r="I891" s="18">
        <v>0.10653323262839888</v>
      </c>
    </row>
    <row r="892" spans="1:9" x14ac:dyDescent="0.25">
      <c r="A892" s="2">
        <v>43285</v>
      </c>
      <c r="B892" s="4" t="s">
        <v>315</v>
      </c>
      <c r="C892" s="3">
        <v>68128</v>
      </c>
      <c r="D892" s="26">
        <v>0.20490000000000003</v>
      </c>
      <c r="E892" s="26">
        <v>0.23</v>
      </c>
      <c r="F892" s="18">
        <v>0.66200000000000003</v>
      </c>
      <c r="G892" s="18">
        <v>0.69048338368580053</v>
      </c>
      <c r="H892" s="18">
        <v>0.65256797583081572</v>
      </c>
      <c r="I892" s="18">
        <v>3.7915407854984817E-2</v>
      </c>
    </row>
    <row r="893" spans="1:9" x14ac:dyDescent="0.25">
      <c r="A893" s="2">
        <v>43285</v>
      </c>
      <c r="B893" s="4" t="s">
        <v>318</v>
      </c>
      <c r="C893" s="3">
        <v>5004</v>
      </c>
      <c r="D893" s="26">
        <v>0.45771666666666666</v>
      </c>
      <c r="E893" s="26">
        <v>0.59586666666666666</v>
      </c>
      <c r="F893" s="18">
        <v>1.407</v>
      </c>
      <c r="G893" s="18">
        <v>0.67468609334280982</v>
      </c>
      <c r="H893" s="18">
        <v>0.57649846008054961</v>
      </c>
      <c r="I893" s="18">
        <v>9.8187633262260196E-2</v>
      </c>
    </row>
    <row r="894" spans="1:9" x14ac:dyDescent="0.25">
      <c r="A894" s="2">
        <v>43285</v>
      </c>
      <c r="B894" s="4" t="s">
        <v>178</v>
      </c>
      <c r="C894" s="3">
        <v>5238</v>
      </c>
      <c r="D894" s="26">
        <v>0.53264999999999996</v>
      </c>
      <c r="E894" s="26">
        <v>0.50451666666666661</v>
      </c>
      <c r="F894" s="18">
        <v>1.619</v>
      </c>
      <c r="G894" s="18">
        <v>0.67100061766522545</v>
      </c>
      <c r="H894" s="18">
        <v>0.68837759934115705</v>
      </c>
      <c r="I894" s="18">
        <v>-1.7376981675931602E-2</v>
      </c>
    </row>
    <row r="895" spans="1:9" x14ac:dyDescent="0.25">
      <c r="A895" s="2">
        <v>43285</v>
      </c>
      <c r="B895" s="4" t="s">
        <v>389</v>
      </c>
      <c r="C895" s="3">
        <v>24</v>
      </c>
      <c r="D895" s="26">
        <v>0.8037333333333333</v>
      </c>
      <c r="E895" s="26">
        <v>0.91234999999999999</v>
      </c>
      <c r="F895" s="18">
        <v>2.7069999999999999</v>
      </c>
      <c r="G895" s="18">
        <v>0.70309075237039775</v>
      </c>
      <c r="H895" s="18">
        <v>0.662966383450314</v>
      </c>
      <c r="I895" s="18">
        <v>4.0124368920083753E-2</v>
      </c>
    </row>
    <row r="896" spans="1:9" x14ac:dyDescent="0.25">
      <c r="A896" s="2">
        <v>43285</v>
      </c>
      <c r="B896" s="4" t="s">
        <v>416</v>
      </c>
      <c r="C896" s="3">
        <v>344</v>
      </c>
      <c r="D896" s="26">
        <v>1.636525</v>
      </c>
      <c r="E896" s="26">
        <v>1.8080750000000001</v>
      </c>
      <c r="F896" s="18">
        <v>4.9829999999999997</v>
      </c>
      <c r="G896" s="18">
        <v>0.67157836644591618</v>
      </c>
      <c r="H896" s="18">
        <v>0.63715131446919526</v>
      </c>
      <c r="I896" s="18">
        <v>3.4427051976720913E-2</v>
      </c>
    </row>
    <row r="897" spans="1:9" x14ac:dyDescent="0.25">
      <c r="A897" s="2">
        <v>43285</v>
      </c>
      <c r="B897" s="4" t="s">
        <v>230</v>
      </c>
      <c r="C897" s="3">
        <v>8874</v>
      </c>
      <c r="D897" s="26">
        <v>0.55530000000000002</v>
      </c>
      <c r="E897" s="26">
        <v>0.60086666666666666</v>
      </c>
      <c r="F897" s="18">
        <v>1.57</v>
      </c>
      <c r="G897" s="18">
        <v>0.64630573248407641</v>
      </c>
      <c r="H897" s="18">
        <v>0.61728237791932061</v>
      </c>
      <c r="I897" s="18">
        <v>2.9023354564755799E-2</v>
      </c>
    </row>
    <row r="898" spans="1:9" x14ac:dyDescent="0.25">
      <c r="A898" s="2">
        <v>43285</v>
      </c>
      <c r="B898" s="4" t="s">
        <v>440</v>
      </c>
      <c r="C898" s="3">
        <v>4960</v>
      </c>
      <c r="D898" s="26">
        <v>0.60899999999999999</v>
      </c>
      <c r="E898" s="26">
        <v>0.58679999999999999</v>
      </c>
      <c r="F898" s="18">
        <v>1.4850000000000001</v>
      </c>
      <c r="G898" s="18">
        <v>0.58989898989898992</v>
      </c>
      <c r="H898" s="18">
        <v>0.60484848484848486</v>
      </c>
      <c r="I898" s="18">
        <v>-1.4949494949494936E-2</v>
      </c>
    </row>
    <row r="899" spans="1:9" x14ac:dyDescent="0.25">
      <c r="A899" s="2">
        <v>43285</v>
      </c>
      <c r="B899" s="4" t="s">
        <v>441</v>
      </c>
      <c r="C899" s="3">
        <v>5328</v>
      </c>
      <c r="D899" s="26">
        <v>0.5252</v>
      </c>
      <c r="E899" s="26">
        <v>0.54579999999999995</v>
      </c>
      <c r="F899" s="18">
        <v>1.349</v>
      </c>
      <c r="G899" s="18">
        <v>0.61067457375833956</v>
      </c>
      <c r="H899" s="18">
        <v>0.59540400296515938</v>
      </c>
      <c r="I899" s="18">
        <v>1.5270570793180172E-2</v>
      </c>
    </row>
    <row r="900" spans="1:9" x14ac:dyDescent="0.25">
      <c r="A900" s="2">
        <v>43285</v>
      </c>
      <c r="B900" s="4" t="s">
        <v>432</v>
      </c>
      <c r="C900" s="3">
        <v>10932</v>
      </c>
      <c r="D900" s="26">
        <v>2.1798833333333332</v>
      </c>
      <c r="E900" s="26">
        <v>2.2933500000000002</v>
      </c>
      <c r="F900" s="18">
        <v>6.42</v>
      </c>
      <c r="G900" s="18">
        <v>0.66045430944963668</v>
      </c>
      <c r="H900" s="18">
        <v>0.64278037383177566</v>
      </c>
      <c r="I900" s="18">
        <v>1.7673935617861014E-2</v>
      </c>
    </row>
    <row r="901" spans="1:9" x14ac:dyDescent="0.25">
      <c r="A901" s="2">
        <v>43286</v>
      </c>
      <c r="B901" s="4" t="s">
        <v>303</v>
      </c>
      <c r="C901" s="3">
        <v>29888</v>
      </c>
      <c r="D901" s="26">
        <v>0.2157</v>
      </c>
      <c r="E901" s="26">
        <v>0.38429999999999997</v>
      </c>
      <c r="F901" s="18">
        <v>0.66200000000000003</v>
      </c>
      <c r="G901" s="18">
        <v>0.67416918429003025</v>
      </c>
      <c r="H901" s="18">
        <v>0.41948640483383698</v>
      </c>
      <c r="I901" s="18">
        <v>0.25468277945619333</v>
      </c>
    </row>
    <row r="902" spans="1:9" x14ac:dyDescent="0.25">
      <c r="A902" s="2">
        <v>43286</v>
      </c>
      <c r="B902" s="4" t="s">
        <v>319</v>
      </c>
      <c r="C902" s="3">
        <v>25116</v>
      </c>
      <c r="D902" s="26">
        <v>0.46529999999999999</v>
      </c>
      <c r="E902" s="26">
        <v>0.55269999999999997</v>
      </c>
      <c r="F902" s="18">
        <v>1.407</v>
      </c>
      <c r="G902" s="18">
        <v>0.66929637526652452</v>
      </c>
      <c r="H902" s="18">
        <v>0.60717839374555793</v>
      </c>
      <c r="I902" s="18">
        <v>6.2117981520966592E-2</v>
      </c>
    </row>
    <row r="903" spans="1:9" x14ac:dyDescent="0.25">
      <c r="A903" s="2">
        <v>43286</v>
      </c>
      <c r="B903" s="4" t="s">
        <v>138</v>
      </c>
      <c r="C903" s="3">
        <v>3420</v>
      </c>
      <c r="D903" s="26">
        <v>0.88490000000000002</v>
      </c>
      <c r="E903" s="26">
        <v>1.2769999999999999</v>
      </c>
      <c r="F903" s="18">
        <v>2.3889999999999998</v>
      </c>
      <c r="G903" s="18">
        <v>0.629593972373378</v>
      </c>
      <c r="H903" s="18">
        <v>0.46546672247802434</v>
      </c>
      <c r="I903" s="18">
        <v>0.16412724989535371</v>
      </c>
    </row>
    <row r="904" spans="1:9" x14ac:dyDescent="0.25">
      <c r="A904" s="2">
        <v>43286</v>
      </c>
      <c r="B904" s="4" t="s">
        <v>230</v>
      </c>
      <c r="C904" s="3">
        <v>20022</v>
      </c>
      <c r="D904" s="26">
        <v>0.55530000000000002</v>
      </c>
      <c r="E904" s="26">
        <v>0.57469999999999999</v>
      </c>
      <c r="F904" s="18">
        <v>1.57</v>
      </c>
      <c r="G904" s="18">
        <v>0.64630573248407641</v>
      </c>
      <c r="H904" s="18">
        <v>0.63394904458598733</v>
      </c>
      <c r="I904" s="18">
        <v>1.235668789808908E-2</v>
      </c>
    </row>
    <row r="905" spans="1:9" x14ac:dyDescent="0.25">
      <c r="A905" s="2">
        <v>43286</v>
      </c>
      <c r="B905" s="4" t="s">
        <v>430</v>
      </c>
      <c r="C905" s="3">
        <v>3234</v>
      </c>
      <c r="D905" s="26">
        <v>2.97845</v>
      </c>
      <c r="E905" s="26">
        <v>3.3187000000000002</v>
      </c>
      <c r="F905" s="18">
        <v>7.4450000000000003</v>
      </c>
      <c r="G905" s="18">
        <v>0.59993955674949628</v>
      </c>
      <c r="H905" s="18">
        <v>0.55423774345198129</v>
      </c>
      <c r="I905" s="18">
        <v>4.5701813297514993E-2</v>
      </c>
    </row>
    <row r="906" spans="1:9" x14ac:dyDescent="0.25">
      <c r="A906" s="2">
        <v>43286</v>
      </c>
      <c r="B906" s="4" t="s">
        <v>432</v>
      </c>
      <c r="C906" s="3">
        <v>8880</v>
      </c>
      <c r="D906" s="26">
        <v>2.1798833333333332</v>
      </c>
      <c r="E906" s="26">
        <v>2.2160000000000002</v>
      </c>
      <c r="F906" s="18">
        <v>6.42</v>
      </c>
      <c r="G906" s="18">
        <v>0.66045430944963668</v>
      </c>
      <c r="H906" s="18">
        <v>0.65482866043613708</v>
      </c>
      <c r="I906" s="18">
        <v>5.6256490134996007E-3</v>
      </c>
    </row>
    <row r="907" spans="1:9" x14ac:dyDescent="0.25">
      <c r="A907" s="2">
        <v>43286</v>
      </c>
      <c r="B907" s="4" t="s">
        <v>226</v>
      </c>
      <c r="C907" s="3">
        <v>1848</v>
      </c>
      <c r="D907" s="26">
        <v>1.6445000000000001</v>
      </c>
      <c r="E907" s="26">
        <v>0.30430000000000001</v>
      </c>
      <c r="F907" s="18">
        <v>4.3689999999999998</v>
      </c>
      <c r="G907" s="18">
        <v>0.62359807736324102</v>
      </c>
      <c r="H907" s="18">
        <v>0.93035019455252932</v>
      </c>
      <c r="I907" s="18">
        <v>-0.3067521171892883</v>
      </c>
    </row>
    <row r="908" spans="1:9" x14ac:dyDescent="0.25">
      <c r="A908" s="2">
        <v>43287</v>
      </c>
      <c r="B908" s="4" t="s">
        <v>303</v>
      </c>
      <c r="C908" s="3">
        <v>82432</v>
      </c>
      <c r="D908" s="26">
        <v>0.2157</v>
      </c>
      <c r="E908" s="26">
        <v>0.223</v>
      </c>
      <c r="F908" s="18">
        <v>0.66200000000000003</v>
      </c>
      <c r="G908" s="18">
        <v>0.67416918429003025</v>
      </c>
      <c r="H908" s="18">
        <v>0.66314199395770401</v>
      </c>
      <c r="I908" s="18">
        <v>1.1027190332326242E-2</v>
      </c>
    </row>
    <row r="909" spans="1:9" x14ac:dyDescent="0.25">
      <c r="A909" s="2">
        <v>43287</v>
      </c>
      <c r="B909" s="4" t="s">
        <v>93</v>
      </c>
      <c r="C909" s="3">
        <v>519</v>
      </c>
      <c r="D909" s="26">
        <v>18.026199999999999</v>
      </c>
      <c r="E909" s="26">
        <v>17.9238</v>
      </c>
      <c r="F909" s="18">
        <v>55.122999999999998</v>
      </c>
      <c r="G909" s="18">
        <v>0.67298223971844795</v>
      </c>
      <c r="H909" s="18">
        <v>0.67483990348856193</v>
      </c>
      <c r="I909" s="18">
        <v>-1.857663770113982E-3</v>
      </c>
    </row>
    <row r="910" spans="1:9" x14ac:dyDescent="0.25">
      <c r="A910" s="2">
        <v>43287</v>
      </c>
      <c r="B910" s="4" t="s">
        <v>99</v>
      </c>
      <c r="C910" s="3">
        <v>6612</v>
      </c>
      <c r="D910" s="26">
        <v>2.5642</v>
      </c>
      <c r="E910" s="26">
        <v>2.8651</v>
      </c>
      <c r="F910" s="18">
        <v>5.3940000000000001</v>
      </c>
      <c r="G910" s="18">
        <v>0.52461994809047086</v>
      </c>
      <c r="H910" s="18">
        <v>0.46883574341861328</v>
      </c>
      <c r="I910" s="18">
        <v>5.5784204671857573E-2</v>
      </c>
    </row>
    <row r="911" spans="1:9" x14ac:dyDescent="0.25">
      <c r="A911" s="2">
        <v>43287</v>
      </c>
      <c r="B911" s="4" t="s">
        <v>128</v>
      </c>
      <c r="C911" s="3">
        <v>43992</v>
      </c>
      <c r="D911" s="26">
        <v>0.22900000000000001</v>
      </c>
      <c r="E911" s="26">
        <v>0.20660000000000001</v>
      </c>
      <c r="F911" s="18">
        <v>0.58699999999999997</v>
      </c>
      <c r="G911" s="18">
        <v>0.60988074957410565</v>
      </c>
      <c r="H911" s="18">
        <v>0.64804088586030661</v>
      </c>
      <c r="I911" s="18">
        <v>-3.8160136286200963E-2</v>
      </c>
    </row>
    <row r="912" spans="1:9" x14ac:dyDescent="0.25">
      <c r="A912" s="2">
        <v>43287</v>
      </c>
      <c r="B912" s="4" t="s">
        <v>319</v>
      </c>
      <c r="C912" s="3">
        <v>4944</v>
      </c>
      <c r="D912" s="26">
        <v>0.46529999999999999</v>
      </c>
      <c r="E912" s="26">
        <v>0.67800000000000005</v>
      </c>
      <c r="F912" s="18">
        <v>1.407</v>
      </c>
      <c r="G912" s="18">
        <v>0.66929637526652452</v>
      </c>
      <c r="H912" s="18">
        <v>0.51812366737739868</v>
      </c>
      <c r="I912" s="18">
        <v>0.15117270788912585</v>
      </c>
    </row>
    <row r="913" spans="1:9" x14ac:dyDescent="0.25">
      <c r="A913" s="2">
        <v>43287</v>
      </c>
      <c r="B913" s="4" t="s">
        <v>441</v>
      </c>
      <c r="C913" s="3">
        <v>5934</v>
      </c>
      <c r="D913" s="26">
        <v>0.5252</v>
      </c>
      <c r="E913" s="26">
        <v>0.52190000000000003</v>
      </c>
      <c r="F913" s="18">
        <v>1.349</v>
      </c>
      <c r="G913" s="18">
        <v>0.61067457375833956</v>
      </c>
      <c r="H913" s="18">
        <v>0.6131208302446256</v>
      </c>
      <c r="I913" s="18">
        <v>-2.446256486286047E-3</v>
      </c>
    </row>
    <row r="914" spans="1:9" x14ac:dyDescent="0.25">
      <c r="A914" s="2">
        <v>43287</v>
      </c>
      <c r="B914" s="4" t="s">
        <v>430</v>
      </c>
      <c r="C914" s="3">
        <v>5100</v>
      </c>
      <c r="D914" s="26">
        <v>2.97845</v>
      </c>
      <c r="E914" s="26">
        <v>3.1978</v>
      </c>
      <c r="F914" s="18">
        <v>7.4450000000000003</v>
      </c>
      <c r="G914" s="18">
        <v>0.59993955674949628</v>
      </c>
      <c r="H914" s="18">
        <v>0.57047683008730699</v>
      </c>
      <c r="I914" s="18">
        <v>2.9462726662189295E-2</v>
      </c>
    </row>
    <row r="915" spans="1:9" x14ac:dyDescent="0.25">
      <c r="A915" s="2">
        <v>43287</v>
      </c>
      <c r="B915" s="4" t="s">
        <v>220</v>
      </c>
      <c r="C915" s="3">
        <v>846</v>
      </c>
      <c r="D915" s="26">
        <v>2.2668166666666667</v>
      </c>
      <c r="E915" s="26">
        <v>1.9461999999999999</v>
      </c>
      <c r="F915" s="18">
        <v>7.32</v>
      </c>
      <c r="G915" s="18">
        <v>0.69032559198542798</v>
      </c>
      <c r="H915" s="18">
        <v>0.73412568306010928</v>
      </c>
      <c r="I915" s="18">
        <v>-4.3800091074681302E-2</v>
      </c>
    </row>
    <row r="916" spans="1:9" x14ac:dyDescent="0.25">
      <c r="A916" s="2">
        <v>43288</v>
      </c>
      <c r="B916" s="4" t="s">
        <v>264</v>
      </c>
      <c r="C916" s="3">
        <v>6912</v>
      </c>
      <c r="D916" s="26">
        <v>0.25559999999999999</v>
      </c>
      <c r="E916" s="26">
        <v>0.2344</v>
      </c>
      <c r="F916" s="18"/>
      <c r="G916" s="18" t="s">
        <v>524</v>
      </c>
      <c r="H916" s="18" t="s">
        <v>524</v>
      </c>
      <c r="I916" s="18"/>
    </row>
    <row r="917" spans="1:9" x14ac:dyDescent="0.25">
      <c r="A917" s="2">
        <v>43288</v>
      </c>
      <c r="B917" s="4" t="s">
        <v>99</v>
      </c>
      <c r="C917" s="3">
        <v>6630</v>
      </c>
      <c r="D917" s="26">
        <v>2.5642</v>
      </c>
      <c r="E917" s="26">
        <v>2.5996999999999999</v>
      </c>
      <c r="F917" s="18">
        <v>5.3940000000000001</v>
      </c>
      <c r="G917" s="18">
        <v>0.52461994809047086</v>
      </c>
      <c r="H917" s="18">
        <v>0.51803856136447912</v>
      </c>
      <c r="I917" s="18">
        <v>6.5813867259917336E-3</v>
      </c>
    </row>
    <row r="918" spans="1:9" x14ac:dyDescent="0.25">
      <c r="A918" s="2">
        <v>43288</v>
      </c>
      <c r="B918" s="4" t="s">
        <v>117</v>
      </c>
      <c r="C918" s="3">
        <v>22020</v>
      </c>
      <c r="D918" s="26">
        <v>3.2890999999999999</v>
      </c>
      <c r="E918" s="26">
        <v>0.23719999999999999</v>
      </c>
      <c r="F918" s="18">
        <v>7.86</v>
      </c>
      <c r="G918" s="18">
        <v>0.5815394402035623</v>
      </c>
      <c r="H918" s="18">
        <v>0.96982188295165395</v>
      </c>
      <c r="I918" s="18">
        <v>-0.38828244274809171</v>
      </c>
    </row>
    <row r="919" spans="1:9" x14ac:dyDescent="0.25">
      <c r="A919" s="2">
        <v>43290</v>
      </c>
      <c r="B919" s="4" t="s">
        <v>253</v>
      </c>
      <c r="C919" s="3">
        <v>684</v>
      </c>
      <c r="D919" s="26">
        <v>9.9309999999999992</v>
      </c>
      <c r="E919" s="26">
        <v>1.7436</v>
      </c>
      <c r="F919" s="18"/>
      <c r="G919" s="18" t="s">
        <v>524</v>
      </c>
      <c r="H919" s="18" t="s">
        <v>524</v>
      </c>
      <c r="I919" s="18"/>
    </row>
    <row r="920" spans="1:9" x14ac:dyDescent="0.25">
      <c r="A920" s="2">
        <v>43290</v>
      </c>
      <c r="B920" s="4" t="s">
        <v>254</v>
      </c>
      <c r="C920" s="3">
        <v>900</v>
      </c>
      <c r="D920" s="26">
        <v>9.5409000000000006</v>
      </c>
      <c r="E920" s="26">
        <v>1.38E-2</v>
      </c>
      <c r="F920" s="18"/>
      <c r="G920" s="18" t="s">
        <v>524</v>
      </c>
      <c r="H920" s="18" t="s">
        <v>524</v>
      </c>
      <c r="I920" s="18"/>
    </row>
    <row r="921" spans="1:9" x14ac:dyDescent="0.25">
      <c r="A921" s="2">
        <v>43290</v>
      </c>
      <c r="B921" s="4" t="s">
        <v>114</v>
      </c>
      <c r="C921" s="3">
        <v>2724</v>
      </c>
      <c r="D921" s="26">
        <v>1.9188000000000001</v>
      </c>
      <c r="E921" s="26">
        <v>2.1955</v>
      </c>
      <c r="F921" s="18">
        <v>6.1319999999999997</v>
      </c>
      <c r="G921" s="18">
        <v>0.68708414872798429</v>
      </c>
      <c r="H921" s="18">
        <v>0.64196020874103066</v>
      </c>
      <c r="I921" s="18">
        <v>4.5123939986953632E-2</v>
      </c>
    </row>
    <row r="922" spans="1:9" x14ac:dyDescent="0.25">
      <c r="A922" s="2">
        <v>43290</v>
      </c>
      <c r="B922" s="4" t="s">
        <v>178</v>
      </c>
      <c r="C922" s="3">
        <v>12504</v>
      </c>
      <c r="D922" s="26">
        <v>3.1959</v>
      </c>
      <c r="E922" s="26">
        <v>0.50800000000000001</v>
      </c>
      <c r="F922" s="18">
        <v>1.619</v>
      </c>
      <c r="G922" s="18">
        <v>-0.9739962940086474</v>
      </c>
      <c r="H922" s="18">
        <v>0.68622606547251386</v>
      </c>
      <c r="I922" s="18">
        <v>-1.6602223594811611</v>
      </c>
    </row>
    <row r="923" spans="1:9" x14ac:dyDescent="0.25">
      <c r="A923" s="2">
        <v>43290</v>
      </c>
      <c r="B923" s="4" t="s">
        <v>432</v>
      </c>
      <c r="C923" s="3">
        <v>11538</v>
      </c>
      <c r="D923" s="26">
        <v>2.1798833333333332</v>
      </c>
      <c r="E923" s="26">
        <v>2.3649</v>
      </c>
      <c r="F923" s="18">
        <v>6.42</v>
      </c>
      <c r="G923" s="18">
        <v>0.66045430944963668</v>
      </c>
      <c r="H923" s="18">
        <v>0.63163551401869156</v>
      </c>
      <c r="I923" s="18">
        <v>2.8818795430945121E-2</v>
      </c>
    </row>
    <row r="924" spans="1:9" x14ac:dyDescent="0.25">
      <c r="A924" s="2">
        <v>43290</v>
      </c>
      <c r="B924" s="4" t="s">
        <v>483</v>
      </c>
      <c r="C924" s="3">
        <v>9180</v>
      </c>
      <c r="D924" s="26">
        <v>0.72145833333333342</v>
      </c>
      <c r="E924" s="26">
        <v>0.75790000000000002</v>
      </c>
      <c r="F924" s="18"/>
      <c r="G924" s="18" t="s">
        <v>524</v>
      </c>
      <c r="H924" s="18" t="s">
        <v>524</v>
      </c>
      <c r="I924" s="18"/>
    </row>
    <row r="925" spans="1:9" x14ac:dyDescent="0.25">
      <c r="A925" s="2">
        <v>43291</v>
      </c>
      <c r="B925" s="4" t="s">
        <v>264</v>
      </c>
      <c r="C925" s="3">
        <v>5152</v>
      </c>
      <c r="D925" s="26">
        <v>0.25559999999999999</v>
      </c>
      <c r="E925" s="26">
        <v>0.2344</v>
      </c>
      <c r="F925" s="18"/>
      <c r="G925" s="18" t="s">
        <v>524</v>
      </c>
      <c r="H925" s="18" t="s">
        <v>524</v>
      </c>
      <c r="I925" s="18"/>
    </row>
    <row r="926" spans="1:9" x14ac:dyDescent="0.25">
      <c r="A926" s="2">
        <v>43291</v>
      </c>
      <c r="B926" s="4" t="s">
        <v>114</v>
      </c>
      <c r="C926" s="3">
        <v>1410</v>
      </c>
      <c r="D926" s="26">
        <v>1.9188000000000001</v>
      </c>
      <c r="E926" s="26">
        <v>2.0167999999999999</v>
      </c>
      <c r="F926" s="18">
        <v>6.1319999999999997</v>
      </c>
      <c r="G926" s="18">
        <v>0.68708414872798429</v>
      </c>
      <c r="H926" s="18">
        <v>0.67110241356816702</v>
      </c>
      <c r="I926" s="18">
        <v>1.5981735159817267E-2</v>
      </c>
    </row>
    <row r="927" spans="1:9" x14ac:dyDescent="0.25">
      <c r="A927" s="2">
        <v>43291</v>
      </c>
      <c r="B927" s="4" t="s">
        <v>178</v>
      </c>
      <c r="C927" s="3">
        <v>1455</v>
      </c>
      <c r="D927" s="26">
        <v>3.1959</v>
      </c>
      <c r="E927" s="26">
        <v>0.4919</v>
      </c>
      <c r="F927" s="18">
        <v>1.619</v>
      </c>
      <c r="G927" s="18">
        <v>-0.9739962940086474</v>
      </c>
      <c r="H927" s="18">
        <v>0.69617047560222356</v>
      </c>
      <c r="I927" s="18">
        <v>-1.6701667696108708</v>
      </c>
    </row>
    <row r="928" spans="1:9" x14ac:dyDescent="0.25">
      <c r="A928" s="2">
        <v>43291</v>
      </c>
      <c r="B928" s="4" t="s">
        <v>183</v>
      </c>
      <c r="C928" s="3">
        <v>1764</v>
      </c>
      <c r="D928" s="26">
        <v>2.0216333333333334</v>
      </c>
      <c r="E928" s="26">
        <v>2.2054</v>
      </c>
      <c r="F928" s="18">
        <v>6.5590000000000002</v>
      </c>
      <c r="G928" s="18">
        <v>0.69177720180921898</v>
      </c>
      <c r="H928" s="18">
        <v>0.66375971946943135</v>
      </c>
      <c r="I928" s="18">
        <v>2.8017482339787625E-2</v>
      </c>
    </row>
    <row r="929" spans="1:9" x14ac:dyDescent="0.25">
      <c r="A929" s="2">
        <v>43291</v>
      </c>
      <c r="B929" s="4" t="s">
        <v>432</v>
      </c>
      <c r="C929" s="3">
        <v>10518</v>
      </c>
      <c r="D929" s="26">
        <v>2.1798833333333332</v>
      </c>
      <c r="E929" s="26">
        <v>2.31</v>
      </c>
      <c r="F929" s="18">
        <v>6.42</v>
      </c>
      <c r="G929" s="18">
        <v>0.66045430944963668</v>
      </c>
      <c r="H929" s="18">
        <v>0.64018691588785037</v>
      </c>
      <c r="I929" s="18">
        <v>2.0267393561786307E-2</v>
      </c>
    </row>
    <row r="930" spans="1:9" x14ac:dyDescent="0.25">
      <c r="A930" s="2">
        <v>43291</v>
      </c>
      <c r="B930" s="4" t="s">
        <v>483</v>
      </c>
      <c r="C930" s="3">
        <v>10488</v>
      </c>
      <c r="D930" s="26">
        <v>0.72145833333333342</v>
      </c>
      <c r="E930" s="26">
        <v>0.73680000000000001</v>
      </c>
      <c r="F930" s="18">
        <v>1.92</v>
      </c>
      <c r="G930" s="18">
        <v>0.62424045138888873</v>
      </c>
      <c r="H930" s="18">
        <v>0.61624999999999996</v>
      </c>
      <c r="I930" s="18">
        <v>7.9904513888887641E-3</v>
      </c>
    </row>
    <row r="931" spans="1:9" x14ac:dyDescent="0.25">
      <c r="A931" s="2">
        <v>43292</v>
      </c>
      <c r="B931" s="4" t="s">
        <v>34</v>
      </c>
      <c r="C931" s="3">
        <v>846</v>
      </c>
      <c r="D931" s="26">
        <v>1.3683999999999998</v>
      </c>
      <c r="E931" s="26">
        <v>1.5918000000000001</v>
      </c>
      <c r="F931" s="18">
        <v>4.0090000000000003</v>
      </c>
      <c r="G931" s="18">
        <v>0.65866799700673495</v>
      </c>
      <c r="H931" s="18">
        <v>0.60294337740084814</v>
      </c>
      <c r="I931" s="18">
        <v>5.5724619605886816E-2</v>
      </c>
    </row>
    <row r="932" spans="1:9" x14ac:dyDescent="0.25">
      <c r="A932" s="2">
        <v>43292</v>
      </c>
      <c r="B932" s="4" t="s">
        <v>304</v>
      </c>
      <c r="C932" s="3">
        <v>37600</v>
      </c>
      <c r="D932" s="26">
        <v>0.21190000000000001</v>
      </c>
      <c r="E932" s="26">
        <v>0.2432</v>
      </c>
      <c r="F932" s="18">
        <v>0.66200000000000003</v>
      </c>
      <c r="G932" s="18">
        <v>0.67990936555891246</v>
      </c>
      <c r="H932" s="18">
        <v>0.63262839879154087</v>
      </c>
      <c r="I932" s="18">
        <v>4.7280966767371591E-2</v>
      </c>
    </row>
    <row r="933" spans="1:9" x14ac:dyDescent="0.25">
      <c r="A933" s="2">
        <v>43292</v>
      </c>
      <c r="B933" s="4" t="s">
        <v>318</v>
      </c>
      <c r="C933" s="3">
        <v>30468</v>
      </c>
      <c r="D933" s="26">
        <v>5.4925999999999995</v>
      </c>
      <c r="E933" s="26">
        <v>0.51290000000000002</v>
      </c>
      <c r="F933" s="18">
        <v>1.407</v>
      </c>
      <c r="G933" s="18">
        <v>-2.9037668798862826</v>
      </c>
      <c r="H933" s="18">
        <v>0.63546552949538027</v>
      </c>
      <c r="I933" s="18">
        <v>-3.5392324093816629</v>
      </c>
    </row>
    <row r="934" spans="1:9" x14ac:dyDescent="0.25">
      <c r="A934" s="2">
        <v>43292</v>
      </c>
      <c r="B934" s="4" t="s">
        <v>432</v>
      </c>
      <c r="C934" s="3">
        <v>12810</v>
      </c>
      <c r="D934" s="26">
        <v>2.1798833333333332</v>
      </c>
      <c r="E934" s="26">
        <v>2.2334000000000001</v>
      </c>
      <c r="F934" s="18">
        <v>6.42</v>
      </c>
      <c r="G934" s="18">
        <v>0.66045430944963668</v>
      </c>
      <c r="H934" s="18">
        <v>0.65211838006230538</v>
      </c>
      <c r="I934" s="18">
        <v>8.3359293873312978E-3</v>
      </c>
    </row>
    <row r="935" spans="1:9" x14ac:dyDescent="0.25">
      <c r="A935" s="2">
        <v>43292</v>
      </c>
      <c r="B935" s="4" t="s">
        <v>483</v>
      </c>
      <c r="C935" s="3">
        <v>8928</v>
      </c>
      <c r="D935" s="26">
        <v>0.72145833333333342</v>
      </c>
      <c r="E935" s="26">
        <v>0.74139999999999995</v>
      </c>
      <c r="F935" s="18">
        <v>1.92</v>
      </c>
      <c r="G935" s="18">
        <v>0.62424045138888873</v>
      </c>
      <c r="H935" s="18">
        <v>0.61385416666666659</v>
      </c>
      <c r="I935" s="18">
        <v>1.0386284722222141E-2</v>
      </c>
    </row>
    <row r="936" spans="1:9" x14ac:dyDescent="0.25">
      <c r="A936" s="2">
        <v>43292</v>
      </c>
      <c r="B936" s="4" t="s">
        <v>224</v>
      </c>
      <c r="C936" s="3">
        <v>761</v>
      </c>
      <c r="D936" s="26">
        <v>6.4832000000000001</v>
      </c>
      <c r="E936" s="26">
        <v>6.8075999999999999</v>
      </c>
      <c r="F936" s="18"/>
      <c r="G936" s="18" t="s">
        <v>524</v>
      </c>
      <c r="H936" s="18" t="s">
        <v>524</v>
      </c>
      <c r="I936" s="18"/>
    </row>
    <row r="937" spans="1:9" x14ac:dyDescent="0.25">
      <c r="A937" s="2">
        <v>43293</v>
      </c>
      <c r="B937" s="4" t="s">
        <v>34</v>
      </c>
      <c r="C937" s="3">
        <v>828</v>
      </c>
      <c r="D937" s="26">
        <v>1.3683999999999998</v>
      </c>
      <c r="E937" s="26">
        <v>1.4111</v>
      </c>
      <c r="F937" s="18">
        <v>4.0090000000000003</v>
      </c>
      <c r="G937" s="18">
        <v>0.65866799700673495</v>
      </c>
      <c r="H937" s="18">
        <v>0.64801696183586921</v>
      </c>
      <c r="I937" s="18">
        <v>1.065103517086574E-2</v>
      </c>
    </row>
    <row r="938" spans="1:9" x14ac:dyDescent="0.25">
      <c r="A938" s="2">
        <v>43293</v>
      </c>
      <c r="B938" s="4" t="s">
        <v>261</v>
      </c>
      <c r="C938" s="3">
        <v>199</v>
      </c>
      <c r="D938" s="26">
        <v>11.9399</v>
      </c>
      <c r="E938" s="26">
        <v>3.4693000000000001</v>
      </c>
      <c r="F938" s="18"/>
      <c r="G938" s="18" t="s">
        <v>524</v>
      </c>
      <c r="H938" s="18" t="s">
        <v>524</v>
      </c>
      <c r="I938" s="18"/>
    </row>
    <row r="939" spans="1:9" x14ac:dyDescent="0.25">
      <c r="A939" s="2">
        <v>43293</v>
      </c>
      <c r="B939" s="4" t="s">
        <v>407</v>
      </c>
      <c r="C939" s="3">
        <v>1284</v>
      </c>
      <c r="D939" s="26">
        <v>8.2751000000000001</v>
      </c>
      <c r="E939" s="26">
        <v>0.8609</v>
      </c>
      <c r="F939" s="18">
        <v>2.09</v>
      </c>
      <c r="G939" s="18">
        <v>-2.9593779904306223</v>
      </c>
      <c r="H939" s="18">
        <v>0.58808612440191388</v>
      </c>
      <c r="I939" s="18">
        <v>-3.5474641148325361</v>
      </c>
    </row>
    <row r="940" spans="1:9" x14ac:dyDescent="0.25">
      <c r="A940" s="2">
        <v>43293</v>
      </c>
      <c r="B940" s="4" t="s">
        <v>432</v>
      </c>
      <c r="C940" s="3">
        <v>12402</v>
      </c>
      <c r="D940" s="26">
        <v>2.1798833333333332</v>
      </c>
      <c r="E940" s="26">
        <v>2.2833000000000001</v>
      </c>
      <c r="F940" s="18">
        <v>6.42</v>
      </c>
      <c r="G940" s="18">
        <v>0.66045430944963668</v>
      </c>
      <c r="H940" s="18">
        <v>0.64434579439252326</v>
      </c>
      <c r="I940" s="18">
        <v>1.6108515057113415E-2</v>
      </c>
    </row>
    <row r="941" spans="1:9" x14ac:dyDescent="0.25">
      <c r="A941" s="2">
        <v>43293</v>
      </c>
      <c r="B941" s="4" t="s">
        <v>483</v>
      </c>
      <c r="C941" s="3">
        <v>11604</v>
      </c>
      <c r="D941" s="26">
        <v>0.72145833333333342</v>
      </c>
      <c r="E941" s="26">
        <v>0.73960000000000004</v>
      </c>
      <c r="F941" s="18">
        <v>1.92</v>
      </c>
      <c r="G941" s="18">
        <v>0.62424045138888873</v>
      </c>
      <c r="H941" s="18">
        <v>0.61479166666666663</v>
      </c>
      <c r="I941" s="18">
        <v>9.4487847222221033E-3</v>
      </c>
    </row>
    <row r="942" spans="1:9" x14ac:dyDescent="0.25">
      <c r="A942" s="2">
        <v>43293</v>
      </c>
      <c r="B942" s="4" t="s">
        <v>224</v>
      </c>
      <c r="C942" s="3">
        <v>1277</v>
      </c>
      <c r="D942" s="26">
        <v>6.4832000000000001</v>
      </c>
      <c r="E942" s="26">
        <v>6.6348000000000003</v>
      </c>
      <c r="F942" s="18"/>
      <c r="G942" s="18" t="s">
        <v>524</v>
      </c>
      <c r="H942" s="18" t="s">
        <v>524</v>
      </c>
      <c r="I942" s="18"/>
    </row>
    <row r="943" spans="1:9" x14ac:dyDescent="0.25">
      <c r="A943" s="2">
        <v>43294</v>
      </c>
      <c r="B943" s="4" t="s">
        <v>46</v>
      </c>
      <c r="C943" s="3">
        <v>1176</v>
      </c>
      <c r="D943" s="26">
        <v>8.7304999999999993</v>
      </c>
      <c r="E943" s="26">
        <v>8.9459999999999997</v>
      </c>
      <c r="F943" s="18"/>
      <c r="G943" s="18" t="s">
        <v>524</v>
      </c>
      <c r="H943" s="18" t="s">
        <v>524</v>
      </c>
      <c r="I943" s="18"/>
    </row>
    <row r="944" spans="1:9" x14ac:dyDescent="0.25">
      <c r="A944" s="2">
        <v>43294</v>
      </c>
      <c r="B944" s="4" t="s">
        <v>303</v>
      </c>
      <c r="C944" s="3">
        <v>7328</v>
      </c>
      <c r="D944" s="26">
        <v>0.2157</v>
      </c>
      <c r="E944" s="26">
        <v>0.24929999999999999</v>
      </c>
      <c r="F944" s="18">
        <v>0.66200000000000003</v>
      </c>
      <c r="G944" s="18">
        <v>0.67416918429003025</v>
      </c>
      <c r="H944" s="18">
        <v>0.62341389728096686</v>
      </c>
      <c r="I944" s="18">
        <v>5.0755287009063399E-2</v>
      </c>
    </row>
    <row r="945" spans="1:9" x14ac:dyDescent="0.25">
      <c r="A945" s="2">
        <v>43294</v>
      </c>
      <c r="B945" s="4" t="s">
        <v>304</v>
      </c>
      <c r="C945" s="3">
        <v>2976</v>
      </c>
      <c r="D945" s="26">
        <v>0.21190000000000001</v>
      </c>
      <c r="E945" s="26">
        <v>0.26429999999999998</v>
      </c>
      <c r="F945" s="18">
        <v>0.66200000000000003</v>
      </c>
      <c r="G945" s="18">
        <v>0.67990936555891246</v>
      </c>
      <c r="H945" s="18">
        <v>0.60075528700906344</v>
      </c>
      <c r="I945" s="18">
        <v>7.915407854984903E-2</v>
      </c>
    </row>
    <row r="946" spans="1:9" x14ac:dyDescent="0.25">
      <c r="A946" s="2">
        <v>43294</v>
      </c>
      <c r="B946" s="4" t="s">
        <v>305</v>
      </c>
      <c r="C946" s="3">
        <v>17216</v>
      </c>
      <c r="D946" s="26">
        <v>0.20899999999999999</v>
      </c>
      <c r="E946" s="26">
        <v>0.25609999999999999</v>
      </c>
      <c r="F946" s="18">
        <v>0.66200000000000003</v>
      </c>
      <c r="G946" s="18">
        <v>0.68429003021148038</v>
      </c>
      <c r="H946" s="18">
        <v>0.61314199395770397</v>
      </c>
      <c r="I946" s="18">
        <v>7.1148036253776414E-2</v>
      </c>
    </row>
    <row r="947" spans="1:9" x14ac:dyDescent="0.25">
      <c r="A947" s="2">
        <v>43294</v>
      </c>
      <c r="B947" s="4" t="s">
        <v>93</v>
      </c>
      <c r="C947" s="3">
        <v>120</v>
      </c>
      <c r="D947" s="26">
        <v>18.026199999999999</v>
      </c>
      <c r="E947" s="26">
        <v>18.3216</v>
      </c>
      <c r="F947" s="18">
        <v>55.122999999999998</v>
      </c>
      <c r="G947" s="18">
        <v>0.67298223971844795</v>
      </c>
      <c r="H947" s="18">
        <v>0.66762331513161477</v>
      </c>
      <c r="I947" s="18">
        <v>5.3589245868331803E-3</v>
      </c>
    </row>
    <row r="948" spans="1:9" x14ac:dyDescent="0.25">
      <c r="A948" s="2">
        <v>43294</v>
      </c>
      <c r="B948" s="4" t="s">
        <v>102</v>
      </c>
      <c r="C948" s="3">
        <v>1848</v>
      </c>
      <c r="D948" s="26">
        <v>2.1629</v>
      </c>
      <c r="E948" s="26">
        <v>2.2584</v>
      </c>
      <c r="F948" s="18">
        <v>6.1340000000000003</v>
      </c>
      <c r="G948" s="18">
        <v>0.64739158787088358</v>
      </c>
      <c r="H948" s="18">
        <v>0.63182262797522015</v>
      </c>
      <c r="I948" s="18">
        <v>1.5568959895663426E-2</v>
      </c>
    </row>
    <row r="949" spans="1:9" x14ac:dyDescent="0.25">
      <c r="A949" s="2">
        <v>43294</v>
      </c>
      <c r="B949" s="4" t="s">
        <v>116</v>
      </c>
      <c r="C949" s="3">
        <v>43140</v>
      </c>
      <c r="D949" s="26">
        <v>3.3138000000000001</v>
      </c>
      <c r="E949" s="26">
        <v>0.27129999999999999</v>
      </c>
      <c r="F949" s="18">
        <v>8.1910000000000007</v>
      </c>
      <c r="G949" s="18">
        <v>0.59543401294103282</v>
      </c>
      <c r="H949" s="18">
        <v>0.96687828104016604</v>
      </c>
      <c r="I949" s="18">
        <v>-0.37144426809913322</v>
      </c>
    </row>
    <row r="950" spans="1:9" x14ac:dyDescent="0.25">
      <c r="A950" s="2">
        <v>43294</v>
      </c>
      <c r="B950" s="4" t="s">
        <v>320</v>
      </c>
      <c r="C950" s="3">
        <v>12552</v>
      </c>
      <c r="D950" s="26">
        <v>0.44929999999999998</v>
      </c>
      <c r="E950" s="26">
        <v>0.54979999999999996</v>
      </c>
      <c r="F950" s="18">
        <v>1.407</v>
      </c>
      <c r="G950" s="18">
        <v>0.68066808813077473</v>
      </c>
      <c r="H950" s="18">
        <v>0.60923951670220333</v>
      </c>
      <c r="I950" s="18">
        <v>7.1428571428571397E-2</v>
      </c>
    </row>
    <row r="951" spans="1:9" x14ac:dyDescent="0.25">
      <c r="A951" s="2">
        <v>43294</v>
      </c>
      <c r="B951" s="4" t="s">
        <v>385</v>
      </c>
      <c r="C951" s="3">
        <v>1932</v>
      </c>
      <c r="D951" s="26">
        <v>0</v>
      </c>
      <c r="E951" s="26">
        <v>1.1067</v>
      </c>
      <c r="F951" s="18"/>
      <c r="G951" s="18" t="s">
        <v>524</v>
      </c>
      <c r="H951" s="18" t="s">
        <v>524</v>
      </c>
      <c r="I951" s="18"/>
    </row>
    <row r="952" spans="1:9" x14ac:dyDescent="0.25">
      <c r="A952" s="2">
        <v>43294</v>
      </c>
      <c r="B952" s="4" t="s">
        <v>184</v>
      </c>
      <c r="C952" s="3">
        <v>1512</v>
      </c>
      <c r="D952" s="26">
        <v>1.91805</v>
      </c>
      <c r="E952" s="26">
        <v>2.3170000000000002</v>
      </c>
      <c r="F952" s="18">
        <v>6.5579999999999998</v>
      </c>
      <c r="G952" s="18">
        <v>0.70752516010978961</v>
      </c>
      <c r="H952" s="18">
        <v>0.64669106434888679</v>
      </c>
      <c r="I952" s="18">
        <v>6.0834095760902818E-2</v>
      </c>
    </row>
    <row r="953" spans="1:9" x14ac:dyDescent="0.25">
      <c r="A953" s="2">
        <v>43294</v>
      </c>
      <c r="B953" s="4" t="s">
        <v>397</v>
      </c>
      <c r="C953" s="3">
        <v>285</v>
      </c>
      <c r="D953" s="26">
        <v>15.315099999999999</v>
      </c>
      <c r="E953" s="26">
        <v>5.4154999999999998</v>
      </c>
      <c r="F953" s="18">
        <v>16.45</v>
      </c>
      <c r="G953" s="18">
        <v>6.8990881458966563E-2</v>
      </c>
      <c r="H953" s="18">
        <v>0.670790273556231</v>
      </c>
      <c r="I953" s="18">
        <v>-0.60179939209726441</v>
      </c>
    </row>
    <row r="954" spans="1:9" x14ac:dyDescent="0.25">
      <c r="A954" s="2">
        <v>43294</v>
      </c>
      <c r="B954" s="4" t="s">
        <v>414</v>
      </c>
      <c r="C954" s="3">
        <v>550</v>
      </c>
      <c r="D954" s="26">
        <v>12.569000000000001</v>
      </c>
      <c r="E954" s="26">
        <v>1.7574000000000001</v>
      </c>
      <c r="F954" s="18"/>
      <c r="G954" s="18" t="s">
        <v>524</v>
      </c>
      <c r="H954" s="18" t="s">
        <v>524</v>
      </c>
      <c r="I954" s="18"/>
    </row>
    <row r="955" spans="1:9" x14ac:dyDescent="0.25">
      <c r="A955" s="2">
        <v>43294</v>
      </c>
      <c r="B955" s="4" t="s">
        <v>432</v>
      </c>
      <c r="C955" s="3">
        <v>7980</v>
      </c>
      <c r="D955" s="26">
        <v>2.1798833333333332</v>
      </c>
      <c r="E955" s="26">
        <v>2.2157</v>
      </c>
      <c r="F955" s="18">
        <v>6.42</v>
      </c>
      <c r="G955" s="18">
        <v>0.66045430944963668</v>
      </c>
      <c r="H955" s="18">
        <v>0.65487538940809964</v>
      </c>
      <c r="I955" s="18">
        <v>5.5789200415370388E-3</v>
      </c>
    </row>
    <row r="956" spans="1:9" x14ac:dyDescent="0.25">
      <c r="A956" s="2">
        <v>43294</v>
      </c>
      <c r="B956" s="4" t="s">
        <v>226</v>
      </c>
      <c r="C956" s="3">
        <v>3696</v>
      </c>
      <c r="D956" s="26">
        <v>1.6445000000000001</v>
      </c>
      <c r="E956" s="26">
        <v>0.30130000000000001</v>
      </c>
      <c r="F956" s="18">
        <v>4.3689999999999998</v>
      </c>
      <c r="G956" s="18">
        <v>0.62359807736324102</v>
      </c>
      <c r="H956" s="18">
        <v>0.93103685053788043</v>
      </c>
      <c r="I956" s="18">
        <v>-0.30743877317463941</v>
      </c>
    </row>
    <row r="957" spans="1:9" x14ac:dyDescent="0.25">
      <c r="A957" s="2">
        <v>43294</v>
      </c>
      <c r="B957" s="4" t="s">
        <v>451</v>
      </c>
      <c r="C957" s="3">
        <v>176</v>
      </c>
      <c r="D957" s="26">
        <v>1.3617999999999999</v>
      </c>
      <c r="E957" s="26">
        <v>1.5085999999999999</v>
      </c>
      <c r="F957" s="18">
        <v>1.708</v>
      </c>
      <c r="G957" s="18">
        <v>0.20269320843091329</v>
      </c>
      <c r="H957" s="18">
        <v>0.11674473067915692</v>
      </c>
      <c r="I957" s="18">
        <v>8.5948477751756333E-2</v>
      </c>
    </row>
    <row r="958" spans="1:9" x14ac:dyDescent="0.25">
      <c r="A958" s="2">
        <v>43297</v>
      </c>
      <c r="B958" s="4" t="s">
        <v>116</v>
      </c>
      <c r="C958" s="3">
        <v>45552</v>
      </c>
      <c r="D958" s="26">
        <v>3.3138000000000001</v>
      </c>
      <c r="E958" s="26">
        <v>0.28060000000000002</v>
      </c>
      <c r="F958" s="18">
        <v>8.1910000000000007</v>
      </c>
      <c r="G958" s="18">
        <v>0.59543401294103282</v>
      </c>
      <c r="H958" s="18">
        <v>0.96574288853619827</v>
      </c>
      <c r="I958" s="18">
        <v>-0.37030887559516545</v>
      </c>
    </row>
    <row r="959" spans="1:9" x14ac:dyDescent="0.25">
      <c r="A959" s="2">
        <v>43297</v>
      </c>
      <c r="B959" s="4" t="s">
        <v>351</v>
      </c>
      <c r="C959" s="3">
        <v>13128</v>
      </c>
      <c r="D959" s="26">
        <v>7.3411</v>
      </c>
      <c r="E959" s="26">
        <v>1.3526</v>
      </c>
      <c r="F959" s="18"/>
      <c r="G959" s="18" t="s">
        <v>524</v>
      </c>
      <c r="H959" s="18" t="s">
        <v>524</v>
      </c>
      <c r="I959" s="18"/>
    </row>
    <row r="960" spans="1:9" x14ac:dyDescent="0.25">
      <c r="A960" s="2">
        <v>43297</v>
      </c>
      <c r="B960" s="4" t="s">
        <v>385</v>
      </c>
      <c r="C960" s="3">
        <v>7212</v>
      </c>
      <c r="D960" s="26">
        <v>0</v>
      </c>
      <c r="E960" s="26">
        <v>1.1067</v>
      </c>
      <c r="F960" s="18"/>
      <c r="G960" s="18" t="s">
        <v>524</v>
      </c>
      <c r="H960" s="18" t="s">
        <v>524</v>
      </c>
      <c r="I960" s="18"/>
    </row>
    <row r="961" spans="1:9" x14ac:dyDescent="0.25">
      <c r="A961" s="2">
        <v>43297</v>
      </c>
      <c r="B961" s="4" t="s">
        <v>441</v>
      </c>
      <c r="C961" s="3">
        <v>17838</v>
      </c>
      <c r="D961" s="26">
        <v>0.5252</v>
      </c>
      <c r="E961" s="26">
        <v>0.53210000000000002</v>
      </c>
      <c r="F961" s="18">
        <v>1.349</v>
      </c>
      <c r="G961" s="18">
        <v>0.61067457375833956</v>
      </c>
      <c r="H961" s="18">
        <v>0.60555967383246845</v>
      </c>
      <c r="I961" s="18">
        <v>5.1148999258711081E-3</v>
      </c>
    </row>
    <row r="962" spans="1:9" x14ac:dyDescent="0.25">
      <c r="A962" s="2">
        <v>43297</v>
      </c>
      <c r="B962" s="4" t="s">
        <v>462</v>
      </c>
      <c r="C962" s="3">
        <v>5320</v>
      </c>
      <c r="D962" s="26">
        <v>1.8838250000000001</v>
      </c>
      <c r="E962" s="26">
        <v>1.6910000000000001</v>
      </c>
      <c r="F962" s="18">
        <v>5.5</v>
      </c>
      <c r="G962" s="18">
        <v>0.6574863636363637</v>
      </c>
      <c r="H962" s="18">
        <v>0.69254545454545458</v>
      </c>
      <c r="I962" s="18">
        <v>-3.5059090909090873E-2</v>
      </c>
    </row>
    <row r="963" spans="1:9" x14ac:dyDescent="0.25">
      <c r="A963" s="2">
        <v>43297</v>
      </c>
      <c r="B963" s="4" t="s">
        <v>487</v>
      </c>
      <c r="C963" s="3">
        <v>4080</v>
      </c>
      <c r="D963" s="26">
        <v>0</v>
      </c>
      <c r="E963" s="26">
        <v>0.4783</v>
      </c>
      <c r="F963" s="18">
        <v>1.46</v>
      </c>
      <c r="G963" s="18">
        <v>1</v>
      </c>
      <c r="H963" s="18">
        <v>0.67239726027397262</v>
      </c>
      <c r="I963" s="18">
        <v>0.32760273972602738</v>
      </c>
    </row>
    <row r="964" spans="1:9" x14ac:dyDescent="0.25">
      <c r="A964" s="2">
        <v>43298</v>
      </c>
      <c r="B964" s="4" t="s">
        <v>304</v>
      </c>
      <c r="C964" s="3">
        <v>38752</v>
      </c>
      <c r="D964" s="26">
        <v>0.21190000000000001</v>
      </c>
      <c r="E964" s="26">
        <v>0.24829999999999999</v>
      </c>
      <c r="F964" s="18">
        <v>0.66200000000000003</v>
      </c>
      <c r="G964" s="18">
        <v>0.67990936555891246</v>
      </c>
      <c r="H964" s="18">
        <v>0.62492447129909368</v>
      </c>
      <c r="I964" s="18">
        <v>5.4984894259818784E-2</v>
      </c>
    </row>
    <row r="965" spans="1:9" x14ac:dyDescent="0.25">
      <c r="A965" s="2">
        <v>43298</v>
      </c>
      <c r="B965" s="4" t="s">
        <v>116</v>
      </c>
      <c r="C965" s="3">
        <v>19404</v>
      </c>
      <c r="D965" s="26">
        <v>3.3138000000000001</v>
      </c>
      <c r="E965" s="26">
        <v>3.5880000000000001</v>
      </c>
      <c r="F965" s="18">
        <v>8.1910000000000007</v>
      </c>
      <c r="G965" s="18">
        <v>0.59543401294103282</v>
      </c>
      <c r="H965" s="18">
        <v>0.56195824685630569</v>
      </c>
      <c r="I965" s="18">
        <v>3.3475766084727132E-2</v>
      </c>
    </row>
    <row r="966" spans="1:9" x14ac:dyDescent="0.25">
      <c r="A966" s="2">
        <v>43298</v>
      </c>
      <c r="B966" s="4" t="s">
        <v>315</v>
      </c>
      <c r="C966" s="3">
        <v>12032</v>
      </c>
      <c r="D966" s="26">
        <v>0.20490000000000003</v>
      </c>
      <c r="E966" s="26">
        <v>0.23569999999999999</v>
      </c>
      <c r="F966" s="18">
        <v>0.66200000000000003</v>
      </c>
      <c r="G966" s="18">
        <v>0.69048338368580053</v>
      </c>
      <c r="H966" s="18">
        <v>0.64395770392749241</v>
      </c>
      <c r="I966" s="18">
        <v>4.6525679758308125E-2</v>
      </c>
    </row>
    <row r="967" spans="1:9" x14ac:dyDescent="0.25">
      <c r="A967" s="2">
        <v>43298</v>
      </c>
      <c r="B967" s="4" t="s">
        <v>131</v>
      </c>
      <c r="C967" s="3">
        <v>1056</v>
      </c>
      <c r="D967" s="26">
        <v>16.845100000000002</v>
      </c>
      <c r="E967" s="26">
        <v>17.642399999999999</v>
      </c>
      <c r="F967" s="18">
        <v>44.615000000000002</v>
      </c>
      <c r="G967" s="18">
        <v>0.62243415891516307</v>
      </c>
      <c r="H967" s="18">
        <v>0.60456348761627265</v>
      </c>
      <c r="I967" s="18">
        <v>1.7870671298890417E-2</v>
      </c>
    </row>
    <row r="968" spans="1:9" x14ac:dyDescent="0.25">
      <c r="A968" s="2">
        <v>43298</v>
      </c>
      <c r="B968" s="4" t="s">
        <v>139</v>
      </c>
      <c r="C968" s="3">
        <v>3968</v>
      </c>
      <c r="D968" s="26">
        <v>3.876725</v>
      </c>
      <c r="E968" s="26">
        <v>3.8144</v>
      </c>
      <c r="F968" s="18">
        <v>8.4809999999999999</v>
      </c>
      <c r="G968" s="18">
        <v>0.54289293715363751</v>
      </c>
      <c r="H968" s="18">
        <v>0.55024171677868172</v>
      </c>
      <c r="I968" s="18">
        <v>-7.3487796250442114E-3</v>
      </c>
    </row>
    <row r="969" spans="1:9" x14ac:dyDescent="0.25">
      <c r="A969" s="2">
        <v>43298</v>
      </c>
      <c r="B969" s="4" t="s">
        <v>368</v>
      </c>
      <c r="C969" s="3">
        <v>552</v>
      </c>
      <c r="D969" s="26">
        <v>7.484</v>
      </c>
      <c r="E969" s="26">
        <v>1.4218999999999999</v>
      </c>
      <c r="F969" s="18"/>
      <c r="G969" s="18" t="s">
        <v>524</v>
      </c>
      <c r="H969" s="18" t="s">
        <v>524</v>
      </c>
      <c r="I969" s="18"/>
    </row>
    <row r="970" spans="1:9" x14ac:dyDescent="0.25">
      <c r="A970" s="2">
        <v>43299</v>
      </c>
      <c r="B970" s="4" t="s">
        <v>90</v>
      </c>
      <c r="C970" s="3">
        <v>6252</v>
      </c>
      <c r="D970" s="26">
        <v>0.72709999999999997</v>
      </c>
      <c r="E970" s="26">
        <v>0.75549999999999995</v>
      </c>
      <c r="F970" s="18">
        <v>1.8220000000000001</v>
      </c>
      <c r="G970" s="18">
        <v>0.60093304061470909</v>
      </c>
      <c r="H970" s="18">
        <v>0.58534577387486275</v>
      </c>
      <c r="I970" s="18">
        <v>1.5587266739846339E-2</v>
      </c>
    </row>
    <row r="971" spans="1:9" x14ac:dyDescent="0.25">
      <c r="A971" s="2">
        <v>43299</v>
      </c>
      <c r="B971" s="4" t="s">
        <v>304</v>
      </c>
      <c r="C971" s="3">
        <v>635</v>
      </c>
      <c r="D971" s="26">
        <v>0.21190000000000001</v>
      </c>
      <c r="E971" s="26" t="s">
        <v>11</v>
      </c>
      <c r="F971" s="18">
        <v>0.66200000000000003</v>
      </c>
      <c r="G971" s="18">
        <v>0.67990936555891246</v>
      </c>
      <c r="H971" s="18" t="s">
        <v>524</v>
      </c>
      <c r="I971" s="18"/>
    </row>
    <row r="972" spans="1:9" x14ac:dyDescent="0.25">
      <c r="A972" s="2">
        <v>43299</v>
      </c>
      <c r="B972" s="4" t="s">
        <v>305</v>
      </c>
      <c r="C972" s="3">
        <v>29376</v>
      </c>
      <c r="D972" s="26">
        <v>0.20899999999999999</v>
      </c>
      <c r="E972" s="26">
        <v>0.22850000000000001</v>
      </c>
      <c r="F972" s="18">
        <v>0.66200000000000003</v>
      </c>
      <c r="G972" s="18">
        <v>0.68429003021148038</v>
      </c>
      <c r="H972" s="18">
        <v>0.654833836858006</v>
      </c>
      <c r="I972" s="18">
        <v>2.945619335347438E-2</v>
      </c>
    </row>
    <row r="973" spans="1:9" x14ac:dyDescent="0.25">
      <c r="A973" s="2">
        <v>43299</v>
      </c>
      <c r="B973" s="4" t="s">
        <v>320</v>
      </c>
      <c r="C973" s="3">
        <v>21000</v>
      </c>
      <c r="D973" s="26">
        <v>0.44929999999999998</v>
      </c>
      <c r="E973" s="26">
        <v>0.51200000000000001</v>
      </c>
      <c r="F973" s="18">
        <v>1.407</v>
      </c>
      <c r="G973" s="18">
        <v>0.68066808813077473</v>
      </c>
      <c r="H973" s="18">
        <v>0.63610518834399432</v>
      </c>
      <c r="I973" s="18">
        <v>4.4562899786780408E-2</v>
      </c>
    </row>
    <row r="974" spans="1:9" x14ac:dyDescent="0.25">
      <c r="A974" s="2">
        <v>43299</v>
      </c>
      <c r="B974" s="4" t="s">
        <v>137</v>
      </c>
      <c r="C974" s="3">
        <v>1572</v>
      </c>
      <c r="D974" s="26">
        <v>2.6741999999999999</v>
      </c>
      <c r="E974" s="26">
        <v>3.1819000000000002</v>
      </c>
      <c r="F974" s="18">
        <v>7.2480000000000002</v>
      </c>
      <c r="G974" s="18">
        <v>0.63104304635761588</v>
      </c>
      <c r="H974" s="18">
        <v>0.56099613686534222</v>
      </c>
      <c r="I974" s="18">
        <v>7.0046909492273657E-2</v>
      </c>
    </row>
    <row r="975" spans="1:9" x14ac:dyDescent="0.25">
      <c r="A975" s="2">
        <v>43299</v>
      </c>
      <c r="B975" s="4" t="s">
        <v>139</v>
      </c>
      <c r="C975" s="3">
        <v>2020</v>
      </c>
      <c r="D975" s="26">
        <v>3.876725</v>
      </c>
      <c r="E975" s="26">
        <v>3.8144</v>
      </c>
      <c r="F975" s="18">
        <v>8.4809999999999999</v>
      </c>
      <c r="G975" s="18">
        <v>0.54289293715363751</v>
      </c>
      <c r="H975" s="18">
        <v>0.55024171677868172</v>
      </c>
      <c r="I975" s="18">
        <v>-7.3487796250442114E-3</v>
      </c>
    </row>
    <row r="976" spans="1:9" x14ac:dyDescent="0.25">
      <c r="A976" s="2">
        <v>43299</v>
      </c>
      <c r="B976" s="4" t="s">
        <v>373</v>
      </c>
      <c r="C976" s="3">
        <v>3180</v>
      </c>
      <c r="D976" s="26">
        <v>5.1951000000000001</v>
      </c>
      <c r="E976" s="26">
        <v>0.13020000000000001</v>
      </c>
      <c r="F976" s="18">
        <v>1.4</v>
      </c>
      <c r="G976" s="18">
        <v>-2.7107857142857146</v>
      </c>
      <c r="H976" s="18">
        <v>0.90700000000000003</v>
      </c>
      <c r="I976" s="18">
        <v>-3.6177857142857146</v>
      </c>
    </row>
    <row r="977" spans="1:9" x14ac:dyDescent="0.25">
      <c r="A977" s="2">
        <v>43299</v>
      </c>
      <c r="B977" s="4" t="s">
        <v>385</v>
      </c>
      <c r="C977" s="3">
        <v>7326</v>
      </c>
      <c r="D977" s="26">
        <v>0</v>
      </c>
      <c r="E977" s="26">
        <v>1.1395999999999999</v>
      </c>
      <c r="F977" s="18"/>
      <c r="G977" s="18" t="s">
        <v>524</v>
      </c>
      <c r="H977" s="18" t="s">
        <v>524</v>
      </c>
      <c r="I977" s="18"/>
    </row>
    <row r="978" spans="1:9" x14ac:dyDescent="0.25">
      <c r="A978" s="2">
        <v>43299</v>
      </c>
      <c r="B978" s="4" t="s">
        <v>190</v>
      </c>
      <c r="C978" s="3">
        <v>7422</v>
      </c>
      <c r="D978" s="26">
        <v>2.6075500000000003</v>
      </c>
      <c r="E978" s="26">
        <v>2.5912000000000002</v>
      </c>
      <c r="F978" s="18">
        <v>7.4580000000000002</v>
      </c>
      <c r="G978" s="18">
        <v>0.6503687315634219</v>
      </c>
      <c r="H978" s="18">
        <v>0.65256100831322061</v>
      </c>
      <c r="I978" s="18">
        <v>-2.1922767497987161E-3</v>
      </c>
    </row>
    <row r="979" spans="1:9" x14ac:dyDescent="0.25">
      <c r="A979" s="2">
        <v>43299</v>
      </c>
      <c r="B979" s="4" t="s">
        <v>200</v>
      </c>
      <c r="C979" s="3">
        <v>8160</v>
      </c>
      <c r="D979" s="26">
        <v>2.2185999999999999</v>
      </c>
      <c r="E979" s="26">
        <v>2.5627</v>
      </c>
      <c r="F979" s="18">
        <v>5.8380000000000001</v>
      </c>
      <c r="G979" s="18">
        <v>0.61997259335388832</v>
      </c>
      <c r="H979" s="18">
        <v>0.56103117505995204</v>
      </c>
      <c r="I979" s="18">
        <v>5.8941418293936287E-2</v>
      </c>
    </row>
    <row r="980" spans="1:9" x14ac:dyDescent="0.25">
      <c r="A980" s="2">
        <v>43300</v>
      </c>
      <c r="B980" s="4" t="s">
        <v>304</v>
      </c>
      <c r="C980" s="3">
        <v>42240</v>
      </c>
      <c r="D980" s="26">
        <v>0.21190000000000001</v>
      </c>
      <c r="E980" s="26">
        <v>0.25440000000000002</v>
      </c>
      <c r="F980" s="18">
        <v>0.66200000000000003</v>
      </c>
      <c r="G980" s="18">
        <v>0.67990936555891246</v>
      </c>
      <c r="H980" s="18">
        <v>0.61570996978851966</v>
      </c>
      <c r="I980" s="18">
        <v>6.4199395770392798E-2</v>
      </c>
    </row>
    <row r="981" spans="1:9" x14ac:dyDescent="0.25">
      <c r="A981" s="2">
        <v>43300</v>
      </c>
      <c r="B981" s="4" t="s">
        <v>305</v>
      </c>
      <c r="C981" s="3">
        <v>26272</v>
      </c>
      <c r="D981" s="26">
        <v>0.20899999999999999</v>
      </c>
      <c r="E981" s="26">
        <v>0.23730000000000001</v>
      </c>
      <c r="F981" s="18">
        <v>0.66200000000000003</v>
      </c>
      <c r="G981" s="18">
        <v>0.68429003021148038</v>
      </c>
      <c r="H981" s="18">
        <v>0.64154078549848947</v>
      </c>
      <c r="I981" s="18">
        <v>4.2749244712990915E-2</v>
      </c>
    </row>
    <row r="982" spans="1:9" x14ac:dyDescent="0.25">
      <c r="A982" s="2">
        <v>43300</v>
      </c>
      <c r="B982" s="4" t="s">
        <v>320</v>
      </c>
      <c r="C982" s="3">
        <v>1500</v>
      </c>
      <c r="D982" s="26">
        <v>0.44929999999999998</v>
      </c>
      <c r="E982" s="26">
        <v>0.50309999999999999</v>
      </c>
      <c r="F982" s="18">
        <v>1.407</v>
      </c>
      <c r="G982" s="18">
        <v>0.68066808813077473</v>
      </c>
      <c r="H982" s="18">
        <v>0.64243070362473353</v>
      </c>
      <c r="I982" s="18">
        <v>3.8237384506041194E-2</v>
      </c>
    </row>
    <row r="983" spans="1:9" x14ac:dyDescent="0.25">
      <c r="A983" s="2">
        <v>43300</v>
      </c>
      <c r="B983" s="4" t="s">
        <v>137</v>
      </c>
      <c r="C983" s="3">
        <v>486</v>
      </c>
      <c r="D983" s="26">
        <v>2.6741999999999999</v>
      </c>
      <c r="E983" s="26">
        <v>2.6217000000000001</v>
      </c>
      <c r="F983" s="18">
        <v>7.2480000000000002</v>
      </c>
      <c r="G983" s="18">
        <v>0.63104304635761588</v>
      </c>
      <c r="H983" s="18">
        <v>0.6382864238410596</v>
      </c>
      <c r="I983" s="18">
        <v>-7.2433774834437248E-3</v>
      </c>
    </row>
    <row r="984" spans="1:9" x14ac:dyDescent="0.25">
      <c r="A984" s="2">
        <v>43300</v>
      </c>
      <c r="B984" s="4" t="s">
        <v>385</v>
      </c>
      <c r="C984" s="3">
        <v>6354</v>
      </c>
      <c r="D984" s="26">
        <v>0</v>
      </c>
      <c r="E984" s="26">
        <v>1.1460999999999999</v>
      </c>
      <c r="F984" s="18"/>
      <c r="G984" s="18" t="s">
        <v>524</v>
      </c>
      <c r="H984" s="18" t="s">
        <v>524</v>
      </c>
      <c r="I984" s="18"/>
    </row>
    <row r="985" spans="1:9" x14ac:dyDescent="0.25">
      <c r="A985" s="2">
        <v>43300</v>
      </c>
      <c r="B985" s="4" t="s">
        <v>191</v>
      </c>
      <c r="C985" s="3">
        <v>6720</v>
      </c>
      <c r="D985" s="26">
        <v>2.667616666666667</v>
      </c>
      <c r="E985" s="26">
        <v>2.6002000000000001</v>
      </c>
      <c r="F985" s="18">
        <v>7.4580000000000002</v>
      </c>
      <c r="G985" s="18">
        <v>0.64231474032358982</v>
      </c>
      <c r="H985" s="18">
        <v>0.65135425046929474</v>
      </c>
      <c r="I985" s="18">
        <v>-9.0395101457049192E-3</v>
      </c>
    </row>
    <row r="986" spans="1:9" x14ac:dyDescent="0.25">
      <c r="A986" s="2">
        <v>43300</v>
      </c>
      <c r="B986" s="4" t="s">
        <v>200</v>
      </c>
      <c r="C986" s="3">
        <v>1914</v>
      </c>
      <c r="D986" s="26">
        <v>2.2185999999999999</v>
      </c>
      <c r="E986" s="26">
        <v>2.4885999999999999</v>
      </c>
      <c r="F986" s="18">
        <v>5.8380000000000001</v>
      </c>
      <c r="G986" s="18">
        <v>0.61997259335388832</v>
      </c>
      <c r="H986" s="18">
        <v>0.5737238780404248</v>
      </c>
      <c r="I986" s="18">
        <v>4.6248715313463529E-2</v>
      </c>
    </row>
    <row r="987" spans="1:9" x14ac:dyDescent="0.25">
      <c r="A987" s="2">
        <v>43300</v>
      </c>
      <c r="B987" s="4" t="s">
        <v>201</v>
      </c>
      <c r="C987" s="3">
        <v>4464</v>
      </c>
      <c r="D987" s="26">
        <v>2.3020999999999998</v>
      </c>
      <c r="E987" s="26">
        <v>2.6084000000000001</v>
      </c>
      <c r="F987" s="18">
        <v>6.45</v>
      </c>
      <c r="G987" s="18">
        <v>0.64308527131782944</v>
      </c>
      <c r="H987" s="18">
        <v>0.59559689922480619</v>
      </c>
      <c r="I987" s="18">
        <v>4.7488372093023257E-2</v>
      </c>
    </row>
    <row r="988" spans="1:9" x14ac:dyDescent="0.25">
      <c r="A988" s="2">
        <v>43300</v>
      </c>
      <c r="B988" s="4" t="s">
        <v>202</v>
      </c>
      <c r="C988" s="3">
        <v>131</v>
      </c>
      <c r="D988" s="26">
        <v>16.845099999999999</v>
      </c>
      <c r="E988" s="26">
        <v>19.895</v>
      </c>
      <c r="F988" s="18">
        <v>49.814</v>
      </c>
      <c r="G988" s="18">
        <v>0.66184004496727833</v>
      </c>
      <c r="H988" s="18">
        <v>0.60061428514072346</v>
      </c>
      <c r="I988" s="18">
        <v>6.1225759826554871E-2</v>
      </c>
    </row>
    <row r="989" spans="1:9" x14ac:dyDescent="0.25">
      <c r="A989" s="2">
        <v>43300</v>
      </c>
      <c r="B989" s="4" t="s">
        <v>203</v>
      </c>
      <c r="C989" s="3">
        <v>240</v>
      </c>
      <c r="D989" s="26">
        <v>16.845100000000002</v>
      </c>
      <c r="E989" s="26">
        <v>17.6692</v>
      </c>
      <c r="F989" s="18">
        <v>50.103999999999999</v>
      </c>
      <c r="G989" s="18">
        <v>0.66379730161264561</v>
      </c>
      <c r="H989" s="18">
        <v>0.64734951301293298</v>
      </c>
      <c r="I989" s="18">
        <v>1.6447788599712632E-2</v>
      </c>
    </row>
    <row r="990" spans="1:9" x14ac:dyDescent="0.25">
      <c r="A990" s="2">
        <v>43300</v>
      </c>
      <c r="B990" s="4" t="s">
        <v>204</v>
      </c>
      <c r="C990" s="3">
        <v>144</v>
      </c>
      <c r="D990" s="26">
        <v>18.026199999999999</v>
      </c>
      <c r="E990" s="26">
        <v>16.570699999999999</v>
      </c>
      <c r="F990" s="18">
        <v>60.201000000000001</v>
      </c>
      <c r="G990" s="18">
        <v>0.7005664357734922</v>
      </c>
      <c r="H990" s="18">
        <v>0.72474377502034859</v>
      </c>
      <c r="I990" s="18">
        <v>-2.4177339246856389E-2</v>
      </c>
    </row>
    <row r="991" spans="1:9" x14ac:dyDescent="0.25">
      <c r="A991" s="2">
        <v>43300</v>
      </c>
      <c r="B991" s="4" t="s">
        <v>207</v>
      </c>
      <c r="C991" s="3">
        <v>10936</v>
      </c>
      <c r="D991" s="26">
        <v>0.7923</v>
      </c>
      <c r="E991" s="26">
        <v>0.81869999999999998</v>
      </c>
      <c r="F991" s="18">
        <v>2.2050000000000001</v>
      </c>
      <c r="G991" s="18">
        <v>0.6406802721088436</v>
      </c>
      <c r="H991" s="18">
        <v>0.62870748299319734</v>
      </c>
      <c r="I991" s="18">
        <v>1.1972789115646254E-2</v>
      </c>
    </row>
    <row r="992" spans="1:9" x14ac:dyDescent="0.25">
      <c r="A992" s="2">
        <v>43300</v>
      </c>
      <c r="B992" s="4" t="s">
        <v>488</v>
      </c>
      <c r="C992" s="3">
        <v>606</v>
      </c>
      <c r="D992" s="26">
        <v>1.7779</v>
      </c>
      <c r="E992" s="26">
        <v>1.8580000000000001</v>
      </c>
      <c r="F992" s="18">
        <v>6.09</v>
      </c>
      <c r="G992" s="18">
        <v>0.70806239737274224</v>
      </c>
      <c r="H992" s="18">
        <v>0.69490968801313624</v>
      </c>
      <c r="I992" s="18">
        <v>1.3152709359605996E-2</v>
      </c>
    </row>
    <row r="993" spans="1:9" x14ac:dyDescent="0.25">
      <c r="A993" s="2">
        <v>43300</v>
      </c>
      <c r="B993" s="4" t="s">
        <v>451</v>
      </c>
      <c r="C993" s="3">
        <v>84</v>
      </c>
      <c r="D993" s="26">
        <v>1.3617999999999999</v>
      </c>
      <c r="E993" s="26">
        <v>1.5056</v>
      </c>
      <c r="F993" s="18">
        <v>3.4159999999999999</v>
      </c>
      <c r="G993" s="18">
        <v>0.6013466042154566</v>
      </c>
      <c r="H993" s="18">
        <v>0.55925058548009365</v>
      </c>
      <c r="I993" s="18">
        <v>4.209601873536295E-2</v>
      </c>
    </row>
    <row r="994" spans="1:9" x14ac:dyDescent="0.25">
      <c r="A994" s="2">
        <v>43301</v>
      </c>
      <c r="B994" s="4" t="s">
        <v>268</v>
      </c>
      <c r="C994" s="3">
        <v>2508</v>
      </c>
      <c r="D994" s="26">
        <v>0.45050000000000001</v>
      </c>
      <c r="E994" s="26">
        <v>0.65710000000000002</v>
      </c>
      <c r="F994" s="18"/>
      <c r="G994" s="18" t="s">
        <v>524</v>
      </c>
      <c r="H994" s="18" t="s">
        <v>524</v>
      </c>
      <c r="I994" s="18"/>
    </row>
    <row r="995" spans="1:9" x14ac:dyDescent="0.25">
      <c r="A995" s="2">
        <v>43301</v>
      </c>
      <c r="B995" s="4" t="s">
        <v>274</v>
      </c>
      <c r="C995" s="3">
        <v>2940</v>
      </c>
      <c r="D995" s="26">
        <v>0.93100000000000005</v>
      </c>
      <c r="E995" s="26">
        <v>1.0058</v>
      </c>
      <c r="F995" s="18"/>
      <c r="G995" s="18" t="s">
        <v>524</v>
      </c>
      <c r="H995" s="18" t="s">
        <v>524</v>
      </c>
      <c r="I995" s="18"/>
    </row>
    <row r="996" spans="1:9" x14ac:dyDescent="0.25">
      <c r="A996" s="2">
        <v>43301</v>
      </c>
      <c r="B996" s="4" t="s">
        <v>280</v>
      </c>
      <c r="C996" s="3">
        <v>465</v>
      </c>
      <c r="D996" s="26">
        <v>6.8057999999999996</v>
      </c>
      <c r="E996" s="26">
        <v>7.3323999999999998</v>
      </c>
      <c r="F996" s="18"/>
      <c r="G996" s="18" t="s">
        <v>524</v>
      </c>
      <c r="H996" s="18" t="s">
        <v>524</v>
      </c>
      <c r="I996" s="18"/>
    </row>
    <row r="997" spans="1:9" x14ac:dyDescent="0.25">
      <c r="A997" s="2">
        <v>43301</v>
      </c>
      <c r="B997" s="4" t="s">
        <v>136</v>
      </c>
      <c r="C997" s="3">
        <v>1086</v>
      </c>
      <c r="D997" s="26">
        <v>1.7635999999999998</v>
      </c>
      <c r="E997" s="26">
        <v>2.0941999999999998</v>
      </c>
      <c r="F997" s="18">
        <v>5.5739999999999998</v>
      </c>
      <c r="G997" s="18">
        <v>0.68360243989953362</v>
      </c>
      <c r="H997" s="18">
        <v>0.62429135270900615</v>
      </c>
      <c r="I997" s="18">
        <v>5.9311087190527467E-2</v>
      </c>
    </row>
    <row r="998" spans="1:9" x14ac:dyDescent="0.25">
      <c r="A998" s="2">
        <v>43301</v>
      </c>
      <c r="B998" s="4" t="s">
        <v>137</v>
      </c>
      <c r="C998" s="3">
        <v>486</v>
      </c>
      <c r="D998" s="26">
        <v>2.6741999999999999</v>
      </c>
      <c r="E998" s="26">
        <v>3.3098000000000001</v>
      </c>
      <c r="F998" s="18">
        <v>7.2480000000000002</v>
      </c>
      <c r="G998" s="18">
        <v>0.63104304635761588</v>
      </c>
      <c r="H998" s="18">
        <v>0.54334988962472408</v>
      </c>
      <c r="I998" s="18">
        <v>8.7693156732891797E-2</v>
      </c>
    </row>
    <row r="999" spans="1:9" x14ac:dyDescent="0.25">
      <c r="A999" s="2">
        <v>43301</v>
      </c>
      <c r="B999" s="4" t="s">
        <v>138</v>
      </c>
      <c r="C999" s="3">
        <v>7488</v>
      </c>
      <c r="D999" s="26">
        <v>0.88490000000000002</v>
      </c>
      <c r="E999" s="26">
        <v>1.0629</v>
      </c>
      <c r="F999" s="18">
        <v>2.3889999999999998</v>
      </c>
      <c r="G999" s="18">
        <v>0.629593972373378</v>
      </c>
      <c r="H999" s="18">
        <v>0.55508580996232726</v>
      </c>
      <c r="I999" s="18">
        <v>7.4508162411050738E-2</v>
      </c>
    </row>
    <row r="1000" spans="1:9" x14ac:dyDescent="0.25">
      <c r="A1000" s="2">
        <v>43301</v>
      </c>
      <c r="B1000" s="4" t="s">
        <v>337</v>
      </c>
      <c r="C1000" s="3">
        <v>11016</v>
      </c>
      <c r="D1000" s="26">
        <v>0.54359999999999997</v>
      </c>
      <c r="E1000" s="26">
        <v>0.66</v>
      </c>
      <c r="F1000" s="18"/>
      <c r="G1000" s="18" t="s">
        <v>524</v>
      </c>
      <c r="H1000" s="18" t="s">
        <v>524</v>
      </c>
      <c r="I1000" s="18"/>
    </row>
    <row r="1001" spans="1:9" x14ac:dyDescent="0.25">
      <c r="A1001" s="2">
        <v>43301</v>
      </c>
      <c r="B1001" s="4" t="s">
        <v>364</v>
      </c>
      <c r="C1001" s="3">
        <v>1770</v>
      </c>
      <c r="D1001" s="26">
        <v>0</v>
      </c>
      <c r="E1001" s="26">
        <v>1.3139000000000001</v>
      </c>
      <c r="F1001" s="18"/>
      <c r="G1001" s="18" t="s">
        <v>524</v>
      </c>
      <c r="H1001" s="18" t="s">
        <v>524</v>
      </c>
      <c r="I1001" s="18"/>
    </row>
    <row r="1002" spans="1:9" x14ac:dyDescent="0.25">
      <c r="A1002" s="2">
        <v>43301</v>
      </c>
      <c r="B1002" s="4" t="s">
        <v>385</v>
      </c>
      <c r="C1002" s="3">
        <v>7392</v>
      </c>
      <c r="D1002" s="26">
        <v>0</v>
      </c>
      <c r="E1002" s="26">
        <v>1.1291</v>
      </c>
      <c r="F1002" s="18"/>
      <c r="G1002" s="18" t="s">
        <v>524</v>
      </c>
      <c r="H1002" s="18" t="s">
        <v>524</v>
      </c>
      <c r="I1002" s="18"/>
    </row>
    <row r="1003" spans="1:9" x14ac:dyDescent="0.25">
      <c r="A1003" s="2">
        <v>43301</v>
      </c>
      <c r="B1003" s="4" t="s">
        <v>207</v>
      </c>
      <c r="C1003" s="3">
        <v>9184</v>
      </c>
      <c r="D1003" s="26">
        <v>0.7923</v>
      </c>
      <c r="E1003" s="26">
        <v>0.80030000000000001</v>
      </c>
      <c r="F1003" s="18">
        <v>2.2050000000000001</v>
      </c>
      <c r="G1003" s="18">
        <v>0.6406802721088436</v>
      </c>
      <c r="H1003" s="18">
        <v>0.63705215419501138</v>
      </c>
      <c r="I1003" s="18">
        <v>3.6281179138322184E-3</v>
      </c>
    </row>
    <row r="1004" spans="1:9" x14ac:dyDescent="0.25">
      <c r="A1004" s="2">
        <v>43301</v>
      </c>
      <c r="B1004" s="4" t="s">
        <v>430</v>
      </c>
      <c r="C1004" s="3">
        <v>5814</v>
      </c>
      <c r="D1004" s="26">
        <v>2.97845</v>
      </c>
      <c r="E1004" s="26">
        <v>3.4552999999999998</v>
      </c>
      <c r="F1004" s="18">
        <v>7.4450000000000003</v>
      </c>
      <c r="G1004" s="18">
        <v>0.59993955674949628</v>
      </c>
      <c r="H1004" s="18">
        <v>0.53588985896574892</v>
      </c>
      <c r="I1004" s="18">
        <v>6.4049697783747361E-2</v>
      </c>
    </row>
    <row r="1005" spans="1:9" x14ac:dyDescent="0.25">
      <c r="A1005" s="2">
        <v>43301</v>
      </c>
      <c r="B1005" s="4" t="s">
        <v>463</v>
      </c>
      <c r="C1005" s="3">
        <v>3270</v>
      </c>
      <c r="D1005" s="26">
        <v>3.453816666666667</v>
      </c>
      <c r="E1005" s="26">
        <v>3.3140999999999998</v>
      </c>
      <c r="F1005" s="18">
        <v>9.5</v>
      </c>
      <c r="G1005" s="18">
        <v>0.63644035087719297</v>
      </c>
      <c r="H1005" s="18">
        <v>0.6511473684210527</v>
      </c>
      <c r="I1005" s="18">
        <v>-1.4707017543859724E-2</v>
      </c>
    </row>
    <row r="1006" spans="1:9" x14ac:dyDescent="0.25">
      <c r="A1006" s="2">
        <v>43304</v>
      </c>
      <c r="B1006" s="4" t="s">
        <v>111</v>
      </c>
      <c r="C1006" s="3">
        <v>4690</v>
      </c>
      <c r="D1006" s="26">
        <v>1.26413</v>
      </c>
      <c r="E1006" s="26">
        <v>1.5062</v>
      </c>
      <c r="F1006" s="18">
        <v>2.911</v>
      </c>
      <c r="G1006" s="18">
        <v>0.56574029543112336</v>
      </c>
      <c r="H1006" s="18">
        <v>0.48258330470628658</v>
      </c>
      <c r="I1006" s="18">
        <v>8.3156990724836843E-2</v>
      </c>
    </row>
    <row r="1007" spans="1:9" x14ac:dyDescent="0.25">
      <c r="A1007" s="2">
        <v>43304</v>
      </c>
      <c r="B1007" s="4" t="s">
        <v>353</v>
      </c>
      <c r="C1007" s="3">
        <v>5616</v>
      </c>
      <c r="D1007" s="26">
        <v>7.3522999999999996</v>
      </c>
      <c r="E1007" s="26">
        <v>1.3396999999999999</v>
      </c>
      <c r="F1007" s="18"/>
      <c r="G1007" s="18" t="s">
        <v>524</v>
      </c>
      <c r="H1007" s="18" t="s">
        <v>524</v>
      </c>
      <c r="I1007" s="18"/>
    </row>
    <row r="1008" spans="1:9" x14ac:dyDescent="0.25">
      <c r="A1008" s="2">
        <v>43304</v>
      </c>
      <c r="B1008" s="4" t="s">
        <v>364</v>
      </c>
      <c r="C1008" s="3">
        <v>3480</v>
      </c>
      <c r="D1008" s="26">
        <v>0</v>
      </c>
      <c r="E1008" s="26">
        <v>1.3127</v>
      </c>
      <c r="F1008" s="18"/>
      <c r="G1008" s="18" t="s">
        <v>524</v>
      </c>
      <c r="H1008" s="18" t="s">
        <v>524</v>
      </c>
      <c r="I1008" s="18"/>
    </row>
    <row r="1009" spans="1:9" x14ac:dyDescent="0.25">
      <c r="A1009" s="2">
        <v>43304</v>
      </c>
      <c r="B1009" s="4" t="s">
        <v>368</v>
      </c>
      <c r="C1009" s="3">
        <v>9564</v>
      </c>
      <c r="D1009" s="26">
        <v>7.484</v>
      </c>
      <c r="E1009" s="26">
        <v>1.2463</v>
      </c>
      <c r="F1009" s="18"/>
      <c r="G1009" s="18" t="s">
        <v>524</v>
      </c>
      <c r="H1009" s="18" t="s">
        <v>524</v>
      </c>
      <c r="I1009" s="18"/>
    </row>
    <row r="1010" spans="1:9" x14ac:dyDescent="0.25">
      <c r="A1010" s="2">
        <v>43304</v>
      </c>
      <c r="B1010" s="4" t="s">
        <v>430</v>
      </c>
      <c r="C1010" s="3">
        <v>4464</v>
      </c>
      <c r="D1010" s="26">
        <v>2.97845</v>
      </c>
      <c r="E1010" s="26">
        <v>3.4937999999999998</v>
      </c>
      <c r="F1010" s="18">
        <v>7.4450000000000003</v>
      </c>
      <c r="G1010" s="18">
        <v>0.59993955674949628</v>
      </c>
      <c r="H1010" s="18">
        <v>0.53071860308932173</v>
      </c>
      <c r="I1010" s="18">
        <v>6.9220953660174556E-2</v>
      </c>
    </row>
    <row r="1011" spans="1:9" x14ac:dyDescent="0.25">
      <c r="A1011" s="2">
        <v>43304</v>
      </c>
      <c r="B1011" s="4" t="s">
        <v>487</v>
      </c>
      <c r="C1011" s="3">
        <v>19008</v>
      </c>
      <c r="D1011" s="26">
        <v>0</v>
      </c>
      <c r="E1011" s="26">
        <v>0.47349999999999998</v>
      </c>
      <c r="F1011" s="18">
        <v>1.46</v>
      </c>
      <c r="G1011" s="18">
        <v>1</v>
      </c>
      <c r="H1011" s="18">
        <v>0.67568493150684927</v>
      </c>
      <c r="I1011" s="18">
        <v>0.32431506849315073</v>
      </c>
    </row>
    <row r="1012" spans="1:9" x14ac:dyDescent="0.25">
      <c r="A1012" s="2">
        <v>43305</v>
      </c>
      <c r="B1012" s="4" t="s">
        <v>269</v>
      </c>
      <c r="C1012" s="3">
        <v>5004</v>
      </c>
      <c r="D1012" s="26">
        <v>0.48580000000000001</v>
      </c>
      <c r="E1012" s="26">
        <v>0.58940000000000003</v>
      </c>
      <c r="F1012" s="18"/>
      <c r="G1012" s="18" t="s">
        <v>524</v>
      </c>
      <c r="H1012" s="18" t="s">
        <v>524</v>
      </c>
      <c r="I1012" s="18"/>
    </row>
    <row r="1013" spans="1:9" x14ac:dyDescent="0.25">
      <c r="A1013" s="2">
        <v>43305</v>
      </c>
      <c r="B1013" s="4" t="s">
        <v>275</v>
      </c>
      <c r="C1013" s="3">
        <v>3180</v>
      </c>
      <c r="D1013" s="26">
        <v>1.0015000000000001</v>
      </c>
      <c r="E1013" s="26">
        <v>1.2231000000000001</v>
      </c>
      <c r="F1013" s="18"/>
      <c r="G1013" s="18" t="s">
        <v>524</v>
      </c>
      <c r="H1013" s="18" t="s">
        <v>524</v>
      </c>
      <c r="I1013" s="18"/>
    </row>
    <row r="1014" spans="1:9" x14ac:dyDescent="0.25">
      <c r="A1014" s="2">
        <v>43305</v>
      </c>
      <c r="B1014" s="4" t="s">
        <v>281</v>
      </c>
      <c r="C1014" s="3">
        <v>366</v>
      </c>
      <c r="D1014" s="26">
        <v>7.2312000000000003</v>
      </c>
      <c r="E1014" s="26">
        <v>8.9758999999999993</v>
      </c>
      <c r="F1014" s="18"/>
      <c r="G1014" s="18" t="s">
        <v>524</v>
      </c>
      <c r="H1014" s="18" t="s">
        <v>524</v>
      </c>
      <c r="I1014" s="18"/>
    </row>
    <row r="1015" spans="1:9" x14ac:dyDescent="0.25">
      <c r="A1015" s="2">
        <v>43305</v>
      </c>
      <c r="B1015" s="4" t="s">
        <v>340</v>
      </c>
      <c r="C1015" s="3">
        <v>14400</v>
      </c>
      <c r="D1015" s="26">
        <v>0.4788</v>
      </c>
      <c r="E1015" s="26">
        <v>0.73399999999999999</v>
      </c>
      <c r="F1015" s="18">
        <v>1.5129999999999999</v>
      </c>
      <c r="G1015" s="18">
        <v>0.68354263053536013</v>
      </c>
      <c r="H1015" s="18">
        <v>0.51487111698612031</v>
      </c>
      <c r="I1015" s="18">
        <v>0.16867151354923982</v>
      </c>
    </row>
    <row r="1016" spans="1:9" x14ac:dyDescent="0.25">
      <c r="A1016" s="2">
        <v>43305</v>
      </c>
      <c r="B1016" s="4" t="s">
        <v>364</v>
      </c>
      <c r="C1016" s="3">
        <v>6234</v>
      </c>
      <c r="D1016" s="26">
        <v>0</v>
      </c>
      <c r="E1016" s="26">
        <v>1.3451</v>
      </c>
      <c r="F1016" s="18"/>
      <c r="G1016" s="18" t="s">
        <v>524</v>
      </c>
      <c r="H1016" s="18" t="s">
        <v>524</v>
      </c>
      <c r="I1016" s="18"/>
    </row>
    <row r="1017" spans="1:9" x14ac:dyDescent="0.25">
      <c r="A1017" s="2">
        <v>43305</v>
      </c>
      <c r="B1017" s="4" t="s">
        <v>198</v>
      </c>
      <c r="C1017" s="3">
        <v>4668</v>
      </c>
      <c r="D1017" s="26">
        <v>0.81256666666666677</v>
      </c>
      <c r="E1017" s="26">
        <v>0.9536</v>
      </c>
      <c r="F1017" s="18">
        <v>2.6070000000000002</v>
      </c>
      <c r="G1017" s="18">
        <v>0.6883135148957934</v>
      </c>
      <c r="H1017" s="18">
        <v>0.63421557345607982</v>
      </c>
      <c r="I1017" s="18">
        <v>5.4097941439713582E-2</v>
      </c>
    </row>
    <row r="1018" spans="1:9" x14ac:dyDescent="0.25">
      <c r="A1018" s="2">
        <v>43305</v>
      </c>
      <c r="B1018" s="4" t="s">
        <v>202</v>
      </c>
      <c r="C1018" s="3">
        <v>96</v>
      </c>
      <c r="D1018" s="26">
        <v>16.845099999999999</v>
      </c>
      <c r="E1018" s="26">
        <v>19.895</v>
      </c>
      <c r="F1018" s="18">
        <v>49.814</v>
      </c>
      <c r="G1018" s="18">
        <v>0.66184004496727833</v>
      </c>
      <c r="H1018" s="18">
        <v>0.60061428514072346</v>
      </c>
      <c r="I1018" s="18">
        <v>6.1225759826554871E-2</v>
      </c>
    </row>
    <row r="1019" spans="1:9" x14ac:dyDescent="0.25">
      <c r="A1019" s="2">
        <v>43305</v>
      </c>
      <c r="B1019" s="4" t="s">
        <v>230</v>
      </c>
      <c r="C1019" s="3">
        <v>9198</v>
      </c>
      <c r="D1019" s="26">
        <v>0.55530000000000002</v>
      </c>
      <c r="E1019" s="26">
        <v>0.53839999999999999</v>
      </c>
      <c r="F1019" s="18">
        <v>1.57</v>
      </c>
      <c r="G1019" s="18">
        <v>0.64630573248407641</v>
      </c>
      <c r="H1019" s="18">
        <v>0.65707006369426757</v>
      </c>
      <c r="I1019" s="18">
        <v>-1.0764331210191158E-2</v>
      </c>
    </row>
    <row r="1020" spans="1:9" x14ac:dyDescent="0.25">
      <c r="A1020" s="2">
        <v>43305</v>
      </c>
      <c r="B1020" s="4" t="s">
        <v>430</v>
      </c>
      <c r="C1020" s="3">
        <v>2862</v>
      </c>
      <c r="D1020" s="26">
        <v>2.97845</v>
      </c>
      <c r="E1020" s="26">
        <v>3.4883000000000002</v>
      </c>
      <c r="F1020" s="18">
        <v>7.4450000000000003</v>
      </c>
      <c r="G1020" s="18">
        <v>0.59993955674949628</v>
      </c>
      <c r="H1020" s="18">
        <v>0.53145735392881133</v>
      </c>
      <c r="I1020" s="18">
        <v>6.8482202820684956E-2</v>
      </c>
    </row>
    <row r="1021" spans="1:9" x14ac:dyDescent="0.25">
      <c r="A1021" s="2">
        <v>43305</v>
      </c>
      <c r="B1021" s="4" t="s">
        <v>487</v>
      </c>
      <c r="C1021" s="3">
        <v>2796</v>
      </c>
      <c r="D1021" s="26">
        <v>0</v>
      </c>
      <c r="E1021" s="26">
        <v>0.47260000000000002</v>
      </c>
      <c r="F1021" s="18">
        <v>1.46</v>
      </c>
      <c r="G1021" s="18">
        <v>1</v>
      </c>
      <c r="H1021" s="18">
        <v>0.6763013698630137</v>
      </c>
      <c r="I1021" s="18">
        <v>0.3236986301369863</v>
      </c>
    </row>
    <row r="1022" spans="1:9" x14ac:dyDescent="0.25">
      <c r="A1022" s="2">
        <v>43305</v>
      </c>
      <c r="B1022" s="4" t="s">
        <v>488</v>
      </c>
      <c r="C1022" s="3">
        <v>1896</v>
      </c>
      <c r="D1022" s="26">
        <v>1.7779</v>
      </c>
      <c r="E1022" s="26">
        <v>1.7849999999999999</v>
      </c>
      <c r="F1022" s="18">
        <v>6.09</v>
      </c>
      <c r="G1022" s="18">
        <v>0.70806239737274224</v>
      </c>
      <c r="H1022" s="18">
        <v>0.7068965517241379</v>
      </c>
      <c r="I1022" s="18">
        <v>1.1658456486043356E-3</v>
      </c>
    </row>
    <row r="1023" spans="1:9" x14ac:dyDescent="0.25">
      <c r="A1023" s="2">
        <v>43306</v>
      </c>
      <c r="B1023" s="4" t="s">
        <v>84</v>
      </c>
      <c r="C1023" s="3">
        <v>2912</v>
      </c>
      <c r="D1023" s="26">
        <v>0.25919999999999999</v>
      </c>
      <c r="E1023" s="26">
        <v>0.32640000000000002</v>
      </c>
      <c r="F1023" s="18">
        <v>0.96870000000000001</v>
      </c>
      <c r="G1023" s="18">
        <v>0.73242489934964383</v>
      </c>
      <c r="H1023" s="18">
        <v>0.66305357695881073</v>
      </c>
      <c r="I1023" s="18">
        <v>6.9371322390833101E-2</v>
      </c>
    </row>
    <row r="1024" spans="1:9" x14ac:dyDescent="0.25">
      <c r="A1024" s="2">
        <v>43306</v>
      </c>
      <c r="B1024" s="4" t="s">
        <v>117</v>
      </c>
      <c r="C1024" s="3">
        <v>22632</v>
      </c>
      <c r="D1024" s="26">
        <v>3.2890999999999999</v>
      </c>
      <c r="E1024" s="26">
        <v>0.27739999999999998</v>
      </c>
      <c r="F1024" s="18">
        <v>7.86</v>
      </c>
      <c r="G1024" s="18">
        <v>0.5815394402035623</v>
      </c>
      <c r="H1024" s="18">
        <v>0.96470737913486004</v>
      </c>
      <c r="I1024" s="18">
        <v>-0.38316793893129775</v>
      </c>
    </row>
    <row r="1025" spans="1:9" x14ac:dyDescent="0.25">
      <c r="A1025" s="2">
        <v>43306</v>
      </c>
      <c r="B1025" s="4" t="s">
        <v>339</v>
      </c>
      <c r="C1025" s="3">
        <v>11544</v>
      </c>
      <c r="D1025" s="26">
        <v>0.52370000000000005</v>
      </c>
      <c r="E1025" s="26">
        <v>0.85960000000000003</v>
      </c>
      <c r="F1025" s="18">
        <v>1.5129999999999999</v>
      </c>
      <c r="G1025" s="18">
        <v>0.65386649041639122</v>
      </c>
      <c r="H1025" s="18">
        <v>0.4318572372769332</v>
      </c>
      <c r="I1025" s="18">
        <v>0.22200925313945799</v>
      </c>
    </row>
    <row r="1026" spans="1:9" x14ac:dyDescent="0.25">
      <c r="A1026" s="2">
        <v>43306</v>
      </c>
      <c r="B1026" s="4" t="s">
        <v>364</v>
      </c>
      <c r="C1026" s="3">
        <v>5352</v>
      </c>
      <c r="D1026" s="26">
        <v>0</v>
      </c>
      <c r="E1026" s="26">
        <v>1.3190999999999999</v>
      </c>
      <c r="F1026" s="18"/>
      <c r="G1026" s="18" t="s">
        <v>524</v>
      </c>
      <c r="H1026" s="18" t="s">
        <v>524</v>
      </c>
      <c r="I1026" s="18"/>
    </row>
    <row r="1027" spans="1:9" x14ac:dyDescent="0.25">
      <c r="A1027" s="2">
        <v>43306</v>
      </c>
      <c r="B1027" s="4" t="s">
        <v>198</v>
      </c>
      <c r="C1027" s="3">
        <v>5124</v>
      </c>
      <c r="D1027" s="26">
        <v>0.81256666666666677</v>
      </c>
      <c r="E1027" s="26">
        <v>1.1086</v>
      </c>
      <c r="F1027" s="18">
        <v>2.6070000000000002</v>
      </c>
      <c r="G1027" s="18">
        <v>0.6883135148957934</v>
      </c>
      <c r="H1027" s="18">
        <v>0.57476026083621023</v>
      </c>
      <c r="I1027" s="18">
        <v>0.11355325405958316</v>
      </c>
    </row>
    <row r="1028" spans="1:9" x14ac:dyDescent="0.25">
      <c r="A1028" s="2">
        <v>43306</v>
      </c>
      <c r="B1028" s="4" t="s">
        <v>10</v>
      </c>
      <c r="C1028" s="3">
        <v>4422</v>
      </c>
      <c r="D1028" s="26">
        <v>2.5947</v>
      </c>
      <c r="E1028" s="26">
        <v>2.4502000000000002</v>
      </c>
      <c r="F1028" s="18">
        <v>7.8390000000000004</v>
      </c>
      <c r="G1028" s="18">
        <v>0.66900114810562583</v>
      </c>
      <c r="H1028" s="18">
        <v>0.68743462176297987</v>
      </c>
      <c r="I1028" s="18">
        <v>-1.8433473657354042E-2</v>
      </c>
    </row>
    <row r="1029" spans="1:9" x14ac:dyDescent="0.25">
      <c r="A1029" s="2">
        <v>43306</v>
      </c>
      <c r="B1029" s="4" t="s">
        <v>488</v>
      </c>
      <c r="C1029" s="3">
        <v>9696</v>
      </c>
      <c r="D1029" s="26">
        <v>1.7779</v>
      </c>
      <c r="E1029" s="26">
        <v>1.831</v>
      </c>
      <c r="F1029" s="18">
        <v>6.09</v>
      </c>
      <c r="G1029" s="18">
        <v>0.70806239737274224</v>
      </c>
      <c r="H1029" s="18">
        <v>0.69934318555008212</v>
      </c>
      <c r="I1029" s="18">
        <v>8.7192118226601112E-3</v>
      </c>
    </row>
    <row r="1030" spans="1:9" x14ac:dyDescent="0.25">
      <c r="A1030" s="2">
        <v>43307</v>
      </c>
      <c r="B1030" s="4" t="s">
        <v>85</v>
      </c>
      <c r="C1030" s="3">
        <v>9184</v>
      </c>
      <c r="D1030" s="26">
        <v>0.2611</v>
      </c>
      <c r="E1030" s="26">
        <v>0.31080000000000002</v>
      </c>
      <c r="F1030" s="18"/>
      <c r="G1030" s="18" t="s">
        <v>524</v>
      </c>
      <c r="H1030" s="18" t="s">
        <v>524</v>
      </c>
      <c r="I1030" s="18"/>
    </row>
    <row r="1031" spans="1:9" x14ac:dyDescent="0.25">
      <c r="A1031" s="2">
        <v>43307</v>
      </c>
      <c r="B1031" s="4" t="s">
        <v>265</v>
      </c>
      <c r="C1031" s="3">
        <v>5016</v>
      </c>
      <c r="D1031" s="26">
        <v>0.49609999999999999</v>
      </c>
      <c r="E1031" s="26">
        <v>0.53569999999999995</v>
      </c>
      <c r="F1031" s="18"/>
      <c r="G1031" s="18" t="s">
        <v>524</v>
      </c>
      <c r="H1031" s="18" t="s">
        <v>524</v>
      </c>
      <c r="I1031" s="18"/>
    </row>
    <row r="1032" spans="1:9" x14ac:dyDescent="0.25">
      <c r="A1032" s="2">
        <v>43307</v>
      </c>
      <c r="B1032" s="4" t="s">
        <v>267</v>
      </c>
      <c r="C1032" s="3">
        <v>3504</v>
      </c>
      <c r="D1032" s="26">
        <v>0.45750000000000002</v>
      </c>
      <c r="E1032" s="26">
        <v>0.49980000000000002</v>
      </c>
      <c r="F1032" s="18"/>
      <c r="G1032" s="18" t="s">
        <v>524</v>
      </c>
      <c r="H1032" s="18" t="s">
        <v>524</v>
      </c>
      <c r="I1032" s="18"/>
    </row>
    <row r="1033" spans="1:9" x14ac:dyDescent="0.25">
      <c r="A1033" s="2">
        <v>43307</v>
      </c>
      <c r="B1033" s="4" t="s">
        <v>271</v>
      </c>
      <c r="C1033" s="3">
        <v>3396</v>
      </c>
      <c r="D1033" s="26">
        <v>0.99699999999999989</v>
      </c>
      <c r="E1033" s="26">
        <v>1.1156999999999999</v>
      </c>
      <c r="F1033" s="18">
        <v>3.06</v>
      </c>
      <c r="G1033" s="18">
        <v>0.67418300653594776</v>
      </c>
      <c r="H1033" s="18">
        <v>0.63539215686274508</v>
      </c>
      <c r="I1033" s="18">
        <v>3.8790849673202669E-2</v>
      </c>
    </row>
    <row r="1034" spans="1:9" x14ac:dyDescent="0.25">
      <c r="A1034" s="2">
        <v>43307</v>
      </c>
      <c r="B1034" s="4" t="s">
        <v>273</v>
      </c>
      <c r="C1034" s="3">
        <v>3750</v>
      </c>
      <c r="D1034" s="26">
        <v>1.0256000000000001</v>
      </c>
      <c r="E1034" s="26">
        <v>1.0441</v>
      </c>
      <c r="F1034" s="18"/>
      <c r="G1034" s="18" t="s">
        <v>524</v>
      </c>
      <c r="H1034" s="18" t="s">
        <v>524</v>
      </c>
      <c r="I1034" s="18"/>
    </row>
    <row r="1035" spans="1:9" x14ac:dyDescent="0.25">
      <c r="A1035" s="2">
        <v>43307</v>
      </c>
      <c r="B1035" s="4" t="s">
        <v>277</v>
      </c>
      <c r="C1035" s="3">
        <v>675</v>
      </c>
      <c r="D1035" s="26">
        <v>7.0811999999999999</v>
      </c>
      <c r="E1035" s="26">
        <v>8.2390000000000008</v>
      </c>
      <c r="F1035" s="18">
        <v>22.303999999999998</v>
      </c>
      <c r="G1035" s="18">
        <v>0.68251434720229553</v>
      </c>
      <c r="H1035" s="18">
        <v>0.63060437589670004</v>
      </c>
      <c r="I1035" s="18">
        <v>5.1909971305595493E-2</v>
      </c>
    </row>
    <row r="1036" spans="1:9" x14ac:dyDescent="0.25">
      <c r="A1036" s="2">
        <v>43307</v>
      </c>
      <c r="B1036" s="4" t="s">
        <v>279</v>
      </c>
      <c r="C1036" s="3">
        <v>696</v>
      </c>
      <c r="D1036" s="26">
        <v>6.5129999999999999</v>
      </c>
      <c r="E1036" s="26">
        <v>7.5433000000000003</v>
      </c>
      <c r="F1036" s="18"/>
      <c r="G1036" s="18" t="s">
        <v>524</v>
      </c>
      <c r="H1036" s="18" t="s">
        <v>524</v>
      </c>
      <c r="I1036" s="18"/>
    </row>
    <row r="1037" spans="1:9" x14ac:dyDescent="0.25">
      <c r="A1037" s="2">
        <v>43307</v>
      </c>
      <c r="B1037" s="4" t="s">
        <v>116</v>
      </c>
      <c r="C1037" s="3">
        <v>22536</v>
      </c>
      <c r="D1037" s="26">
        <v>3.3138000000000001</v>
      </c>
      <c r="E1037" s="26">
        <v>0.30819999999999997</v>
      </c>
      <c r="F1037" s="18">
        <v>8.1910000000000007</v>
      </c>
      <c r="G1037" s="18">
        <v>0.59543401294103282</v>
      </c>
      <c r="H1037" s="18">
        <v>0.96237333658893909</v>
      </c>
      <c r="I1037" s="18">
        <v>-0.36693932364790621</v>
      </c>
    </row>
    <row r="1038" spans="1:9" x14ac:dyDescent="0.25">
      <c r="A1038" s="2">
        <v>43307</v>
      </c>
      <c r="B1038" s="4" t="s">
        <v>363</v>
      </c>
      <c r="C1038" s="3">
        <v>7704</v>
      </c>
      <c r="D1038" s="26">
        <v>0</v>
      </c>
      <c r="E1038" s="26">
        <v>1.4784999999999999</v>
      </c>
      <c r="F1038" s="18">
        <v>0</v>
      </c>
      <c r="G1038" s="18" t="s">
        <v>524</v>
      </c>
      <c r="H1038" s="18" t="s">
        <v>524</v>
      </c>
      <c r="I1038" s="18"/>
    </row>
    <row r="1039" spans="1:9" x14ac:dyDescent="0.25">
      <c r="A1039" s="2">
        <v>43307</v>
      </c>
      <c r="B1039" s="4" t="s">
        <v>364</v>
      </c>
      <c r="C1039" s="3">
        <v>600</v>
      </c>
      <c r="D1039" s="26">
        <v>0</v>
      </c>
      <c r="E1039" s="26">
        <v>1.3015000000000001</v>
      </c>
      <c r="F1039" s="18"/>
      <c r="G1039" s="18" t="s">
        <v>524</v>
      </c>
      <c r="H1039" s="18" t="s">
        <v>524</v>
      </c>
      <c r="I1039" s="18"/>
    </row>
    <row r="1040" spans="1:9" x14ac:dyDescent="0.25">
      <c r="A1040" s="2">
        <v>43307</v>
      </c>
      <c r="B1040" s="4" t="s">
        <v>218</v>
      </c>
      <c r="C1040" s="3">
        <v>5088</v>
      </c>
      <c r="D1040" s="26">
        <v>2.8637499999999996</v>
      </c>
      <c r="E1040" s="26">
        <v>2.9097</v>
      </c>
      <c r="F1040" s="18">
        <v>7.8390000000000004</v>
      </c>
      <c r="G1040" s="18">
        <v>0.63467916826125792</v>
      </c>
      <c r="H1040" s="18">
        <v>0.62881745120551091</v>
      </c>
      <c r="I1040" s="18">
        <v>5.8617170557470066E-3</v>
      </c>
    </row>
    <row r="1041" spans="1:9" x14ac:dyDescent="0.25">
      <c r="A1041" s="2">
        <v>43307</v>
      </c>
      <c r="B1041" s="4" t="s">
        <v>488</v>
      </c>
      <c r="C1041" s="3">
        <v>9720</v>
      </c>
      <c r="D1041" s="26">
        <v>1.7779</v>
      </c>
      <c r="E1041" s="26">
        <v>1.8329</v>
      </c>
      <c r="F1041" s="18">
        <v>6.09</v>
      </c>
      <c r="G1041" s="18">
        <v>0.70806239737274224</v>
      </c>
      <c r="H1041" s="18">
        <v>0.69903119868637098</v>
      </c>
      <c r="I1041" s="18">
        <v>9.0311986863712557E-3</v>
      </c>
    </row>
    <row r="1042" spans="1:9" x14ac:dyDescent="0.25">
      <c r="A1042" s="2">
        <v>43307</v>
      </c>
      <c r="B1042" s="4" t="s">
        <v>449</v>
      </c>
      <c r="C1042" s="3">
        <v>136</v>
      </c>
      <c r="D1042" s="26">
        <v>0.85050000000000003</v>
      </c>
      <c r="E1042" s="26">
        <v>0.97270000000000001</v>
      </c>
      <c r="F1042" s="18">
        <v>1.4490000000000001</v>
      </c>
      <c r="G1042" s="18">
        <v>0.41304347826086962</v>
      </c>
      <c r="H1042" s="18">
        <v>0.32870945479641134</v>
      </c>
      <c r="I1042" s="18">
        <v>8.433402346445823E-2</v>
      </c>
    </row>
    <row r="1043" spans="1:9" x14ac:dyDescent="0.25">
      <c r="A1043" s="2">
        <v>43307</v>
      </c>
      <c r="B1043" s="4" t="s">
        <v>453</v>
      </c>
      <c r="C1043" s="3">
        <v>156</v>
      </c>
      <c r="D1043" s="26">
        <v>1.2216</v>
      </c>
      <c r="E1043" s="26">
        <v>1.3644000000000001</v>
      </c>
      <c r="F1043" s="18">
        <v>2.129</v>
      </c>
      <c r="G1043" s="18">
        <v>0.42620948802254577</v>
      </c>
      <c r="H1043" s="18">
        <v>0.35913574448097696</v>
      </c>
      <c r="I1043" s="18">
        <v>6.7073743541568809E-2</v>
      </c>
    </row>
    <row r="1044" spans="1:9" x14ac:dyDescent="0.25">
      <c r="A1044" s="2">
        <v>43308</v>
      </c>
      <c r="B1044" s="4" t="s">
        <v>357</v>
      </c>
      <c r="C1044" s="3">
        <v>625</v>
      </c>
      <c r="D1044" s="26">
        <v>7.2870999999999997</v>
      </c>
      <c r="E1044" s="26">
        <v>8.7795000000000005</v>
      </c>
      <c r="F1044" s="18"/>
      <c r="G1044" s="18" t="s">
        <v>524</v>
      </c>
      <c r="H1044" s="18" t="s">
        <v>524</v>
      </c>
      <c r="I1044" s="18"/>
    </row>
    <row r="1045" spans="1:9" x14ac:dyDescent="0.25">
      <c r="A1045" s="2">
        <v>43308</v>
      </c>
      <c r="B1045" s="4" t="s">
        <v>358</v>
      </c>
      <c r="C1045" s="3">
        <v>216</v>
      </c>
      <c r="D1045" s="26">
        <v>6.3707000000000003</v>
      </c>
      <c r="E1045" s="26">
        <v>7.9907000000000004</v>
      </c>
      <c r="F1045" s="18">
        <v>22.303999999999998</v>
      </c>
      <c r="G1045" s="18">
        <v>0.71436961979913915</v>
      </c>
      <c r="H1045" s="18">
        <v>0.6417369081779053</v>
      </c>
      <c r="I1045" s="18">
        <v>7.2632711621233859E-2</v>
      </c>
    </row>
    <row r="1046" spans="1:9" x14ac:dyDescent="0.25">
      <c r="A1046" s="2">
        <v>43308</v>
      </c>
      <c r="B1046" s="4" t="s">
        <v>363</v>
      </c>
      <c r="C1046" s="3">
        <v>2100</v>
      </c>
      <c r="D1046" s="26">
        <v>0</v>
      </c>
      <c r="E1046" s="26">
        <v>1.4745999999999999</v>
      </c>
      <c r="F1046" s="18">
        <v>0</v>
      </c>
      <c r="G1046" s="18" t="s">
        <v>524</v>
      </c>
      <c r="H1046" s="18" t="s">
        <v>524</v>
      </c>
      <c r="I1046" s="18"/>
    </row>
    <row r="1047" spans="1:9" x14ac:dyDescent="0.25">
      <c r="A1047" s="2">
        <v>43308</v>
      </c>
      <c r="B1047" s="4" t="s">
        <v>372</v>
      </c>
      <c r="C1047" s="3">
        <v>23016</v>
      </c>
      <c r="D1047" s="26">
        <v>7.2013999999999996</v>
      </c>
      <c r="E1047" s="26">
        <v>0.58099999999999996</v>
      </c>
      <c r="F1047" s="18"/>
      <c r="G1047" s="18" t="s">
        <v>524</v>
      </c>
      <c r="H1047" s="18" t="s">
        <v>524</v>
      </c>
      <c r="I1047" s="18"/>
    </row>
    <row r="1048" spans="1:9" x14ac:dyDescent="0.25">
      <c r="A1048" s="2">
        <v>43308</v>
      </c>
      <c r="B1048" s="4" t="s">
        <v>373</v>
      </c>
      <c r="C1048" s="3">
        <v>6396</v>
      </c>
      <c r="D1048" s="26">
        <v>5.1951000000000001</v>
      </c>
      <c r="E1048" s="26">
        <v>0.52910000000000001</v>
      </c>
      <c r="F1048" s="18">
        <v>1.4</v>
      </c>
      <c r="G1048" s="18">
        <v>-2.7107857142857146</v>
      </c>
      <c r="H1048" s="18">
        <v>0.6220714285714285</v>
      </c>
      <c r="I1048" s="18">
        <v>-3.3328571428571432</v>
      </c>
    </row>
    <row r="1049" spans="1:9" x14ac:dyDescent="0.25">
      <c r="A1049" s="2">
        <v>43308</v>
      </c>
      <c r="B1049" s="4" t="s">
        <v>172</v>
      </c>
      <c r="C1049" s="3">
        <v>2496</v>
      </c>
      <c r="D1049" s="26">
        <v>2.3114750000000002</v>
      </c>
      <c r="E1049" s="26">
        <v>2.3955000000000002</v>
      </c>
      <c r="F1049" s="18">
        <v>26.001000000000001</v>
      </c>
      <c r="G1049" s="18">
        <v>0.91110053459482321</v>
      </c>
      <c r="H1049" s="18">
        <v>0.90786892811814923</v>
      </c>
      <c r="I1049" s="18">
        <v>3.231606476673976E-3</v>
      </c>
    </row>
    <row r="1050" spans="1:9" x14ac:dyDescent="0.25">
      <c r="A1050" s="2">
        <v>43308</v>
      </c>
      <c r="B1050" s="4" t="s">
        <v>441</v>
      </c>
      <c r="C1050" s="3">
        <v>10590</v>
      </c>
      <c r="D1050" s="26">
        <v>0.5252</v>
      </c>
      <c r="E1050" s="26">
        <v>0.53800000000000003</v>
      </c>
      <c r="F1050" s="18">
        <v>1.349</v>
      </c>
      <c r="G1050" s="18">
        <v>0.61067457375833956</v>
      </c>
      <c r="H1050" s="18">
        <v>0.60118606375092654</v>
      </c>
      <c r="I1050" s="18">
        <v>9.4885100074130202E-3</v>
      </c>
    </row>
    <row r="1051" spans="1:9" x14ac:dyDescent="0.25">
      <c r="A1051" s="2">
        <v>43308</v>
      </c>
      <c r="B1051" s="4" t="s">
        <v>488</v>
      </c>
      <c r="C1051" s="3">
        <v>8220</v>
      </c>
      <c r="D1051" s="26">
        <v>1.7779</v>
      </c>
      <c r="E1051" s="26">
        <v>1.8504</v>
      </c>
      <c r="F1051" s="18">
        <v>6.09</v>
      </c>
      <c r="G1051" s="18">
        <v>0.70806239737274224</v>
      </c>
      <c r="H1051" s="18">
        <v>0.69615763546798026</v>
      </c>
      <c r="I1051" s="18">
        <v>1.1904761904761972E-2</v>
      </c>
    </row>
    <row r="1052" spans="1:9" x14ac:dyDescent="0.25">
      <c r="A1052" s="2">
        <v>43308</v>
      </c>
      <c r="B1052" s="4" t="s">
        <v>223</v>
      </c>
      <c r="C1052" s="3">
        <v>1296</v>
      </c>
      <c r="D1052" s="26">
        <v>3.181</v>
      </c>
      <c r="E1052" s="26">
        <v>3.1193</v>
      </c>
      <c r="F1052" s="18">
        <v>7.9729999999999999</v>
      </c>
      <c r="G1052" s="18">
        <v>0.60102847108992852</v>
      </c>
      <c r="H1052" s="18">
        <v>0.60876708892512232</v>
      </c>
      <c r="I1052" s="18">
        <v>-7.7386178351938062E-3</v>
      </c>
    </row>
    <row r="1053" spans="1:9" x14ac:dyDescent="0.25">
      <c r="A1053" s="2">
        <v>43308</v>
      </c>
      <c r="B1053" s="4" t="s">
        <v>228</v>
      </c>
      <c r="C1053" s="3">
        <v>253</v>
      </c>
      <c r="D1053" s="26">
        <v>2.2473999999999998</v>
      </c>
      <c r="E1053" s="26">
        <v>3.6877</v>
      </c>
      <c r="F1053" s="18">
        <v>3.7320000000000002</v>
      </c>
      <c r="G1053" s="18">
        <v>0.39780278670953922</v>
      </c>
      <c r="H1053" s="18">
        <v>1.1870310825294808E-2</v>
      </c>
      <c r="I1053" s="18">
        <v>0.38593247588424434</v>
      </c>
    </row>
    <row r="1054" spans="1:9" x14ac:dyDescent="0.25">
      <c r="A1054" s="2">
        <v>43308</v>
      </c>
      <c r="B1054" s="4" t="s">
        <v>426</v>
      </c>
      <c r="C1054" s="3">
        <v>192</v>
      </c>
      <c r="D1054" s="26">
        <v>2.2517999999999998</v>
      </c>
      <c r="E1054" s="26">
        <v>3.4184000000000001</v>
      </c>
      <c r="F1054" s="18">
        <v>4.0149999999999997</v>
      </c>
      <c r="G1054" s="18">
        <v>0.43915317559153166</v>
      </c>
      <c r="H1054" s="18">
        <v>0.14859277708592766</v>
      </c>
      <c r="I1054" s="18">
        <v>0.290560398505604</v>
      </c>
    </row>
    <row r="1055" spans="1:9" x14ac:dyDescent="0.25">
      <c r="A1055" s="2">
        <v>43308</v>
      </c>
      <c r="B1055" s="4" t="s">
        <v>427</v>
      </c>
      <c r="C1055" s="3">
        <v>324</v>
      </c>
      <c r="D1055" s="26">
        <v>10.5784</v>
      </c>
      <c r="E1055" s="26">
        <v>5.7542</v>
      </c>
      <c r="F1055" s="18">
        <v>5.1909999999999998</v>
      </c>
      <c r="G1055" s="18">
        <v>-1.0378347139279522</v>
      </c>
      <c r="H1055" s="18">
        <v>-0.10849547293392411</v>
      </c>
      <c r="I1055" s="18">
        <v>-0.9293392409940282</v>
      </c>
    </row>
    <row r="1056" spans="1:9" x14ac:dyDescent="0.25">
      <c r="A1056" s="2">
        <v>43311</v>
      </c>
      <c r="B1056" s="4" t="s">
        <v>260</v>
      </c>
      <c r="C1056" s="3">
        <v>408</v>
      </c>
      <c r="D1056" s="26">
        <v>10.1347</v>
      </c>
      <c r="E1056" s="26">
        <v>2.7698999999999998</v>
      </c>
      <c r="F1056" s="18"/>
      <c r="G1056" s="18" t="s">
        <v>524</v>
      </c>
      <c r="H1056" s="18" t="s">
        <v>524</v>
      </c>
      <c r="I1056" s="18"/>
    </row>
    <row r="1057" spans="1:9" x14ac:dyDescent="0.25">
      <c r="A1057" s="2">
        <v>43311</v>
      </c>
      <c r="B1057" s="4" t="s">
        <v>278</v>
      </c>
      <c r="C1057" s="3">
        <v>86</v>
      </c>
      <c r="D1057" s="26">
        <v>7.4108000000000001</v>
      </c>
      <c r="E1057" s="26">
        <v>6.2736999999999998</v>
      </c>
      <c r="F1057" s="18">
        <v>22.303999999999998</v>
      </c>
      <c r="G1057" s="18">
        <v>0.6677367288378766</v>
      </c>
      <c r="H1057" s="18">
        <v>0.7187186154949784</v>
      </c>
      <c r="I1057" s="18">
        <v>-5.0981886657101794E-2</v>
      </c>
    </row>
    <row r="1058" spans="1:9" x14ac:dyDescent="0.25">
      <c r="A1058" s="2">
        <v>43312</v>
      </c>
      <c r="B1058" s="4" t="s">
        <v>364</v>
      </c>
      <c r="C1058" s="3">
        <v>618</v>
      </c>
      <c r="D1058" s="26">
        <v>0</v>
      </c>
      <c r="E1058" s="26">
        <v>1.06E-2</v>
      </c>
      <c r="F1058" s="18"/>
      <c r="G1058" s="18" t="s">
        <v>524</v>
      </c>
      <c r="H1058" s="18" t="s">
        <v>524</v>
      </c>
      <c r="I1058" s="18"/>
    </row>
    <row r="1059" spans="1:9" x14ac:dyDescent="0.25">
      <c r="A1059" s="2">
        <v>43332</v>
      </c>
      <c r="B1059" s="4" t="s">
        <v>90</v>
      </c>
      <c r="C1059" s="3">
        <v>7800</v>
      </c>
      <c r="D1059" s="26">
        <v>0.72709999999999997</v>
      </c>
      <c r="E1059" s="26">
        <v>0.87139999999999995</v>
      </c>
      <c r="F1059" s="18">
        <v>1.8220000000000001</v>
      </c>
      <c r="G1059" s="18">
        <v>0.60093304061470909</v>
      </c>
      <c r="H1059" s="18">
        <v>0.52173435784851818</v>
      </c>
      <c r="I1059" s="18">
        <v>7.9198682766190909E-2</v>
      </c>
    </row>
    <row r="1060" spans="1:9" x14ac:dyDescent="0.25">
      <c r="A1060" s="2">
        <v>43332</v>
      </c>
      <c r="B1060" s="4" t="s">
        <v>339</v>
      </c>
      <c r="C1060" s="3">
        <v>1296</v>
      </c>
      <c r="D1060" s="26">
        <v>0.52370000000000005</v>
      </c>
      <c r="E1060" s="26">
        <v>0.86160000000000003</v>
      </c>
      <c r="F1060" s="18">
        <v>1.5129999999999999</v>
      </c>
      <c r="G1060" s="18">
        <v>0.65386649041639122</v>
      </c>
      <c r="H1060" s="18">
        <v>0.4305353602115003</v>
      </c>
      <c r="I1060" s="18">
        <v>0.22333113020489093</v>
      </c>
    </row>
    <row r="1061" spans="1:9" x14ac:dyDescent="0.25">
      <c r="A1061" s="2">
        <v>43332</v>
      </c>
      <c r="B1061" s="4" t="s">
        <v>189</v>
      </c>
      <c r="C1061" s="3">
        <v>7254</v>
      </c>
      <c r="D1061" s="26">
        <v>1.3354999999999999</v>
      </c>
      <c r="E1061" s="26">
        <v>1.4842</v>
      </c>
      <c r="F1061" s="18">
        <v>3.51</v>
      </c>
      <c r="G1061" s="18">
        <v>0.61951566951566961</v>
      </c>
      <c r="H1061" s="18">
        <v>0.57715099715099716</v>
      </c>
      <c r="I1061" s="18">
        <v>4.2364672364672451E-2</v>
      </c>
    </row>
    <row r="1062" spans="1:9" x14ac:dyDescent="0.25">
      <c r="A1062" s="2">
        <v>43332</v>
      </c>
      <c r="B1062" s="4" t="s">
        <v>441</v>
      </c>
      <c r="C1062" s="3">
        <v>13902</v>
      </c>
      <c r="D1062" s="26">
        <v>0.5252</v>
      </c>
      <c r="E1062" s="26">
        <v>0.52829999999999999</v>
      </c>
      <c r="F1062" s="18">
        <v>1.349</v>
      </c>
      <c r="G1062" s="18">
        <v>0.61067457375833956</v>
      </c>
      <c r="H1062" s="18">
        <v>0.60837657524091915</v>
      </c>
      <c r="I1062" s="18">
        <v>2.2979985174204076E-3</v>
      </c>
    </row>
    <row r="1063" spans="1:9" x14ac:dyDescent="0.25">
      <c r="A1063" s="2">
        <v>43332</v>
      </c>
      <c r="B1063" s="4" t="s">
        <v>487</v>
      </c>
      <c r="C1063" s="3">
        <v>19008</v>
      </c>
      <c r="D1063" s="26">
        <v>0</v>
      </c>
      <c r="E1063" s="26">
        <v>0.41360000000000002</v>
      </c>
      <c r="F1063" s="18">
        <v>1.46</v>
      </c>
      <c r="G1063" s="18">
        <v>1</v>
      </c>
      <c r="H1063" s="18">
        <v>0.71671232876712332</v>
      </c>
      <c r="I1063" s="18">
        <v>0.28328767123287668</v>
      </c>
    </row>
    <row r="1064" spans="1:9" x14ac:dyDescent="0.25">
      <c r="A1064" s="2">
        <v>43333</v>
      </c>
      <c r="B1064" s="4" t="s">
        <v>336</v>
      </c>
      <c r="C1064" s="3">
        <v>11184</v>
      </c>
      <c r="D1064" s="26">
        <v>0.46949999999999997</v>
      </c>
      <c r="E1064" s="26">
        <v>0.70050000000000001</v>
      </c>
      <c r="F1064" s="18">
        <v>1.5129999999999999</v>
      </c>
      <c r="G1064" s="18">
        <v>0.68968935888962324</v>
      </c>
      <c r="H1064" s="18">
        <v>0.53701255783212154</v>
      </c>
      <c r="I1064" s="18">
        <v>0.1526768010575017</v>
      </c>
    </row>
    <row r="1065" spans="1:9" x14ac:dyDescent="0.25">
      <c r="A1065" s="2">
        <v>43333</v>
      </c>
      <c r="B1065" s="4" t="s">
        <v>338</v>
      </c>
      <c r="C1065" s="3">
        <v>8796</v>
      </c>
      <c r="D1065" s="26">
        <v>0.52580000000000005</v>
      </c>
      <c r="E1065" s="26">
        <v>0.77600000000000002</v>
      </c>
      <c r="F1065" s="18">
        <v>1.5129999999999999</v>
      </c>
      <c r="G1065" s="18">
        <v>0.65247851949768665</v>
      </c>
      <c r="H1065" s="18">
        <v>0.48711169861202902</v>
      </c>
      <c r="I1065" s="18">
        <v>0.16536682088565763</v>
      </c>
    </row>
    <row r="1066" spans="1:9" x14ac:dyDescent="0.25">
      <c r="A1066" s="2">
        <v>43333</v>
      </c>
      <c r="B1066" s="4" t="s">
        <v>10</v>
      </c>
      <c r="C1066" s="3">
        <v>3300</v>
      </c>
      <c r="D1066" s="26">
        <v>2.5947</v>
      </c>
      <c r="E1066" s="26">
        <v>2.3868999999999998</v>
      </c>
      <c r="F1066" s="18">
        <v>7.8390000000000004</v>
      </c>
      <c r="G1066" s="18">
        <v>0.66900114810562583</v>
      </c>
      <c r="H1066" s="18">
        <v>0.6955096313305269</v>
      </c>
      <c r="I1066" s="18">
        <v>-2.6508483224901069E-2</v>
      </c>
    </row>
    <row r="1067" spans="1:9" x14ac:dyDescent="0.25">
      <c r="A1067" s="2">
        <v>43333</v>
      </c>
      <c r="B1067" s="4" t="s">
        <v>218</v>
      </c>
      <c r="C1067" s="3">
        <v>2616</v>
      </c>
      <c r="D1067" s="26">
        <v>2.8637499999999996</v>
      </c>
      <c r="E1067" s="26">
        <v>3.0005000000000002</v>
      </c>
      <c r="F1067" s="18">
        <v>7.8390000000000004</v>
      </c>
      <c r="G1067" s="18">
        <v>0.63467916826125792</v>
      </c>
      <c r="H1067" s="18">
        <v>0.61723434111493802</v>
      </c>
      <c r="I1067" s="18">
        <v>1.7444827146319897E-2</v>
      </c>
    </row>
    <row r="1068" spans="1:9" x14ac:dyDescent="0.25">
      <c r="A1068" s="2">
        <v>43333</v>
      </c>
      <c r="B1068" s="4" t="s">
        <v>441</v>
      </c>
      <c r="C1068" s="3">
        <v>13872</v>
      </c>
      <c r="D1068" s="26">
        <v>0.5252</v>
      </c>
      <c r="E1068" s="26">
        <v>0.53500000000000003</v>
      </c>
      <c r="F1068" s="18">
        <v>1.349</v>
      </c>
      <c r="G1068" s="18">
        <v>0.61067457375833956</v>
      </c>
      <c r="H1068" s="18">
        <v>0.60340993328391401</v>
      </c>
      <c r="I1068" s="18">
        <v>7.2646404744255441E-3</v>
      </c>
    </row>
    <row r="1069" spans="1:9" x14ac:dyDescent="0.25">
      <c r="A1069" s="2">
        <v>43333</v>
      </c>
      <c r="B1069" s="4" t="s">
        <v>487</v>
      </c>
      <c r="C1069" s="3">
        <v>3720</v>
      </c>
      <c r="D1069" s="26">
        <v>0</v>
      </c>
      <c r="E1069" s="26">
        <v>0.41070000000000001</v>
      </c>
      <c r="F1069" s="18">
        <v>1.46</v>
      </c>
      <c r="G1069" s="18">
        <v>1</v>
      </c>
      <c r="H1069" s="18">
        <v>0.71869863013698621</v>
      </c>
      <c r="I1069" s="18">
        <v>0.28130136986301379</v>
      </c>
    </row>
    <row r="1070" spans="1:9" x14ac:dyDescent="0.25">
      <c r="A1070" s="2">
        <v>43333</v>
      </c>
      <c r="B1070" s="4" t="s">
        <v>488</v>
      </c>
      <c r="C1070" s="3">
        <v>1974</v>
      </c>
      <c r="D1070" s="26">
        <v>1.7779</v>
      </c>
      <c r="E1070" s="26">
        <v>2.0112000000000001</v>
      </c>
      <c r="F1070" s="18">
        <v>6.09</v>
      </c>
      <c r="G1070" s="18">
        <v>0.70806239737274224</v>
      </c>
      <c r="H1070" s="18">
        <v>0.66975369458128065</v>
      </c>
      <c r="I1070" s="18">
        <v>3.8308702791461591E-2</v>
      </c>
    </row>
    <row r="1071" spans="1:9" x14ac:dyDescent="0.25">
      <c r="A1071" s="2">
        <v>43334</v>
      </c>
      <c r="B1071" s="4" t="s">
        <v>270</v>
      </c>
      <c r="C1071" s="3">
        <v>3756</v>
      </c>
      <c r="D1071" s="26">
        <v>0.45800000000000002</v>
      </c>
      <c r="E1071" s="26">
        <v>0.47289999999999999</v>
      </c>
      <c r="F1071" s="18">
        <v>1.5660000000000001</v>
      </c>
      <c r="G1071" s="18">
        <v>0.70753512132822483</v>
      </c>
      <c r="H1071" s="18">
        <v>0.69802043422733084</v>
      </c>
      <c r="I1071" s="18">
        <v>9.5146871008939815E-3</v>
      </c>
    </row>
    <row r="1072" spans="1:9" x14ac:dyDescent="0.25">
      <c r="A1072" s="2">
        <v>43334</v>
      </c>
      <c r="B1072" s="4" t="s">
        <v>276</v>
      </c>
      <c r="C1072" s="3">
        <v>3120</v>
      </c>
      <c r="D1072" s="26">
        <v>0.94589999999999996</v>
      </c>
      <c r="E1072" s="26">
        <v>1.0210999999999999</v>
      </c>
      <c r="F1072" s="18">
        <v>3.06</v>
      </c>
      <c r="G1072" s="18">
        <v>0.6908823529411765</v>
      </c>
      <c r="H1072" s="18">
        <v>0.66630718954248358</v>
      </c>
      <c r="I1072" s="18">
        <v>2.4575163398692923E-2</v>
      </c>
    </row>
    <row r="1073" spans="1:9" x14ac:dyDescent="0.25">
      <c r="A1073" s="2">
        <v>43334</v>
      </c>
      <c r="B1073" s="4" t="s">
        <v>282</v>
      </c>
      <c r="C1073" s="3">
        <v>279</v>
      </c>
      <c r="D1073" s="26">
        <v>6.7863999999999995</v>
      </c>
      <c r="E1073" s="26">
        <v>7.3845999999999998</v>
      </c>
      <c r="F1073" s="18">
        <v>22.303999999999998</v>
      </c>
      <c r="G1073" s="18">
        <v>0.69573170731707312</v>
      </c>
      <c r="H1073" s="18">
        <v>0.66891140602582499</v>
      </c>
      <c r="I1073" s="18">
        <v>2.6820301291248128E-2</v>
      </c>
    </row>
    <row r="1074" spans="1:9" x14ac:dyDescent="0.25">
      <c r="A1074" s="2">
        <v>43334</v>
      </c>
      <c r="B1074" s="4" t="s">
        <v>346</v>
      </c>
      <c r="C1074" s="3">
        <v>5118</v>
      </c>
      <c r="D1074" s="26">
        <v>1.1367</v>
      </c>
      <c r="E1074" s="26">
        <v>1.3109999999999999</v>
      </c>
      <c r="F1074" s="18">
        <v>2.9750000000000001</v>
      </c>
      <c r="G1074" s="18">
        <v>0.61791596638655466</v>
      </c>
      <c r="H1074" s="18">
        <v>0.55932773109243705</v>
      </c>
      <c r="I1074" s="18">
        <v>5.8588235294117608E-2</v>
      </c>
    </row>
    <row r="1075" spans="1:9" x14ac:dyDescent="0.25">
      <c r="A1075" s="2">
        <v>43334</v>
      </c>
      <c r="B1075" s="4" t="s">
        <v>367</v>
      </c>
      <c r="C1075" s="3">
        <v>275</v>
      </c>
      <c r="D1075" s="26">
        <v>5.7280999999999995</v>
      </c>
      <c r="E1075" s="26">
        <v>6.4276</v>
      </c>
      <c r="F1075" s="18">
        <v>22.303999999999998</v>
      </c>
      <c r="G1075" s="18">
        <v>0.74318059540889525</v>
      </c>
      <c r="H1075" s="18">
        <v>0.71181850789096124</v>
      </c>
      <c r="I1075" s="18">
        <v>3.1362087517933901E-2</v>
      </c>
    </row>
    <row r="1076" spans="1:9" x14ac:dyDescent="0.25">
      <c r="A1076" s="2">
        <v>43334</v>
      </c>
      <c r="B1076" s="4" t="s">
        <v>376</v>
      </c>
      <c r="C1076" s="3">
        <v>4596</v>
      </c>
      <c r="D1076" s="26">
        <v>6.1555</v>
      </c>
      <c r="E1076" s="26">
        <v>0.65680000000000005</v>
      </c>
      <c r="F1076" s="18">
        <v>1.4</v>
      </c>
      <c r="G1076" s="18">
        <v>-3.3967857142857141</v>
      </c>
      <c r="H1076" s="18">
        <v>0.53085714285714281</v>
      </c>
      <c r="I1076" s="18">
        <v>-3.9276428571428568</v>
      </c>
    </row>
    <row r="1077" spans="1:9" x14ac:dyDescent="0.25">
      <c r="A1077" s="2">
        <v>43334</v>
      </c>
      <c r="B1077" s="4" t="s">
        <v>378</v>
      </c>
      <c r="C1077" s="3">
        <v>7032</v>
      </c>
      <c r="D1077" s="26">
        <v>5.9436</v>
      </c>
      <c r="E1077" s="26">
        <v>0.53390000000000004</v>
      </c>
      <c r="F1077" s="18">
        <v>1.4</v>
      </c>
      <c r="G1077" s="18">
        <v>-3.2454285714285716</v>
      </c>
      <c r="H1077" s="18">
        <v>0.61864285714285705</v>
      </c>
      <c r="I1077" s="18">
        <v>-3.8640714285714286</v>
      </c>
    </row>
    <row r="1078" spans="1:9" x14ac:dyDescent="0.25">
      <c r="A1078" s="2">
        <v>43334</v>
      </c>
      <c r="B1078" s="4" t="s">
        <v>397</v>
      </c>
      <c r="C1078" s="3">
        <v>411</v>
      </c>
      <c r="D1078" s="26">
        <v>15.315099999999999</v>
      </c>
      <c r="E1078" s="26">
        <v>6.2736000000000001</v>
      </c>
      <c r="F1078" s="18">
        <v>16.45</v>
      </c>
      <c r="G1078" s="18">
        <v>6.8990881458966563E-2</v>
      </c>
      <c r="H1078" s="18">
        <v>0.61862613981762915</v>
      </c>
      <c r="I1078" s="18">
        <v>-0.54963525835866256</v>
      </c>
    </row>
    <row r="1079" spans="1:9" x14ac:dyDescent="0.25">
      <c r="A1079" s="2">
        <v>43334</v>
      </c>
      <c r="B1079" s="4" t="s">
        <v>441</v>
      </c>
      <c r="C1079" s="3">
        <v>11982</v>
      </c>
      <c r="D1079" s="26">
        <v>0.5252</v>
      </c>
      <c r="E1079" s="26">
        <v>0.53269999999999995</v>
      </c>
      <c r="F1079" s="18">
        <v>1.349</v>
      </c>
      <c r="G1079" s="18">
        <v>0.61067457375833956</v>
      </c>
      <c r="H1079" s="18">
        <v>0.60511489992587109</v>
      </c>
      <c r="I1079" s="18">
        <v>5.5596738324684702E-3</v>
      </c>
    </row>
    <row r="1080" spans="1:9" x14ac:dyDescent="0.25">
      <c r="A1080" s="2">
        <v>43334</v>
      </c>
      <c r="B1080" s="4" t="s">
        <v>488</v>
      </c>
      <c r="C1080" s="3">
        <v>9792</v>
      </c>
      <c r="D1080" s="26">
        <v>1.7779</v>
      </c>
      <c r="E1080" s="26">
        <v>1.9186000000000001</v>
      </c>
      <c r="F1080" s="18">
        <v>6.09</v>
      </c>
      <c r="G1080" s="18">
        <v>0.70806239737274224</v>
      </c>
      <c r="H1080" s="18">
        <v>0.68495894909688015</v>
      </c>
      <c r="I1080" s="18">
        <v>2.3103448275862078E-2</v>
      </c>
    </row>
    <row r="1081" spans="1:9" x14ac:dyDescent="0.25">
      <c r="A1081" s="2">
        <v>43335</v>
      </c>
      <c r="B1081" s="4" t="s">
        <v>263</v>
      </c>
      <c r="C1081" s="3">
        <v>2592</v>
      </c>
      <c r="D1081" s="26">
        <v>0.27429999999999999</v>
      </c>
      <c r="E1081" s="26">
        <v>0.31830000000000003</v>
      </c>
      <c r="F1081" s="18">
        <v>0.96870000000000001</v>
      </c>
      <c r="G1081" s="18">
        <v>0.71683699803860845</v>
      </c>
      <c r="H1081" s="18">
        <v>0.67141529885413442</v>
      </c>
      <c r="I1081" s="18">
        <v>4.5421699184474029E-2</v>
      </c>
    </row>
    <row r="1082" spans="1:9" x14ac:dyDescent="0.25">
      <c r="A1082" s="2">
        <v>43335</v>
      </c>
      <c r="B1082" s="4" t="s">
        <v>266</v>
      </c>
      <c r="C1082" s="3">
        <v>2544</v>
      </c>
      <c r="D1082" s="26">
        <v>0.497</v>
      </c>
      <c r="E1082" s="26">
        <v>0.63349999999999995</v>
      </c>
      <c r="F1082" s="18">
        <v>1.5660000000000001</v>
      </c>
      <c r="G1082" s="18">
        <v>0.68263090676883775</v>
      </c>
      <c r="H1082" s="18">
        <v>0.59546615581098339</v>
      </c>
      <c r="I1082" s="18">
        <v>8.7164750957854364E-2</v>
      </c>
    </row>
    <row r="1083" spans="1:9" x14ac:dyDescent="0.25">
      <c r="A1083" s="2">
        <v>43335</v>
      </c>
      <c r="B1083" s="4" t="s">
        <v>272</v>
      </c>
      <c r="C1083" s="3">
        <v>2634</v>
      </c>
      <c r="D1083" s="26">
        <v>1.024</v>
      </c>
      <c r="E1083" s="26">
        <v>1.3139000000000001</v>
      </c>
      <c r="F1083" s="18">
        <v>3.06</v>
      </c>
      <c r="G1083" s="18">
        <v>0.66535947712418297</v>
      </c>
      <c r="H1083" s="18">
        <v>0.57062091503267975</v>
      </c>
      <c r="I1083" s="18">
        <v>9.473856209150322E-2</v>
      </c>
    </row>
    <row r="1084" spans="1:9" x14ac:dyDescent="0.25">
      <c r="A1084" s="2">
        <v>43335</v>
      </c>
      <c r="B1084" s="4" t="s">
        <v>278</v>
      </c>
      <c r="C1084" s="3">
        <v>300</v>
      </c>
      <c r="D1084" s="26">
        <v>7.4108000000000001</v>
      </c>
      <c r="E1084" s="26">
        <v>9.7960999999999991</v>
      </c>
      <c r="F1084" s="18">
        <v>22.303999999999998</v>
      </c>
      <c r="G1084" s="18">
        <v>0.6677367288378766</v>
      </c>
      <c r="H1084" s="18">
        <v>0.5607917862266858</v>
      </c>
      <c r="I1084" s="18">
        <v>0.10694494261119079</v>
      </c>
    </row>
    <row r="1085" spans="1:9" x14ac:dyDescent="0.25">
      <c r="A1085" s="2">
        <v>43335</v>
      </c>
      <c r="B1085" s="4" t="s">
        <v>346</v>
      </c>
      <c r="C1085" s="3">
        <v>7740</v>
      </c>
      <c r="D1085" s="26">
        <v>1.1367</v>
      </c>
      <c r="E1085" s="26">
        <v>1.4313</v>
      </c>
      <c r="F1085" s="18">
        <v>2.9750000000000001</v>
      </c>
      <c r="G1085" s="18">
        <v>0.61791596638655466</v>
      </c>
      <c r="H1085" s="18">
        <v>0.51889075630252102</v>
      </c>
      <c r="I1085" s="18">
        <v>9.9025210084033644E-2</v>
      </c>
    </row>
    <row r="1086" spans="1:9" x14ac:dyDescent="0.25">
      <c r="A1086" s="2">
        <v>43335</v>
      </c>
      <c r="B1086" s="4" t="s">
        <v>358</v>
      </c>
      <c r="C1086" s="3">
        <v>556</v>
      </c>
      <c r="D1086" s="26">
        <v>6.3707000000000003</v>
      </c>
      <c r="E1086" s="26">
        <v>9.1782000000000004</v>
      </c>
      <c r="F1086" s="18">
        <v>22.303999999999998</v>
      </c>
      <c r="G1086" s="18">
        <v>0.71436961979913915</v>
      </c>
      <c r="H1086" s="18">
        <v>0.58849533715925395</v>
      </c>
      <c r="I1086" s="18">
        <v>0.1258742826398852</v>
      </c>
    </row>
    <row r="1087" spans="1:9" x14ac:dyDescent="0.25">
      <c r="A1087" s="2">
        <v>43335</v>
      </c>
      <c r="B1087" s="4" t="s">
        <v>361</v>
      </c>
      <c r="C1087" s="3">
        <v>150</v>
      </c>
      <c r="D1087" s="26">
        <v>6.0183999999999997</v>
      </c>
      <c r="E1087" s="26">
        <v>8.4810999999999996</v>
      </c>
      <c r="F1087" s="18">
        <v>22.303999999999998</v>
      </c>
      <c r="G1087" s="18">
        <v>0.7301649928263988</v>
      </c>
      <c r="H1087" s="18">
        <v>0.61974982065997131</v>
      </c>
      <c r="I1087" s="18">
        <v>0.11041517216642747</v>
      </c>
    </row>
    <row r="1088" spans="1:9" x14ac:dyDescent="0.25">
      <c r="A1088" s="2">
        <v>43335</v>
      </c>
      <c r="B1088" s="4" t="s">
        <v>373</v>
      </c>
      <c r="C1088" s="3">
        <v>16452</v>
      </c>
      <c r="D1088" s="26">
        <v>5.1951000000000001</v>
      </c>
      <c r="E1088" s="26">
        <v>0.49349999999999999</v>
      </c>
      <c r="F1088" s="18">
        <v>1.4</v>
      </c>
      <c r="G1088" s="18">
        <v>-2.7107857142857146</v>
      </c>
      <c r="H1088" s="18">
        <v>0.64749999999999996</v>
      </c>
      <c r="I1088" s="18">
        <v>-3.3582857142857145</v>
      </c>
    </row>
    <row r="1089" spans="1:9" x14ac:dyDescent="0.25">
      <c r="A1089" s="2">
        <v>43335</v>
      </c>
      <c r="B1089" s="4" t="s">
        <v>398</v>
      </c>
      <c r="C1089" s="3">
        <v>312</v>
      </c>
      <c r="D1089" s="26">
        <v>13.3391</v>
      </c>
      <c r="E1089" s="26">
        <v>1.9392</v>
      </c>
      <c r="F1089" s="18"/>
      <c r="G1089" s="18" t="s">
        <v>524</v>
      </c>
      <c r="H1089" s="18" t="s">
        <v>524</v>
      </c>
      <c r="I1089" s="18"/>
    </row>
    <row r="1090" spans="1:9" x14ac:dyDescent="0.25">
      <c r="A1090" s="2">
        <v>43335</v>
      </c>
      <c r="B1090" s="4" t="s">
        <v>401</v>
      </c>
      <c r="C1090" s="3">
        <v>4014</v>
      </c>
      <c r="D1090" s="26">
        <v>12.406000000000001</v>
      </c>
      <c r="E1090" s="26">
        <v>2.3532000000000002</v>
      </c>
      <c r="F1090" s="18">
        <v>5.79</v>
      </c>
      <c r="G1090" s="18">
        <v>-1.1426597582037994</v>
      </c>
      <c r="H1090" s="18">
        <v>0.59357512953367875</v>
      </c>
      <c r="I1090" s="18">
        <v>-1.7362348877374782</v>
      </c>
    </row>
    <row r="1091" spans="1:9" x14ac:dyDescent="0.25">
      <c r="A1091" s="2">
        <v>43335</v>
      </c>
      <c r="B1091" s="4" t="s">
        <v>441</v>
      </c>
      <c r="C1091" s="3">
        <v>15684</v>
      </c>
      <c r="D1091" s="26">
        <v>0.5252</v>
      </c>
      <c r="E1091" s="26">
        <v>0.52649999999999997</v>
      </c>
      <c r="F1091" s="18">
        <v>1.349</v>
      </c>
      <c r="G1091" s="18">
        <v>0.61067457375833956</v>
      </c>
      <c r="H1091" s="18">
        <v>0.60971089696071168</v>
      </c>
      <c r="I1091" s="18">
        <v>9.6367679762787717E-4</v>
      </c>
    </row>
    <row r="1092" spans="1:9" x14ac:dyDescent="0.25">
      <c r="A1092" s="2">
        <v>43335</v>
      </c>
      <c r="B1092" s="4" t="s">
        <v>488</v>
      </c>
      <c r="C1092" s="3">
        <v>10266</v>
      </c>
      <c r="D1092" s="26">
        <v>1.7779</v>
      </c>
      <c r="E1092" s="26">
        <v>1.9323999999999999</v>
      </c>
      <c r="F1092" s="18">
        <v>6.09</v>
      </c>
      <c r="G1092" s="18">
        <v>0.70806239737274224</v>
      </c>
      <c r="H1092" s="18">
        <v>0.68269293924466345</v>
      </c>
      <c r="I1092" s="18">
        <v>2.5369458128078781E-2</v>
      </c>
    </row>
    <row r="1093" spans="1:9" x14ac:dyDescent="0.25">
      <c r="A1093" s="2">
        <v>43336</v>
      </c>
      <c r="B1093" s="4" t="s">
        <v>346</v>
      </c>
      <c r="C1093" s="3">
        <v>10950</v>
      </c>
      <c r="D1093" s="26">
        <v>1.1367</v>
      </c>
      <c r="E1093" s="26">
        <v>1.4389000000000001</v>
      </c>
      <c r="F1093" s="18">
        <v>2.9750000000000001</v>
      </c>
      <c r="G1093" s="18">
        <v>0.61791596638655466</v>
      </c>
      <c r="H1093" s="18">
        <v>0.51633613445378146</v>
      </c>
      <c r="I1093" s="18">
        <v>0.1015798319327732</v>
      </c>
    </row>
    <row r="1094" spans="1:9" x14ac:dyDescent="0.25">
      <c r="A1094" s="2">
        <v>43336</v>
      </c>
      <c r="B1094" s="4" t="s">
        <v>359</v>
      </c>
      <c r="C1094" s="3">
        <v>594</v>
      </c>
      <c r="D1094" s="26">
        <v>7.0697000000000001</v>
      </c>
      <c r="E1094" s="26">
        <v>8.1636000000000006</v>
      </c>
      <c r="F1094" s="18">
        <v>20.8</v>
      </c>
      <c r="G1094" s="18">
        <v>0.66011057692307684</v>
      </c>
      <c r="H1094" s="18">
        <v>0.60751923076923076</v>
      </c>
      <c r="I1094" s="18">
        <v>5.2591346153846086E-2</v>
      </c>
    </row>
    <row r="1095" spans="1:9" x14ac:dyDescent="0.25">
      <c r="A1095" s="2">
        <v>43336</v>
      </c>
      <c r="B1095" s="4" t="s">
        <v>366</v>
      </c>
      <c r="C1095" s="3">
        <v>450</v>
      </c>
      <c r="D1095" s="26">
        <v>6.2882999999999996</v>
      </c>
      <c r="E1095" s="26">
        <v>7.3244999999999996</v>
      </c>
      <c r="F1095" s="18">
        <v>20.16</v>
      </c>
      <c r="G1095" s="18">
        <v>0.6880803571428572</v>
      </c>
      <c r="H1095" s="18">
        <v>0.63668154761904761</v>
      </c>
      <c r="I1095" s="18">
        <v>5.1398809523809597E-2</v>
      </c>
    </row>
    <row r="1096" spans="1:9" x14ac:dyDescent="0.25">
      <c r="A1096" s="2">
        <v>43336</v>
      </c>
      <c r="B1096" s="4" t="s">
        <v>374</v>
      </c>
      <c r="C1096" s="3">
        <v>15792</v>
      </c>
      <c r="D1096" s="26">
        <v>5.7194000000000003</v>
      </c>
      <c r="E1096" s="26">
        <v>0.53949999999999998</v>
      </c>
      <c r="F1096" s="18">
        <v>1.44</v>
      </c>
      <c r="G1096" s="18">
        <v>-2.971805555555556</v>
      </c>
      <c r="H1096" s="18">
        <v>0.62534722222222228</v>
      </c>
      <c r="I1096" s="18">
        <v>-3.5971527777777785</v>
      </c>
    </row>
    <row r="1097" spans="1:9" x14ac:dyDescent="0.25">
      <c r="A1097" s="2">
        <v>43336</v>
      </c>
      <c r="B1097" s="4" t="s">
        <v>377</v>
      </c>
      <c r="C1097" s="3">
        <v>13128</v>
      </c>
      <c r="D1097" s="26">
        <v>5.0387000000000004</v>
      </c>
      <c r="E1097" s="26">
        <v>0.51639999999999997</v>
      </c>
      <c r="F1097" s="18">
        <v>1.4</v>
      </c>
      <c r="G1097" s="18">
        <v>-2.5990714285714289</v>
      </c>
      <c r="H1097" s="18">
        <v>0.63114285714285712</v>
      </c>
      <c r="I1097" s="18">
        <v>-3.2302142857142861</v>
      </c>
    </row>
    <row r="1098" spans="1:9" x14ac:dyDescent="0.25">
      <c r="A1098" s="2">
        <v>43336</v>
      </c>
      <c r="B1098" s="4" t="s">
        <v>396</v>
      </c>
      <c r="C1098" s="3">
        <v>300</v>
      </c>
      <c r="D1098" s="26">
        <v>14.1099</v>
      </c>
      <c r="E1098" s="26">
        <v>6.0526</v>
      </c>
      <c r="F1098" s="18">
        <v>12.2</v>
      </c>
      <c r="G1098" s="18">
        <v>-0.15654918032786888</v>
      </c>
      <c r="H1098" s="18">
        <v>0.5038852459016393</v>
      </c>
      <c r="I1098" s="18">
        <v>-0.66043442622950821</v>
      </c>
    </row>
    <row r="1099" spans="1:9" x14ac:dyDescent="0.25">
      <c r="A1099" s="2">
        <v>43336</v>
      </c>
      <c r="B1099" s="4" t="s">
        <v>399</v>
      </c>
      <c r="C1099" s="3">
        <v>294</v>
      </c>
      <c r="D1099" s="26">
        <v>14.5457</v>
      </c>
      <c r="E1099" s="26">
        <v>9.0337999999999994</v>
      </c>
      <c r="F1099" s="18">
        <v>12.26</v>
      </c>
      <c r="G1099" s="18">
        <v>-0.18643556280587281</v>
      </c>
      <c r="H1099" s="18">
        <v>0.26314845024469824</v>
      </c>
      <c r="I1099" s="18">
        <v>-0.44958401305057105</v>
      </c>
    </row>
    <row r="1100" spans="1:9" x14ac:dyDescent="0.25">
      <c r="A1100" s="2">
        <v>43336</v>
      </c>
      <c r="B1100" s="4" t="s">
        <v>402</v>
      </c>
      <c r="C1100" s="3">
        <v>2112</v>
      </c>
      <c r="D1100" s="26">
        <v>11.414899999999999</v>
      </c>
      <c r="E1100" s="26">
        <v>2.0636000000000001</v>
      </c>
      <c r="F1100" s="18">
        <v>13.02</v>
      </c>
      <c r="G1100" s="18">
        <v>0.12327956989247314</v>
      </c>
      <c r="H1100" s="18">
        <v>0.84150537634408595</v>
      </c>
      <c r="I1100" s="18">
        <v>-0.71822580645161282</v>
      </c>
    </row>
    <row r="1101" spans="1:9" x14ac:dyDescent="0.25">
      <c r="A1101" s="2">
        <v>43336</v>
      </c>
      <c r="B1101" s="4" t="s">
        <v>441</v>
      </c>
      <c r="C1101" s="3">
        <v>13890</v>
      </c>
      <c r="D1101" s="26">
        <v>0.5252</v>
      </c>
      <c r="E1101" s="26">
        <v>0.54020000000000001</v>
      </c>
      <c r="F1101" s="18">
        <v>1.349</v>
      </c>
      <c r="G1101" s="18">
        <v>0.61067457375833956</v>
      </c>
      <c r="H1101" s="18">
        <v>0.5995552260934025</v>
      </c>
      <c r="I1101" s="18">
        <v>1.1119347664937052E-2</v>
      </c>
    </row>
    <row r="1102" spans="1:9" x14ac:dyDescent="0.25">
      <c r="A1102" s="2">
        <v>43336</v>
      </c>
      <c r="B1102" s="4" t="s">
        <v>488</v>
      </c>
      <c r="C1102" s="3">
        <v>5088</v>
      </c>
      <c r="D1102" s="26">
        <v>1.7779</v>
      </c>
      <c r="E1102" s="26">
        <v>1.8768</v>
      </c>
      <c r="F1102" s="18">
        <v>6.09</v>
      </c>
      <c r="G1102" s="18">
        <v>0.70806239737274224</v>
      </c>
      <c r="H1102" s="18">
        <v>0.69182266009852211</v>
      </c>
      <c r="I1102" s="18">
        <v>1.6239737274220123E-2</v>
      </c>
    </row>
    <row r="1103" spans="1:9" x14ac:dyDescent="0.25">
      <c r="A1103" s="2">
        <v>43339</v>
      </c>
      <c r="B1103" s="4" t="s">
        <v>346</v>
      </c>
      <c r="C1103" s="3">
        <v>1038</v>
      </c>
      <c r="D1103" s="26">
        <v>1.1367</v>
      </c>
      <c r="E1103" s="26">
        <v>1.4153</v>
      </c>
      <c r="F1103" s="18">
        <v>2.9750000000000001</v>
      </c>
      <c r="G1103" s="18">
        <v>0.61791596638655466</v>
      </c>
      <c r="H1103" s="18">
        <v>0.52426890756302524</v>
      </c>
      <c r="I1103" s="18">
        <v>9.364705882352943E-2</v>
      </c>
    </row>
    <row r="1104" spans="1:9" x14ac:dyDescent="0.25">
      <c r="A1104" s="2">
        <v>43339</v>
      </c>
      <c r="B1104" s="4" t="s">
        <v>360</v>
      </c>
      <c r="C1104" s="3">
        <v>822</v>
      </c>
      <c r="D1104" s="26">
        <v>5.8906999999999998</v>
      </c>
      <c r="E1104" s="26">
        <v>6.5513000000000003</v>
      </c>
      <c r="F1104" s="18">
        <v>20.16</v>
      </c>
      <c r="G1104" s="18">
        <v>0.7078025793650794</v>
      </c>
      <c r="H1104" s="18">
        <v>0.67503472222222216</v>
      </c>
      <c r="I1104" s="18">
        <v>3.2767857142857237E-2</v>
      </c>
    </row>
    <row r="1105" spans="1:9" x14ac:dyDescent="0.25">
      <c r="A1105" s="2">
        <v>43339</v>
      </c>
      <c r="B1105" s="4" t="s">
        <v>365</v>
      </c>
      <c r="C1105" s="3">
        <v>207</v>
      </c>
      <c r="D1105" s="26">
        <v>6.5252999999999997</v>
      </c>
      <c r="E1105" s="26">
        <v>3.6892999999999998</v>
      </c>
      <c r="F1105" s="18"/>
      <c r="G1105" s="18" t="s">
        <v>524</v>
      </c>
      <c r="H1105" s="18" t="s">
        <v>524</v>
      </c>
      <c r="I1105" s="18"/>
    </row>
    <row r="1106" spans="1:9" x14ac:dyDescent="0.25">
      <c r="A1106" s="2">
        <v>43339</v>
      </c>
      <c r="B1106" s="4" t="s">
        <v>375</v>
      </c>
      <c r="C1106" s="3">
        <v>23832</v>
      </c>
      <c r="D1106" s="26">
        <v>6.0655999999999999</v>
      </c>
      <c r="E1106" s="26">
        <v>0.54459999999999997</v>
      </c>
      <c r="F1106" s="18">
        <v>1.4</v>
      </c>
      <c r="G1106" s="18">
        <v>-3.3325714285714283</v>
      </c>
      <c r="H1106" s="18">
        <v>0.61099999999999999</v>
      </c>
      <c r="I1106" s="18">
        <v>-3.9435714285714289</v>
      </c>
    </row>
    <row r="1107" spans="1:9" x14ac:dyDescent="0.25">
      <c r="A1107" s="2">
        <v>43339</v>
      </c>
      <c r="B1107" s="4" t="s">
        <v>377</v>
      </c>
      <c r="C1107" s="3">
        <v>9504</v>
      </c>
      <c r="D1107" s="26">
        <v>5.0387000000000004</v>
      </c>
      <c r="E1107" s="26">
        <v>0.47660000000000002</v>
      </c>
      <c r="F1107" s="18">
        <v>1.4</v>
      </c>
      <c r="G1107" s="18">
        <v>-2.5990714285714289</v>
      </c>
      <c r="H1107" s="18">
        <v>0.65957142857142859</v>
      </c>
      <c r="I1107" s="18">
        <v>-3.2586428571428576</v>
      </c>
    </row>
    <row r="1108" spans="1:9" x14ac:dyDescent="0.25">
      <c r="A1108" s="2">
        <v>43339</v>
      </c>
      <c r="B1108" s="4" t="s">
        <v>403</v>
      </c>
      <c r="C1108" s="3">
        <v>3984</v>
      </c>
      <c r="D1108" s="26">
        <v>12.6158</v>
      </c>
      <c r="E1108" s="26">
        <v>2.1029</v>
      </c>
      <c r="F1108" s="18">
        <v>5.81</v>
      </c>
      <c r="G1108" s="18">
        <v>-1.1713941480206542</v>
      </c>
      <c r="H1108" s="18">
        <v>0.63805507745266776</v>
      </c>
      <c r="I1108" s="18">
        <v>-1.8094492254733221</v>
      </c>
    </row>
    <row r="1109" spans="1:9" x14ac:dyDescent="0.25">
      <c r="A1109" s="2">
        <v>43339</v>
      </c>
      <c r="B1109" s="4" t="s">
        <v>230</v>
      </c>
      <c r="C1109" s="3">
        <v>17314</v>
      </c>
      <c r="D1109" s="26">
        <v>0.55530000000000002</v>
      </c>
      <c r="E1109" s="26">
        <v>0.5927</v>
      </c>
      <c r="F1109" s="18">
        <v>1.57</v>
      </c>
      <c r="G1109" s="18">
        <v>0.64630573248407641</v>
      </c>
      <c r="H1109" s="18">
        <v>0.62248407643312098</v>
      </c>
      <c r="I1109" s="18">
        <v>2.3821656050955431E-2</v>
      </c>
    </row>
    <row r="1110" spans="1:9" x14ac:dyDescent="0.25">
      <c r="A1110" s="2">
        <v>43339</v>
      </c>
      <c r="B1110" s="4" t="s">
        <v>442</v>
      </c>
      <c r="C1110" s="3">
        <v>10794</v>
      </c>
      <c r="D1110" s="26">
        <v>0.60658333333333336</v>
      </c>
      <c r="E1110" s="26">
        <v>0.64559999999999995</v>
      </c>
      <c r="F1110" s="18">
        <v>1.4750000000000001</v>
      </c>
      <c r="G1110" s="18">
        <v>0.58875706214689261</v>
      </c>
      <c r="H1110" s="18">
        <v>0.5623050847457628</v>
      </c>
      <c r="I1110" s="18">
        <v>2.6451977401129811E-2</v>
      </c>
    </row>
    <row r="1111" spans="1:9" x14ac:dyDescent="0.25">
      <c r="A1111" s="2">
        <v>43339</v>
      </c>
      <c r="B1111" s="4" t="s">
        <v>489</v>
      </c>
      <c r="C1111" s="3">
        <v>12708</v>
      </c>
      <c r="D1111" s="26">
        <v>0</v>
      </c>
      <c r="E1111" s="26">
        <v>0.64059999999999995</v>
      </c>
      <c r="F1111" s="18">
        <v>1.4750000000000001</v>
      </c>
      <c r="G1111" s="18">
        <v>1</v>
      </c>
      <c r="H1111" s="18">
        <v>0.56569491525423732</v>
      </c>
      <c r="I1111" s="18">
        <v>0.43430508474576274</v>
      </c>
    </row>
    <row r="1112" spans="1:9" x14ac:dyDescent="0.25">
      <c r="A1112" s="2">
        <v>43340</v>
      </c>
      <c r="B1112" s="4" t="s">
        <v>361</v>
      </c>
      <c r="C1112" s="3">
        <v>527</v>
      </c>
      <c r="D1112" s="26">
        <v>6.0183999999999997</v>
      </c>
      <c r="E1112" s="26">
        <v>7.3939000000000004</v>
      </c>
      <c r="F1112" s="18">
        <v>22.303999999999998</v>
      </c>
      <c r="G1112" s="18">
        <v>0.7301649928263988</v>
      </c>
      <c r="H1112" s="18">
        <v>0.66849444045911044</v>
      </c>
      <c r="I1112" s="18">
        <v>6.1670552367288349E-2</v>
      </c>
    </row>
    <row r="1113" spans="1:9" x14ac:dyDescent="0.25">
      <c r="A1113" s="2">
        <v>43340</v>
      </c>
      <c r="B1113" s="4" t="s">
        <v>363</v>
      </c>
      <c r="C1113" s="3">
        <v>4920</v>
      </c>
      <c r="D1113" s="26">
        <v>0</v>
      </c>
      <c r="E1113" s="26">
        <v>1.5076000000000001</v>
      </c>
      <c r="F1113" s="18">
        <v>0</v>
      </c>
      <c r="G1113" s="18" t="s">
        <v>524</v>
      </c>
      <c r="H1113" s="18" t="s">
        <v>524</v>
      </c>
      <c r="I1113" s="18"/>
    </row>
    <row r="1114" spans="1:9" x14ac:dyDescent="0.25">
      <c r="A1114" s="2">
        <v>43340</v>
      </c>
      <c r="B1114" s="4" t="s">
        <v>376</v>
      </c>
      <c r="C1114" s="3">
        <v>15864</v>
      </c>
      <c r="D1114" s="26">
        <v>6.1555</v>
      </c>
      <c r="E1114" s="26">
        <v>0.58109999999999995</v>
      </c>
      <c r="F1114" s="18">
        <v>1.4</v>
      </c>
      <c r="G1114" s="18">
        <v>-3.3967857142857141</v>
      </c>
      <c r="H1114" s="18">
        <v>0.58492857142857146</v>
      </c>
      <c r="I1114" s="18">
        <v>-3.9817142857142858</v>
      </c>
    </row>
    <row r="1115" spans="1:9" x14ac:dyDescent="0.25">
      <c r="A1115" s="2">
        <v>43340</v>
      </c>
      <c r="B1115" s="4" t="s">
        <v>193</v>
      </c>
      <c r="C1115" s="3">
        <v>138</v>
      </c>
      <c r="D1115" s="26">
        <v>5.3124000000000002</v>
      </c>
      <c r="E1115" s="26" t="s">
        <v>11</v>
      </c>
      <c r="F1115" s="18">
        <v>12.500999999999999</v>
      </c>
      <c r="G1115" s="18">
        <v>0.57504199664026878</v>
      </c>
      <c r="H1115" s="18" t="s">
        <v>524</v>
      </c>
      <c r="I1115" s="18"/>
    </row>
    <row r="1116" spans="1:9" x14ac:dyDescent="0.25">
      <c r="A1116" s="2">
        <v>43340</v>
      </c>
      <c r="B1116" s="4" t="s">
        <v>400</v>
      </c>
      <c r="C1116" s="3">
        <v>4122</v>
      </c>
      <c r="D1116" s="26">
        <v>11.474299999999999</v>
      </c>
      <c r="E1116" s="26">
        <v>1.7665</v>
      </c>
      <c r="F1116" s="18">
        <v>5.41</v>
      </c>
      <c r="G1116" s="18">
        <v>-1.1209426987060995</v>
      </c>
      <c r="H1116" s="18">
        <v>0.67347504621072096</v>
      </c>
      <c r="I1116" s="18">
        <v>-1.7944177449168208</v>
      </c>
    </row>
    <row r="1117" spans="1:9" x14ac:dyDescent="0.25">
      <c r="A1117" s="2">
        <v>43340</v>
      </c>
      <c r="B1117" s="4" t="s">
        <v>406</v>
      </c>
      <c r="C1117" s="3">
        <v>4812</v>
      </c>
      <c r="D1117" s="26">
        <v>9.0152000000000001</v>
      </c>
      <c r="E1117" s="26">
        <v>0.80430000000000001</v>
      </c>
      <c r="F1117" s="18">
        <v>1.95</v>
      </c>
      <c r="G1117" s="18">
        <v>-3.6231794871794873</v>
      </c>
      <c r="H1117" s="18">
        <v>0.58753846153846156</v>
      </c>
      <c r="I1117" s="18">
        <v>-4.2107179487179494</v>
      </c>
    </row>
    <row r="1118" spans="1:9" x14ac:dyDescent="0.25">
      <c r="A1118" s="2">
        <v>43340</v>
      </c>
      <c r="B1118" s="4" t="s">
        <v>409</v>
      </c>
      <c r="C1118" s="3">
        <v>942</v>
      </c>
      <c r="D1118" s="26">
        <v>5.1158000000000001</v>
      </c>
      <c r="E1118" s="26">
        <v>1.2313000000000001</v>
      </c>
      <c r="F1118" s="18">
        <v>3.37</v>
      </c>
      <c r="G1118" s="18">
        <v>-0.51804154302670624</v>
      </c>
      <c r="H1118" s="18">
        <v>0.63462908011869434</v>
      </c>
      <c r="I1118" s="18">
        <v>-1.1526706231454007</v>
      </c>
    </row>
    <row r="1119" spans="1:9" x14ac:dyDescent="0.25">
      <c r="A1119" s="2">
        <v>43340</v>
      </c>
      <c r="B1119" s="4" t="s">
        <v>412</v>
      </c>
      <c r="C1119" s="3">
        <v>5012</v>
      </c>
      <c r="D1119" s="26">
        <v>10.3794</v>
      </c>
      <c r="E1119" s="26">
        <v>0.4113</v>
      </c>
      <c r="F1119" s="18">
        <v>1.02</v>
      </c>
      <c r="G1119" s="18">
        <v>-9.1758823529411764</v>
      </c>
      <c r="H1119" s="18">
        <v>0.59676470588235297</v>
      </c>
      <c r="I1119" s="18">
        <v>-9.7726470588235301</v>
      </c>
    </row>
    <row r="1120" spans="1:9" x14ac:dyDescent="0.25">
      <c r="A1120" s="2">
        <v>43340</v>
      </c>
      <c r="B1120" s="4" t="s">
        <v>491</v>
      </c>
      <c r="C1120" s="3">
        <v>4512</v>
      </c>
      <c r="D1120" s="26">
        <v>0.49349999999999999</v>
      </c>
      <c r="E1120" s="26">
        <v>0.73770000000000002</v>
      </c>
      <c r="F1120" s="18">
        <v>1.377</v>
      </c>
      <c r="G1120" s="18">
        <v>0.64161220043572986</v>
      </c>
      <c r="H1120" s="18">
        <v>0.46427015250544662</v>
      </c>
      <c r="I1120" s="18">
        <v>0.17734204793028324</v>
      </c>
    </row>
    <row r="1121" spans="1:9" x14ac:dyDescent="0.25">
      <c r="A1121" s="2">
        <v>43340</v>
      </c>
      <c r="B1121" s="4" t="s">
        <v>492</v>
      </c>
      <c r="C1121" s="3">
        <v>8142</v>
      </c>
      <c r="D1121" s="26">
        <v>0.80920000000000003</v>
      </c>
      <c r="E1121" s="26">
        <v>0.97230000000000005</v>
      </c>
      <c r="F1121" s="18">
        <v>1.996</v>
      </c>
      <c r="G1121" s="18">
        <v>0.59458917835671332</v>
      </c>
      <c r="H1121" s="18">
        <v>0.51287575150300591</v>
      </c>
      <c r="I1121" s="18">
        <v>8.171342685370743E-2</v>
      </c>
    </row>
    <row r="1122" spans="1:9" x14ac:dyDescent="0.25">
      <c r="A1122" s="2">
        <v>43341</v>
      </c>
      <c r="B1122" s="4" t="s">
        <v>34</v>
      </c>
      <c r="C1122" s="3">
        <v>2007</v>
      </c>
      <c r="D1122" s="26">
        <v>1.3683999999999998</v>
      </c>
      <c r="E1122" s="26">
        <v>1.4358</v>
      </c>
      <c r="F1122" s="18">
        <v>4.0090000000000003</v>
      </c>
      <c r="G1122" s="18">
        <v>0.65866799700673495</v>
      </c>
      <c r="H1122" s="18">
        <v>0.64185582439511102</v>
      </c>
      <c r="I1122" s="18">
        <v>1.6812172611623932E-2</v>
      </c>
    </row>
    <row r="1123" spans="1:9" x14ac:dyDescent="0.25">
      <c r="A1123" s="2">
        <v>43341</v>
      </c>
      <c r="B1123" s="4" t="s">
        <v>297</v>
      </c>
      <c r="C1123" s="3">
        <v>13752</v>
      </c>
      <c r="D1123" s="26">
        <v>0.46899999999999997</v>
      </c>
      <c r="E1123" s="26">
        <v>0.52429999999999999</v>
      </c>
      <c r="F1123" s="18">
        <v>1.3340000000000001</v>
      </c>
      <c r="G1123" s="18">
        <v>0.64842578710644672</v>
      </c>
      <c r="H1123" s="18">
        <v>0.60697151424287854</v>
      </c>
      <c r="I1123" s="18">
        <v>4.1454272863568176E-2</v>
      </c>
    </row>
    <row r="1124" spans="1:9" x14ac:dyDescent="0.25">
      <c r="A1124" s="2">
        <v>43341</v>
      </c>
      <c r="B1124" s="4" t="s">
        <v>298</v>
      </c>
      <c r="C1124" s="3">
        <v>9120</v>
      </c>
      <c r="D1124" s="26">
        <v>0.22220000000000001</v>
      </c>
      <c r="E1124" s="26">
        <v>0.24629999999999999</v>
      </c>
      <c r="F1124" s="18">
        <v>0.63300000000000001</v>
      </c>
      <c r="G1124" s="18">
        <v>0.64897314375987358</v>
      </c>
      <c r="H1124" s="18">
        <v>0.61090047393364932</v>
      </c>
      <c r="I1124" s="18">
        <v>3.8072669826224259E-2</v>
      </c>
    </row>
    <row r="1125" spans="1:9" x14ac:dyDescent="0.25">
      <c r="A1125" s="2">
        <v>43341</v>
      </c>
      <c r="B1125" s="4" t="s">
        <v>333</v>
      </c>
      <c r="C1125" s="3">
        <v>11376</v>
      </c>
      <c r="D1125" s="26">
        <v>0.42770000000000002</v>
      </c>
      <c r="E1125" s="26">
        <v>0.4698</v>
      </c>
      <c r="F1125" s="18">
        <v>1.3340000000000001</v>
      </c>
      <c r="G1125" s="18">
        <v>0.67938530734632685</v>
      </c>
      <c r="H1125" s="18">
        <v>0.64782608695652177</v>
      </c>
      <c r="I1125" s="18">
        <v>3.1559220389805076E-2</v>
      </c>
    </row>
    <row r="1126" spans="1:9" x14ac:dyDescent="0.25">
      <c r="A1126" s="2">
        <v>43341</v>
      </c>
      <c r="B1126" s="4" t="s">
        <v>334</v>
      </c>
      <c r="C1126" s="3">
        <v>4768</v>
      </c>
      <c r="D1126" s="26">
        <v>0.19800000000000001</v>
      </c>
      <c r="E1126" s="26">
        <v>0.22009999999999999</v>
      </c>
      <c r="F1126" s="18">
        <v>0.63300000000000001</v>
      </c>
      <c r="G1126" s="18">
        <v>0.6872037914691943</v>
      </c>
      <c r="H1126" s="18">
        <v>0.65229067930489737</v>
      </c>
      <c r="I1126" s="18">
        <v>3.4913112164296933E-2</v>
      </c>
    </row>
    <row r="1127" spans="1:9" x14ac:dyDescent="0.25">
      <c r="A1127" s="2">
        <v>43341</v>
      </c>
      <c r="B1127" s="4" t="s">
        <v>152</v>
      </c>
      <c r="C1127" s="3">
        <v>1680</v>
      </c>
      <c r="D1127" s="26">
        <v>0.58314999999999995</v>
      </c>
      <c r="E1127" s="26">
        <v>0.59919999999999995</v>
      </c>
      <c r="F1127" s="18">
        <v>1.7569999999999999</v>
      </c>
      <c r="G1127" s="18">
        <v>0.66809903244166191</v>
      </c>
      <c r="H1127" s="18">
        <v>0.65896414342629483</v>
      </c>
      <c r="I1127" s="18">
        <v>9.1348890153670759E-3</v>
      </c>
    </row>
    <row r="1128" spans="1:9" x14ac:dyDescent="0.25">
      <c r="A1128" s="2">
        <v>43341</v>
      </c>
      <c r="B1128" s="4" t="s">
        <v>153</v>
      </c>
      <c r="C1128" s="3">
        <v>1464</v>
      </c>
      <c r="D1128" s="26">
        <v>0.56405833333333333</v>
      </c>
      <c r="E1128" s="26">
        <v>0.73319999999999996</v>
      </c>
      <c r="F1128" s="18">
        <v>1.7569999999999999</v>
      </c>
      <c r="G1128" s="18">
        <v>0.67896509201290078</v>
      </c>
      <c r="H1128" s="18">
        <v>0.58269778030734209</v>
      </c>
      <c r="I1128" s="18">
        <v>9.6267311705558689E-2</v>
      </c>
    </row>
    <row r="1129" spans="1:9" x14ac:dyDescent="0.25">
      <c r="A1129" s="2">
        <v>43341</v>
      </c>
      <c r="B1129" s="4" t="s">
        <v>363</v>
      </c>
      <c r="C1129" s="3">
        <v>5310</v>
      </c>
      <c r="D1129" s="26">
        <v>0</v>
      </c>
      <c r="E1129" s="26">
        <v>1.506</v>
      </c>
      <c r="F1129" s="18">
        <v>0</v>
      </c>
      <c r="G1129" s="18" t="s">
        <v>524</v>
      </c>
      <c r="H1129" s="18" t="s">
        <v>524</v>
      </c>
      <c r="I1129" s="18"/>
    </row>
    <row r="1130" spans="1:9" x14ac:dyDescent="0.25">
      <c r="A1130" s="2">
        <v>43341</v>
      </c>
      <c r="B1130" s="4" t="s">
        <v>407</v>
      </c>
      <c r="C1130" s="3">
        <v>2532</v>
      </c>
      <c r="D1130" s="26">
        <v>8.2751000000000001</v>
      </c>
      <c r="E1130" s="26">
        <v>0.88160000000000005</v>
      </c>
      <c r="F1130" s="18">
        <v>2.09</v>
      </c>
      <c r="G1130" s="18">
        <v>-2.9593779904306223</v>
      </c>
      <c r="H1130" s="18">
        <v>0.57818181818181813</v>
      </c>
      <c r="I1130" s="18">
        <v>-3.5375598086124405</v>
      </c>
    </row>
    <row r="1131" spans="1:9" x14ac:dyDescent="0.25">
      <c r="A1131" s="2">
        <v>43341</v>
      </c>
      <c r="B1131" s="4" t="s">
        <v>408</v>
      </c>
      <c r="C1131" s="3">
        <v>450</v>
      </c>
      <c r="D1131" s="26">
        <v>10.4665</v>
      </c>
      <c r="E1131" s="26">
        <v>2.2791000000000001</v>
      </c>
      <c r="F1131" s="18">
        <v>7.29</v>
      </c>
      <c r="G1131" s="18">
        <v>-0.43573388203017832</v>
      </c>
      <c r="H1131" s="18">
        <v>0.68736625514403282</v>
      </c>
      <c r="I1131" s="18">
        <v>-1.1231001371742113</v>
      </c>
    </row>
    <row r="1132" spans="1:9" x14ac:dyDescent="0.25">
      <c r="A1132" s="2">
        <v>43341</v>
      </c>
      <c r="B1132" s="4" t="s">
        <v>413</v>
      </c>
      <c r="C1132" s="3">
        <v>4760</v>
      </c>
      <c r="D1132" s="26">
        <v>9.6760000000000002</v>
      </c>
      <c r="E1132" s="26">
        <v>0.44390000000000002</v>
      </c>
      <c r="F1132" s="18">
        <v>1.1100000000000001</v>
      </c>
      <c r="G1132" s="18">
        <v>-7.7171171171171169</v>
      </c>
      <c r="H1132" s="18">
        <v>0.60009009009009018</v>
      </c>
      <c r="I1132" s="18">
        <v>-8.3172072072072076</v>
      </c>
    </row>
    <row r="1133" spans="1:9" x14ac:dyDescent="0.25">
      <c r="A1133" s="2">
        <v>43341</v>
      </c>
      <c r="B1133" s="4" t="s">
        <v>212</v>
      </c>
      <c r="C1133" s="3">
        <v>7956</v>
      </c>
      <c r="D1133" s="26">
        <v>1.48465</v>
      </c>
      <c r="E1133" s="26">
        <v>1.5129999999999999</v>
      </c>
      <c r="F1133" s="18">
        <v>3.53</v>
      </c>
      <c r="G1133" s="18">
        <v>0.57941926345609074</v>
      </c>
      <c r="H1133" s="18">
        <v>0.57138810198300283</v>
      </c>
      <c r="I1133" s="18">
        <v>8.0311614730879111E-3</v>
      </c>
    </row>
    <row r="1134" spans="1:9" x14ac:dyDescent="0.25">
      <c r="A1134" s="2">
        <v>43341</v>
      </c>
      <c r="B1134" s="4" t="s">
        <v>493</v>
      </c>
      <c r="C1134" s="3">
        <v>11778</v>
      </c>
      <c r="D1134" s="26">
        <v>0.64810000000000001</v>
      </c>
      <c r="E1134" s="26">
        <v>0.79890000000000005</v>
      </c>
      <c r="F1134" s="18">
        <v>2.0070000000000001</v>
      </c>
      <c r="G1134" s="18">
        <v>0.67708021923268569</v>
      </c>
      <c r="H1134" s="18">
        <v>0.60194319880418534</v>
      </c>
      <c r="I1134" s="18">
        <v>7.5137020428500345E-2</v>
      </c>
    </row>
    <row r="1135" spans="1:9" x14ac:dyDescent="0.25">
      <c r="A1135" s="2">
        <v>43342</v>
      </c>
      <c r="B1135" s="4" t="s">
        <v>301</v>
      </c>
      <c r="C1135" s="3">
        <v>3984</v>
      </c>
      <c r="D1135" s="26">
        <v>0.40360000000000001</v>
      </c>
      <c r="E1135" s="26">
        <v>0.41789999999999999</v>
      </c>
      <c r="F1135" s="18">
        <v>1.341</v>
      </c>
      <c r="G1135" s="18">
        <v>0.69903057419835946</v>
      </c>
      <c r="H1135" s="18">
        <v>0.68836689038031329</v>
      </c>
      <c r="I1135" s="18">
        <v>1.0663683818046166E-2</v>
      </c>
    </row>
    <row r="1136" spans="1:9" x14ac:dyDescent="0.25">
      <c r="A1136" s="2">
        <v>43342</v>
      </c>
      <c r="B1136" s="4" t="s">
        <v>325</v>
      </c>
      <c r="C1136" s="3">
        <v>7032</v>
      </c>
      <c r="D1136" s="26">
        <v>0.50309999999999999</v>
      </c>
      <c r="E1136" s="26">
        <v>0.56159999999999999</v>
      </c>
      <c r="F1136" s="18">
        <v>1.3340000000000001</v>
      </c>
      <c r="G1136" s="18">
        <v>0.62286356821589206</v>
      </c>
      <c r="H1136" s="18">
        <v>0.57901049475262367</v>
      </c>
      <c r="I1136" s="18">
        <v>4.3853073463268381E-2</v>
      </c>
    </row>
    <row r="1137" spans="1:9" x14ac:dyDescent="0.25">
      <c r="A1137" s="2">
        <v>43342</v>
      </c>
      <c r="B1137" s="4" t="s">
        <v>326</v>
      </c>
      <c r="C1137" s="3">
        <v>5312</v>
      </c>
      <c r="D1137" s="26">
        <v>0.23130000000000001</v>
      </c>
      <c r="E1137" s="26">
        <v>0.26629999999999998</v>
      </c>
      <c r="F1137" s="18">
        <v>0.68</v>
      </c>
      <c r="G1137" s="18">
        <v>0.65985294117647064</v>
      </c>
      <c r="H1137" s="18">
        <v>0.60838235294117649</v>
      </c>
      <c r="I1137" s="18">
        <v>5.1470588235294157E-2</v>
      </c>
    </row>
    <row r="1138" spans="1:9" x14ac:dyDescent="0.25">
      <c r="A1138" s="2">
        <v>43342</v>
      </c>
      <c r="B1138" s="4" t="s">
        <v>329</v>
      </c>
      <c r="C1138" s="3">
        <v>12000</v>
      </c>
      <c r="D1138" s="26">
        <v>0.4546</v>
      </c>
      <c r="E1138" s="26">
        <v>0.49009999999999998</v>
      </c>
      <c r="F1138" s="18">
        <v>1.341</v>
      </c>
      <c r="G1138" s="18">
        <v>0.6609992542878449</v>
      </c>
      <c r="H1138" s="18">
        <v>0.63452647278150631</v>
      </c>
      <c r="I1138" s="18">
        <v>2.6472781506338583E-2</v>
      </c>
    </row>
    <row r="1139" spans="1:9" x14ac:dyDescent="0.25">
      <c r="A1139" s="2">
        <v>43342</v>
      </c>
      <c r="B1139" s="4" t="s">
        <v>330</v>
      </c>
      <c r="C1139" s="3">
        <v>9056</v>
      </c>
      <c r="D1139" s="26">
        <v>0.21129999999999999</v>
      </c>
      <c r="E1139" s="26">
        <v>0.2298</v>
      </c>
      <c r="F1139" s="18">
        <v>0.66800000000000004</v>
      </c>
      <c r="G1139" s="18">
        <v>0.68368263473053892</v>
      </c>
      <c r="H1139" s="18">
        <v>0.65598802395209577</v>
      </c>
      <c r="I1139" s="18">
        <v>2.7694610778443152E-2</v>
      </c>
    </row>
    <row r="1140" spans="1:9" x14ac:dyDescent="0.25">
      <c r="A1140" s="2">
        <v>43342</v>
      </c>
      <c r="B1140" s="4" t="s">
        <v>405</v>
      </c>
      <c r="C1140" s="3">
        <v>3012</v>
      </c>
      <c r="D1140" s="26">
        <v>8.7340999999999998</v>
      </c>
      <c r="E1140" s="26">
        <v>0.78110000000000002</v>
      </c>
      <c r="F1140" s="18">
        <v>1.98</v>
      </c>
      <c r="G1140" s="18">
        <v>-3.4111616161616158</v>
      </c>
      <c r="H1140" s="18">
        <v>0.60550505050505055</v>
      </c>
      <c r="I1140" s="18">
        <v>-4.0166666666666666</v>
      </c>
    </row>
    <row r="1141" spans="1:9" x14ac:dyDescent="0.25">
      <c r="A1141" s="2">
        <v>43342</v>
      </c>
      <c r="B1141" s="4" t="s">
        <v>411</v>
      </c>
      <c r="C1141" s="3">
        <v>19096</v>
      </c>
      <c r="D1141" s="26">
        <v>0.3589</v>
      </c>
      <c r="E1141" s="26">
        <v>0.41020000000000001</v>
      </c>
      <c r="F1141" s="18">
        <v>1.1000000000000001</v>
      </c>
      <c r="G1141" s="18">
        <v>0.67372727272727273</v>
      </c>
      <c r="H1141" s="18">
        <v>0.62709090909090914</v>
      </c>
      <c r="I1141" s="18">
        <v>4.6636363636363587E-2</v>
      </c>
    </row>
    <row r="1142" spans="1:9" x14ac:dyDescent="0.25">
      <c r="A1142" s="2">
        <v>43342</v>
      </c>
      <c r="B1142" s="4" t="s">
        <v>230</v>
      </c>
      <c r="C1142" s="3">
        <v>19254</v>
      </c>
      <c r="D1142" s="26">
        <v>0.55530000000000002</v>
      </c>
      <c r="E1142" s="26">
        <v>0.57240000000000002</v>
      </c>
      <c r="F1142" s="18">
        <v>1.57</v>
      </c>
      <c r="G1142" s="18">
        <v>0.64630573248407641</v>
      </c>
      <c r="H1142" s="18">
        <v>0.63541401273885345</v>
      </c>
      <c r="I1142" s="18">
        <v>1.0891719745222961E-2</v>
      </c>
    </row>
    <row r="1143" spans="1:9" x14ac:dyDescent="0.25">
      <c r="A1143" s="2">
        <v>43342</v>
      </c>
      <c r="B1143" s="4" t="s">
        <v>211</v>
      </c>
      <c r="C1143" s="3">
        <v>14862</v>
      </c>
      <c r="D1143" s="26">
        <v>1.4243333333333332</v>
      </c>
      <c r="E1143" s="26">
        <v>1.4293</v>
      </c>
      <c r="F1143" s="18">
        <v>3.19</v>
      </c>
      <c r="G1143" s="18">
        <v>0.55350052246603976</v>
      </c>
      <c r="H1143" s="18">
        <v>0.55194357366771163</v>
      </c>
      <c r="I1143" s="18">
        <v>1.5569487983281285E-3</v>
      </c>
    </row>
    <row r="1144" spans="1:9" x14ac:dyDescent="0.25">
      <c r="A1144" s="2">
        <v>43343</v>
      </c>
      <c r="B1144" s="4" t="s">
        <v>271</v>
      </c>
      <c r="C1144" s="3">
        <v>900</v>
      </c>
      <c r="D1144" s="26">
        <v>0.99699999999999989</v>
      </c>
      <c r="E1144" s="26">
        <v>1.1282000000000001</v>
      </c>
      <c r="F1144" s="18">
        <v>3.06</v>
      </c>
      <c r="G1144" s="18">
        <v>0.67418300653594776</v>
      </c>
      <c r="H1144" s="18">
        <v>0.63130718954248366</v>
      </c>
      <c r="I1144" s="18">
        <v>4.28758169934641E-2</v>
      </c>
    </row>
    <row r="1145" spans="1:9" x14ac:dyDescent="0.25">
      <c r="A1145" s="2">
        <v>43343</v>
      </c>
      <c r="B1145" s="4" t="s">
        <v>277</v>
      </c>
      <c r="C1145" s="3">
        <v>223</v>
      </c>
      <c r="D1145" s="26">
        <v>7.0811999999999999</v>
      </c>
      <c r="E1145" s="26">
        <v>8.2059999999999995</v>
      </c>
      <c r="F1145" s="18">
        <v>22.303999999999998</v>
      </c>
      <c r="G1145" s="18">
        <v>0.68251434720229553</v>
      </c>
      <c r="H1145" s="18">
        <v>0.63208393113342898</v>
      </c>
      <c r="I1145" s="18">
        <v>5.0430416068866557E-2</v>
      </c>
    </row>
    <row r="1146" spans="1:9" x14ac:dyDescent="0.25">
      <c r="A1146" s="2">
        <v>43343</v>
      </c>
      <c r="B1146" s="4" t="s">
        <v>301</v>
      </c>
      <c r="C1146" s="3">
        <v>10728</v>
      </c>
      <c r="D1146" s="26">
        <v>0.40360000000000001</v>
      </c>
      <c r="E1146" s="26">
        <v>0.48209999999999997</v>
      </c>
      <c r="F1146" s="18">
        <v>1.341</v>
      </c>
      <c r="G1146" s="18">
        <v>0.69903057419835946</v>
      </c>
      <c r="H1146" s="18">
        <v>0.64049217002237135</v>
      </c>
      <c r="I1146" s="18">
        <v>5.8538404175988101E-2</v>
      </c>
    </row>
    <row r="1147" spans="1:9" x14ac:dyDescent="0.25">
      <c r="A1147" s="2">
        <v>43343</v>
      </c>
      <c r="B1147" s="4" t="s">
        <v>302</v>
      </c>
      <c r="C1147" s="3">
        <v>9216</v>
      </c>
      <c r="D1147" s="26">
        <v>0.17960000000000001</v>
      </c>
      <c r="E1147" s="26">
        <v>0.23549999999999999</v>
      </c>
      <c r="F1147" s="18">
        <v>0.63</v>
      </c>
      <c r="G1147" s="18">
        <v>0.71492063492063496</v>
      </c>
      <c r="H1147" s="18">
        <v>0.62619047619047619</v>
      </c>
      <c r="I1147" s="18">
        <v>8.873015873015877E-2</v>
      </c>
    </row>
    <row r="1148" spans="1:9" x14ac:dyDescent="0.25">
      <c r="A1148" s="2">
        <v>43343</v>
      </c>
      <c r="B1148" s="4" t="s">
        <v>340</v>
      </c>
      <c r="C1148" s="3">
        <v>1896</v>
      </c>
      <c r="D1148" s="26">
        <v>0.4788</v>
      </c>
      <c r="E1148" s="26">
        <v>0.71850000000000003</v>
      </c>
      <c r="F1148" s="18">
        <v>1.5129999999999999</v>
      </c>
      <c r="G1148" s="18">
        <v>0.68354263053536013</v>
      </c>
      <c r="H1148" s="18">
        <v>0.52511566424322531</v>
      </c>
      <c r="I1148" s="18">
        <v>0.15842696629213482</v>
      </c>
    </row>
    <row r="1149" spans="1:9" x14ac:dyDescent="0.25">
      <c r="A1149" s="2">
        <v>43343</v>
      </c>
      <c r="B1149" s="4" t="s">
        <v>361</v>
      </c>
      <c r="C1149" s="3">
        <v>158</v>
      </c>
      <c r="D1149" s="26">
        <v>6.0183999999999997</v>
      </c>
      <c r="E1149" s="26">
        <v>7.0995999999999997</v>
      </c>
      <c r="F1149" s="18">
        <v>22.303999999999998</v>
      </c>
      <c r="G1149" s="18">
        <v>0.7301649928263988</v>
      </c>
      <c r="H1149" s="18">
        <v>0.68168938307030136</v>
      </c>
      <c r="I1149" s="18">
        <v>4.8475609756097437E-2</v>
      </c>
    </row>
    <row r="1150" spans="1:9" x14ac:dyDescent="0.25">
      <c r="A1150" s="2">
        <v>43343</v>
      </c>
      <c r="B1150" s="4" t="s">
        <v>367</v>
      </c>
      <c r="C1150" s="3">
        <v>163</v>
      </c>
      <c r="D1150" s="26">
        <v>5.7280999999999995</v>
      </c>
      <c r="E1150" s="26">
        <v>6.1952999999999996</v>
      </c>
      <c r="F1150" s="18">
        <v>22.303999999999998</v>
      </c>
      <c r="G1150" s="18">
        <v>0.74318059540889525</v>
      </c>
      <c r="H1150" s="18">
        <v>0.72223368005738875</v>
      </c>
      <c r="I1150" s="18">
        <v>2.0946915351506279E-2</v>
      </c>
    </row>
    <row r="1151" spans="1:9" x14ac:dyDescent="0.25">
      <c r="A1151" s="2">
        <v>43343</v>
      </c>
      <c r="B1151" s="4" t="s">
        <v>376</v>
      </c>
      <c r="C1151" s="3">
        <v>4716</v>
      </c>
      <c r="D1151" s="26">
        <v>6.1555</v>
      </c>
      <c r="E1151" s="26">
        <v>0.56740000000000002</v>
      </c>
      <c r="F1151" s="18">
        <v>1.4</v>
      </c>
      <c r="G1151" s="18">
        <v>-3.3967857142857141</v>
      </c>
      <c r="H1151" s="18">
        <v>0.59471428571428564</v>
      </c>
      <c r="I1151" s="18">
        <v>-3.9914999999999998</v>
      </c>
    </row>
    <row r="1152" spans="1:9" x14ac:dyDescent="0.25">
      <c r="A1152" s="2">
        <v>43343</v>
      </c>
      <c r="B1152" s="4" t="s">
        <v>378</v>
      </c>
      <c r="C1152" s="3">
        <v>5700</v>
      </c>
      <c r="D1152" s="26">
        <v>5.9436</v>
      </c>
      <c r="E1152" s="26">
        <v>0.52600000000000002</v>
      </c>
      <c r="F1152" s="18">
        <v>1.4</v>
      </c>
      <c r="G1152" s="18">
        <v>-3.2454285714285716</v>
      </c>
      <c r="H1152" s="18">
        <v>0.62428571428571422</v>
      </c>
      <c r="I1152" s="18">
        <v>-3.8697142857142857</v>
      </c>
    </row>
    <row r="1153" spans="1:9" x14ac:dyDescent="0.25">
      <c r="A1153" s="2">
        <v>43343</v>
      </c>
      <c r="B1153" s="4" t="s">
        <v>170</v>
      </c>
      <c r="C1153" s="3">
        <v>6360</v>
      </c>
      <c r="D1153" s="26">
        <v>5.8633000000000006</v>
      </c>
      <c r="E1153" s="26">
        <v>1.0685</v>
      </c>
      <c r="F1153" s="18">
        <v>3.3340000000000001</v>
      </c>
      <c r="G1153" s="18">
        <v>-0.75863827234553105</v>
      </c>
      <c r="H1153" s="18">
        <v>0.67951409718056399</v>
      </c>
      <c r="I1153" s="18">
        <v>-1.4381523695260952</v>
      </c>
    </row>
    <row r="1154" spans="1:9" x14ac:dyDescent="0.25">
      <c r="A1154" s="2">
        <v>43343</v>
      </c>
      <c r="B1154" s="4" t="s">
        <v>400</v>
      </c>
      <c r="C1154" s="3">
        <v>510</v>
      </c>
      <c r="D1154" s="26">
        <v>11.474299999999999</v>
      </c>
      <c r="E1154" s="26">
        <v>2.0287000000000002</v>
      </c>
      <c r="F1154" s="18">
        <v>5.41</v>
      </c>
      <c r="G1154" s="18">
        <v>-1.1209426987060995</v>
      </c>
      <c r="H1154" s="18">
        <v>0.62500924214417741</v>
      </c>
      <c r="I1154" s="18">
        <v>-1.7459519408502773</v>
      </c>
    </row>
    <row r="1155" spans="1:9" x14ac:dyDescent="0.25">
      <c r="A1155" s="2">
        <v>43343</v>
      </c>
      <c r="B1155" s="4" t="s">
        <v>404</v>
      </c>
      <c r="C1155" s="3">
        <v>5052</v>
      </c>
      <c r="D1155" s="26">
        <v>7.3152999999999997</v>
      </c>
      <c r="E1155" s="26">
        <v>0.68289999999999995</v>
      </c>
      <c r="F1155" s="18">
        <v>2.06</v>
      </c>
      <c r="G1155" s="18">
        <v>-2.5511165048543689</v>
      </c>
      <c r="H1155" s="18">
        <v>0.66849514563106793</v>
      </c>
      <c r="I1155" s="18">
        <v>-3.2196116504854366</v>
      </c>
    </row>
    <row r="1156" spans="1:9" x14ac:dyDescent="0.25">
      <c r="A1156" s="2">
        <v>43343</v>
      </c>
      <c r="B1156" s="4" t="s">
        <v>410</v>
      </c>
      <c r="C1156" s="3">
        <v>6244</v>
      </c>
      <c r="D1156" s="26">
        <v>0.29980000000000001</v>
      </c>
      <c r="E1156" s="26">
        <v>0.32650000000000001</v>
      </c>
      <c r="F1156" s="18">
        <v>1.05</v>
      </c>
      <c r="G1156" s="18">
        <v>0.71447619047619038</v>
      </c>
      <c r="H1156" s="18">
        <v>0.68904761904761902</v>
      </c>
      <c r="I1156" s="18">
        <v>2.5428571428571356E-2</v>
      </c>
    </row>
    <row r="1157" spans="1:9" x14ac:dyDescent="0.25">
      <c r="A1157" s="2">
        <v>43343</v>
      </c>
      <c r="B1157" s="4" t="s">
        <v>435</v>
      </c>
      <c r="C1157" s="3">
        <v>3312</v>
      </c>
      <c r="D1157" s="26">
        <v>4.3761999999999999</v>
      </c>
      <c r="E1157" s="26">
        <v>4.5278</v>
      </c>
      <c r="F1157" s="18">
        <v>18.37</v>
      </c>
      <c r="G1157" s="18">
        <v>0.76177463255307565</v>
      </c>
      <c r="H1157" s="18">
        <v>0.7535220468154602</v>
      </c>
      <c r="I1157" s="18">
        <v>8.2525857376155587E-3</v>
      </c>
    </row>
    <row r="1158" spans="1:9" x14ac:dyDescent="0.25">
      <c r="A1158" s="2">
        <v>43343</v>
      </c>
      <c r="B1158" s="4" t="s">
        <v>434</v>
      </c>
      <c r="C1158" s="3">
        <v>7536</v>
      </c>
      <c r="D1158" s="26">
        <v>0.43362499999999998</v>
      </c>
      <c r="E1158" s="26">
        <v>0.52010000000000001</v>
      </c>
      <c r="F1158" s="18">
        <v>1.5629999999999999</v>
      </c>
      <c r="G1158" s="18">
        <v>0.72256877799104291</v>
      </c>
      <c r="H1158" s="18">
        <v>0.66724248240563022</v>
      </c>
      <c r="I1158" s="18">
        <v>5.5326295585412688E-2</v>
      </c>
    </row>
    <row r="1159" spans="1:9" x14ac:dyDescent="0.25">
      <c r="A1159" s="2">
        <v>43343</v>
      </c>
      <c r="B1159" s="4" t="s">
        <v>493</v>
      </c>
      <c r="C1159" s="3">
        <v>672</v>
      </c>
      <c r="D1159" s="26">
        <v>0.64810000000000001</v>
      </c>
      <c r="E1159" s="26">
        <v>0.76910000000000001</v>
      </c>
      <c r="F1159" s="18">
        <v>2.0070000000000001</v>
      </c>
      <c r="G1159" s="18">
        <v>0.67708021923268569</v>
      </c>
      <c r="H1159" s="18">
        <v>0.61679123069257602</v>
      </c>
      <c r="I1159" s="18">
        <v>6.0288988540109667E-2</v>
      </c>
    </row>
    <row r="1160" spans="1:9" x14ac:dyDescent="0.25">
      <c r="A1160" s="2">
        <v>43343</v>
      </c>
      <c r="B1160" s="4" t="s">
        <v>494</v>
      </c>
      <c r="C1160" s="3">
        <v>2544</v>
      </c>
      <c r="D1160" s="26">
        <v>1.7916000000000001</v>
      </c>
      <c r="E1160" s="26">
        <v>1.7825</v>
      </c>
      <c r="F1160" s="18">
        <v>7.7880000000000003</v>
      </c>
      <c r="G1160" s="18">
        <v>0.7699537750385208</v>
      </c>
      <c r="H1160" s="18">
        <v>0.7711222393425784</v>
      </c>
      <c r="I1160" s="18">
        <v>-1.1684643040575926E-3</v>
      </c>
    </row>
    <row r="1161" spans="1:9" x14ac:dyDescent="0.25">
      <c r="A1161" s="2">
        <v>43346</v>
      </c>
      <c r="B1161" s="4" t="s">
        <v>294</v>
      </c>
      <c r="C1161" s="3">
        <v>1521</v>
      </c>
      <c r="D1161" s="26">
        <v>2.8578000000000001</v>
      </c>
      <c r="E1161" s="26">
        <v>1.6065</v>
      </c>
      <c r="F1161" s="18">
        <v>10.94</v>
      </c>
      <c r="G1161" s="18">
        <v>0.73877513711151743</v>
      </c>
      <c r="H1161" s="18">
        <v>0.85315356489945149</v>
      </c>
      <c r="I1161" s="18">
        <v>-0.11437842778793406</v>
      </c>
    </row>
    <row r="1162" spans="1:9" x14ac:dyDescent="0.25">
      <c r="A1162" s="2">
        <v>43346</v>
      </c>
      <c r="B1162" s="4" t="s">
        <v>91</v>
      </c>
      <c r="C1162" s="3">
        <v>763</v>
      </c>
      <c r="D1162" s="26">
        <v>2.5861000000000001</v>
      </c>
      <c r="E1162" s="26">
        <v>3.1989999999999998</v>
      </c>
      <c r="F1162" s="18">
        <v>10.69</v>
      </c>
      <c r="G1162" s="18">
        <v>0.75808231992516373</v>
      </c>
      <c r="H1162" s="18">
        <v>0.70074836295603371</v>
      </c>
      <c r="I1162" s="18">
        <v>5.7333956969130018E-2</v>
      </c>
    </row>
    <row r="1163" spans="1:9" x14ac:dyDescent="0.25">
      <c r="A1163" s="2">
        <v>43346</v>
      </c>
      <c r="B1163" s="4" t="s">
        <v>92</v>
      </c>
      <c r="C1163" s="3">
        <v>1142</v>
      </c>
      <c r="D1163" s="26">
        <v>2.8222</v>
      </c>
      <c r="E1163" s="26">
        <v>2.5308999999999999</v>
      </c>
      <c r="F1163" s="18">
        <v>10.94</v>
      </c>
      <c r="G1163" s="18">
        <v>0.74202925045703838</v>
      </c>
      <c r="H1163" s="18">
        <v>0.76865630712979893</v>
      </c>
      <c r="I1163" s="18">
        <v>-2.6627056672760441E-2</v>
      </c>
    </row>
    <row r="1164" spans="1:9" x14ac:dyDescent="0.25">
      <c r="A1164" s="2">
        <v>43346</v>
      </c>
      <c r="B1164" s="4" t="s">
        <v>312</v>
      </c>
      <c r="C1164" s="3">
        <v>1201</v>
      </c>
      <c r="D1164" s="26">
        <v>2.5183</v>
      </c>
      <c r="E1164" s="26">
        <v>3.0135000000000001</v>
      </c>
      <c r="F1164" s="18">
        <v>10.94</v>
      </c>
      <c r="G1164" s="18">
        <v>0.76980804387568558</v>
      </c>
      <c r="H1164" s="18">
        <v>0.72454296160877507</v>
      </c>
      <c r="I1164" s="18">
        <v>4.5265082266910506E-2</v>
      </c>
    </row>
    <row r="1165" spans="1:9" x14ac:dyDescent="0.25">
      <c r="A1165" s="2">
        <v>43346</v>
      </c>
      <c r="B1165" s="4" t="s">
        <v>362</v>
      </c>
      <c r="C1165" s="3">
        <v>3186</v>
      </c>
      <c r="D1165" s="26">
        <v>2.4620166666666665</v>
      </c>
      <c r="E1165" s="26">
        <v>3.0792999999999999</v>
      </c>
      <c r="F1165" s="18">
        <v>9.9499999999999993</v>
      </c>
      <c r="G1165" s="18">
        <v>0.75256113902847566</v>
      </c>
      <c r="H1165" s="18">
        <v>0.69052261306532658</v>
      </c>
      <c r="I1165" s="18">
        <v>6.2038525963149072E-2</v>
      </c>
    </row>
    <row r="1166" spans="1:9" x14ac:dyDescent="0.25">
      <c r="A1166" s="2">
        <v>43346</v>
      </c>
      <c r="B1166" s="4" t="s">
        <v>170</v>
      </c>
      <c r="C1166" s="3">
        <v>6828</v>
      </c>
      <c r="D1166" s="26">
        <v>5.8633000000000006</v>
      </c>
      <c r="E1166" s="26">
        <v>1.0659000000000001</v>
      </c>
      <c r="F1166" s="18">
        <v>3.3340000000000001</v>
      </c>
      <c r="G1166" s="18">
        <v>-0.75863827234553105</v>
      </c>
      <c r="H1166" s="18">
        <v>0.68029394121175768</v>
      </c>
      <c r="I1166" s="18">
        <v>-1.4389322135572886</v>
      </c>
    </row>
    <row r="1167" spans="1:9" x14ac:dyDescent="0.25">
      <c r="A1167" s="2">
        <v>43346</v>
      </c>
      <c r="B1167" s="4" t="s">
        <v>415</v>
      </c>
      <c r="C1167" s="3">
        <v>2358</v>
      </c>
      <c r="D1167" s="26">
        <v>4.1372</v>
      </c>
      <c r="E1167" s="26">
        <v>5.8173000000000004</v>
      </c>
      <c r="F1167" s="18">
        <v>18.539000000000001</v>
      </c>
      <c r="G1167" s="18">
        <v>0.7768380171530288</v>
      </c>
      <c r="H1167" s="18">
        <v>0.68621284858946008</v>
      </c>
      <c r="I1167" s="18">
        <v>9.0625168563568725E-2</v>
      </c>
    </row>
    <row r="1168" spans="1:9" x14ac:dyDescent="0.25">
      <c r="A1168" s="2">
        <v>43346</v>
      </c>
      <c r="B1168" s="4" t="s">
        <v>436</v>
      </c>
      <c r="C1168" s="3">
        <v>2548</v>
      </c>
      <c r="D1168" s="26">
        <v>9.3935999999999993</v>
      </c>
      <c r="E1168" s="26">
        <v>2.5954999999999999</v>
      </c>
      <c r="F1168" s="18">
        <v>9.94</v>
      </c>
      <c r="G1168" s="18">
        <v>5.4969818913480913E-2</v>
      </c>
      <c r="H1168" s="18">
        <v>0.73888329979879275</v>
      </c>
      <c r="I1168" s="18">
        <v>-0.68391348088531179</v>
      </c>
    </row>
    <row r="1169" spans="1:9" x14ac:dyDescent="0.25">
      <c r="A1169" s="2">
        <v>43346</v>
      </c>
      <c r="B1169" s="4" t="s">
        <v>491</v>
      </c>
      <c r="C1169" s="3">
        <v>6354</v>
      </c>
      <c r="D1169" s="26">
        <v>0.49349999999999999</v>
      </c>
      <c r="E1169" s="26">
        <v>0.53320000000000001</v>
      </c>
      <c r="F1169" s="18">
        <v>1.377</v>
      </c>
      <c r="G1169" s="18">
        <v>0.64161220043572986</v>
      </c>
      <c r="H1169" s="18">
        <v>0.61278140885984023</v>
      </c>
      <c r="I1169" s="18">
        <v>2.8830791575889636E-2</v>
      </c>
    </row>
    <row r="1170" spans="1:9" x14ac:dyDescent="0.25">
      <c r="A1170" s="2">
        <v>43346</v>
      </c>
      <c r="B1170" s="4" t="s">
        <v>494</v>
      </c>
      <c r="C1170" s="3">
        <v>618</v>
      </c>
      <c r="D1170" s="26">
        <v>1.7916000000000001</v>
      </c>
      <c r="E1170" s="26">
        <v>1.9034</v>
      </c>
      <c r="F1170" s="18">
        <v>7.7880000000000003</v>
      </c>
      <c r="G1170" s="18">
        <v>0.7699537750385208</v>
      </c>
      <c r="H1170" s="18">
        <v>0.75559835644581419</v>
      </c>
      <c r="I1170" s="18">
        <v>1.4355418592706616E-2</v>
      </c>
    </row>
    <row r="1171" spans="1:9" x14ac:dyDescent="0.25">
      <c r="A1171" s="2">
        <v>43346</v>
      </c>
      <c r="B1171" s="4" t="s">
        <v>495</v>
      </c>
      <c r="C1171" s="3">
        <v>4632</v>
      </c>
      <c r="D1171" s="26">
        <v>0.80859999999999999</v>
      </c>
      <c r="E1171" s="26">
        <v>0.97660000000000002</v>
      </c>
      <c r="F1171" s="18">
        <v>3.4180000000000001</v>
      </c>
      <c r="G1171" s="18">
        <v>0.76342890579286127</v>
      </c>
      <c r="H1171" s="18">
        <v>0.71427735517846702</v>
      </c>
      <c r="I1171" s="18">
        <v>4.9151550614394246E-2</v>
      </c>
    </row>
    <row r="1172" spans="1:9" x14ac:dyDescent="0.25">
      <c r="A1172" s="2">
        <v>43347</v>
      </c>
      <c r="B1172" s="4" t="s">
        <v>490</v>
      </c>
      <c r="C1172" s="3">
        <v>3422</v>
      </c>
      <c r="D1172" s="26">
        <v>2.1261000000000001</v>
      </c>
      <c r="E1172" s="26">
        <v>2.4403000000000001</v>
      </c>
      <c r="F1172" s="18">
        <v>10.72</v>
      </c>
      <c r="G1172" s="18">
        <v>0.80166977611940304</v>
      </c>
      <c r="H1172" s="18">
        <v>0.77236007462686562</v>
      </c>
      <c r="I1172" s="18">
        <v>2.9309701492537421E-2</v>
      </c>
    </row>
    <row r="1173" spans="1:9" x14ac:dyDescent="0.25">
      <c r="A1173" s="2">
        <v>43347</v>
      </c>
      <c r="B1173" s="4" t="s">
        <v>291</v>
      </c>
      <c r="C1173" s="3">
        <v>2856</v>
      </c>
      <c r="D1173" s="26">
        <v>1.1892416666666663</v>
      </c>
      <c r="E1173" s="26">
        <v>0.92779999999999996</v>
      </c>
      <c r="F1173" s="18">
        <v>3.7090000000000001</v>
      </c>
      <c r="G1173" s="18">
        <v>0.67936326053743157</v>
      </c>
      <c r="H1173" s="18">
        <v>0.74985171205176604</v>
      </c>
      <c r="I1173" s="18">
        <v>-7.0488451514334471E-2</v>
      </c>
    </row>
    <row r="1174" spans="1:9" x14ac:dyDescent="0.25">
      <c r="A1174" s="2">
        <v>43347</v>
      </c>
      <c r="B1174" s="4" t="s">
        <v>301</v>
      </c>
      <c r="C1174" s="3">
        <v>2628</v>
      </c>
      <c r="D1174" s="26">
        <v>0.40360000000000001</v>
      </c>
      <c r="E1174" s="26">
        <v>0.31540000000000001</v>
      </c>
      <c r="F1174" s="18">
        <v>1.341</v>
      </c>
      <c r="G1174" s="18">
        <v>0.69903057419835946</v>
      </c>
      <c r="H1174" s="18">
        <v>0.7648023862788963</v>
      </c>
      <c r="I1174" s="18">
        <v>-6.577181208053684E-2</v>
      </c>
    </row>
    <row r="1175" spans="1:9" x14ac:dyDescent="0.25">
      <c r="A1175" s="2">
        <v>43347</v>
      </c>
      <c r="B1175" s="4" t="s">
        <v>322</v>
      </c>
      <c r="C1175" s="3">
        <v>15222</v>
      </c>
      <c r="D1175" s="26">
        <v>1.3865000000000001</v>
      </c>
      <c r="E1175" s="26">
        <v>1.3246</v>
      </c>
      <c r="F1175" s="18">
        <v>4.1479999999999997</v>
      </c>
      <c r="G1175" s="18">
        <v>0.66574252651880428</v>
      </c>
      <c r="H1175" s="18">
        <v>0.68066538090646089</v>
      </c>
      <c r="I1175" s="18">
        <v>-1.4922854387656614E-2</v>
      </c>
    </row>
    <row r="1176" spans="1:9" x14ac:dyDescent="0.25">
      <c r="A1176" s="2">
        <v>43347</v>
      </c>
      <c r="B1176" s="4" t="s">
        <v>129</v>
      </c>
      <c r="C1176" s="3">
        <v>1116</v>
      </c>
      <c r="D1176" s="26">
        <v>0.23549999999999999</v>
      </c>
      <c r="E1176" s="26">
        <v>0.2681</v>
      </c>
      <c r="F1176" s="18">
        <v>0</v>
      </c>
      <c r="G1176" s="18" t="s">
        <v>524</v>
      </c>
      <c r="H1176" s="18" t="s">
        <v>524</v>
      </c>
      <c r="I1176" s="18"/>
    </row>
    <row r="1177" spans="1:9" x14ac:dyDescent="0.25">
      <c r="A1177" s="2">
        <v>43347</v>
      </c>
      <c r="B1177" s="4" t="s">
        <v>170</v>
      </c>
      <c r="C1177" s="3">
        <v>1452</v>
      </c>
      <c r="D1177" s="26">
        <v>1.4657</v>
      </c>
      <c r="E1177" s="26">
        <v>1.0604</v>
      </c>
      <c r="F1177" s="18">
        <v>3.3340000000000001</v>
      </c>
      <c r="G1177" s="18">
        <v>0.56037792441511702</v>
      </c>
      <c r="H1177" s="18">
        <v>0.6819436112777445</v>
      </c>
      <c r="I1177" s="18">
        <v>-0.12156568686262748</v>
      </c>
    </row>
    <row r="1178" spans="1:9" x14ac:dyDescent="0.25">
      <c r="A1178" s="2">
        <v>43347</v>
      </c>
      <c r="B1178" s="4" t="s">
        <v>390</v>
      </c>
      <c r="C1178" s="3">
        <v>936</v>
      </c>
      <c r="D1178" s="26">
        <v>2.4377833333333334</v>
      </c>
      <c r="E1178" s="26">
        <v>2.4477000000000002</v>
      </c>
      <c r="F1178" s="18">
        <v>7.03</v>
      </c>
      <c r="G1178" s="18">
        <v>0.65323138928402091</v>
      </c>
      <c r="H1178" s="18">
        <v>0.65182076813655754</v>
      </c>
      <c r="I1178" s="18">
        <v>1.4106211474633756E-3</v>
      </c>
    </row>
    <row r="1179" spans="1:9" x14ac:dyDescent="0.25">
      <c r="A1179" s="2">
        <v>43347</v>
      </c>
      <c r="B1179" s="4" t="s">
        <v>496</v>
      </c>
      <c r="C1179" s="3">
        <v>402</v>
      </c>
      <c r="D1179" s="26">
        <v>4.9923999999999999</v>
      </c>
      <c r="E1179" s="26">
        <v>5.1567999999999996</v>
      </c>
      <c r="F1179" s="18">
        <v>18.396999999999998</v>
      </c>
      <c r="G1179" s="18">
        <v>0.72862966788063266</v>
      </c>
      <c r="H1179" s="18">
        <v>0.7196934282763493</v>
      </c>
      <c r="I1179" s="18">
        <v>8.9362396042833581E-3</v>
      </c>
    </row>
    <row r="1180" spans="1:9" x14ac:dyDescent="0.25">
      <c r="A1180" s="2">
        <v>43348</v>
      </c>
      <c r="B1180" s="4" t="s">
        <v>293</v>
      </c>
      <c r="C1180" s="3">
        <v>2190</v>
      </c>
      <c r="D1180" s="26">
        <v>1.9312</v>
      </c>
      <c r="E1180" s="26">
        <v>2.3363999999999998</v>
      </c>
      <c r="F1180" s="18">
        <v>7.2750000000000004</v>
      </c>
      <c r="G1180" s="18">
        <v>0.73454295532646052</v>
      </c>
      <c r="H1180" s="18">
        <v>0.67884536082474234</v>
      </c>
      <c r="I1180" s="18">
        <v>5.5697594501718073E-2</v>
      </c>
    </row>
    <row r="1181" spans="1:9" x14ac:dyDescent="0.25">
      <c r="A1181" s="2">
        <v>43348</v>
      </c>
      <c r="B1181" s="4" t="s">
        <v>309</v>
      </c>
      <c r="C1181" s="3">
        <v>14652</v>
      </c>
      <c r="D1181" s="26">
        <v>1.4753000000000001</v>
      </c>
      <c r="E1181" s="26">
        <v>1.5798000000000001</v>
      </c>
      <c r="F1181" s="18">
        <v>4.1479999999999997</v>
      </c>
      <c r="G1181" s="18">
        <v>0.64433461909353906</v>
      </c>
      <c r="H1181" s="18">
        <v>0.61914175506268077</v>
      </c>
      <c r="I1181" s="18">
        <v>2.5192864030858297E-2</v>
      </c>
    </row>
    <row r="1182" spans="1:9" x14ac:dyDescent="0.25">
      <c r="A1182" s="2">
        <v>43348</v>
      </c>
      <c r="B1182" s="4" t="s">
        <v>339</v>
      </c>
      <c r="C1182" s="3">
        <v>1392</v>
      </c>
      <c r="D1182" s="26">
        <v>0.52370000000000005</v>
      </c>
      <c r="E1182" s="26" t="s">
        <v>11</v>
      </c>
      <c r="F1182" s="18">
        <v>1.5129999999999999</v>
      </c>
      <c r="G1182" s="18">
        <v>0.65386649041639122</v>
      </c>
      <c r="H1182" s="18" t="s">
        <v>524</v>
      </c>
      <c r="I1182" s="18"/>
    </row>
    <row r="1183" spans="1:9" x14ac:dyDescent="0.25">
      <c r="A1183" s="2">
        <v>43348</v>
      </c>
      <c r="B1183" s="4" t="s">
        <v>170</v>
      </c>
      <c r="C1183" s="3">
        <v>3168</v>
      </c>
      <c r="D1183" s="26">
        <v>5.8633000000000006</v>
      </c>
      <c r="E1183" s="26">
        <v>1.0673999999999999</v>
      </c>
      <c r="F1183" s="18">
        <v>3.3340000000000001</v>
      </c>
      <c r="G1183" s="18">
        <v>-0.75863827234553105</v>
      </c>
      <c r="H1183" s="18">
        <v>0.67984403119376136</v>
      </c>
      <c r="I1183" s="18">
        <v>-1.4384823035392924</v>
      </c>
    </row>
    <row r="1184" spans="1:9" x14ac:dyDescent="0.25">
      <c r="A1184" s="2">
        <v>43348</v>
      </c>
      <c r="B1184" s="4" t="s">
        <v>390</v>
      </c>
      <c r="C1184" s="3">
        <v>2010</v>
      </c>
      <c r="D1184" s="26">
        <v>2.4377833333333334</v>
      </c>
      <c r="E1184" s="26">
        <v>2.4773999999999998</v>
      </c>
      <c r="F1184" s="18">
        <v>7.03</v>
      </c>
      <c r="G1184" s="18">
        <v>0.65323138928402091</v>
      </c>
      <c r="H1184" s="18">
        <v>0.64759601706970127</v>
      </c>
      <c r="I1184" s="18">
        <v>5.635372214319645E-3</v>
      </c>
    </row>
    <row r="1185" spans="1:9" x14ac:dyDescent="0.25">
      <c r="A1185" s="2">
        <v>43348</v>
      </c>
      <c r="B1185" s="4" t="s">
        <v>442</v>
      </c>
      <c r="C1185" s="3">
        <v>552</v>
      </c>
      <c r="D1185" s="26">
        <v>0.60658333333333336</v>
      </c>
      <c r="E1185" s="26">
        <v>0.61739999999999995</v>
      </c>
      <c r="F1185" s="18">
        <v>1.4750000000000001</v>
      </c>
      <c r="G1185" s="18">
        <v>0.58875706214689261</v>
      </c>
      <c r="H1185" s="18">
        <v>0.58142372881355942</v>
      </c>
      <c r="I1185" s="18">
        <v>7.3333333333331918E-3</v>
      </c>
    </row>
    <row r="1186" spans="1:9" x14ac:dyDescent="0.25">
      <c r="A1186" s="2">
        <v>43348</v>
      </c>
      <c r="B1186" s="4" t="s">
        <v>497</v>
      </c>
      <c r="C1186" s="3">
        <v>2823</v>
      </c>
      <c r="D1186" s="26">
        <v>4.6948999999999996</v>
      </c>
      <c r="E1186" s="26">
        <v>4.8029000000000002</v>
      </c>
      <c r="F1186" s="18">
        <v>19.074000000000002</v>
      </c>
      <c r="G1186" s="18">
        <v>0.75385865576176991</v>
      </c>
      <c r="H1186" s="18">
        <v>0.74819649785047715</v>
      </c>
      <c r="I1186" s="18">
        <v>5.6621579112928755E-3</v>
      </c>
    </row>
    <row r="1187" spans="1:9" x14ac:dyDescent="0.25">
      <c r="A1187" s="2">
        <v>43348</v>
      </c>
      <c r="B1187" s="4" t="s">
        <v>498</v>
      </c>
      <c r="C1187" s="3">
        <v>1170</v>
      </c>
      <c r="D1187" s="26">
        <v>4.6264000000000003</v>
      </c>
      <c r="E1187" s="26">
        <v>4.7150999999999996</v>
      </c>
      <c r="F1187" s="18">
        <v>17.303999999999998</v>
      </c>
      <c r="G1187" s="18">
        <v>0.73263985205732773</v>
      </c>
      <c r="H1187" s="18">
        <v>0.72751386962552012</v>
      </c>
      <c r="I1187" s="18">
        <v>5.1259824318076186E-3</v>
      </c>
    </row>
    <row r="1188" spans="1:9" x14ac:dyDescent="0.25">
      <c r="A1188" s="2">
        <v>43348</v>
      </c>
      <c r="B1188" s="4" t="s">
        <v>499</v>
      </c>
      <c r="C1188" s="3">
        <v>2476</v>
      </c>
      <c r="D1188" s="26">
        <v>2.8479999999999999</v>
      </c>
      <c r="E1188" s="26">
        <v>2.8026</v>
      </c>
      <c r="F1188" s="18">
        <v>9.8529999999999998</v>
      </c>
      <c r="G1188" s="18">
        <v>0.71095097939713792</v>
      </c>
      <c r="H1188" s="18">
        <v>0.71555871308231001</v>
      </c>
      <c r="I1188" s="18">
        <v>-4.6077336851720885E-3</v>
      </c>
    </row>
    <row r="1189" spans="1:9" x14ac:dyDescent="0.25">
      <c r="A1189" s="2">
        <v>43348</v>
      </c>
      <c r="B1189" s="4" t="s">
        <v>500</v>
      </c>
      <c r="C1189" s="3">
        <v>2610</v>
      </c>
      <c r="D1189" s="26">
        <v>2.0482</v>
      </c>
      <c r="E1189" s="26">
        <v>1.9218999999999999</v>
      </c>
      <c r="F1189" s="18">
        <v>7.5960000000000001</v>
      </c>
      <c r="G1189" s="18">
        <v>0.73035808320168516</v>
      </c>
      <c r="H1189" s="18">
        <v>0.74698525539757765</v>
      </c>
      <c r="I1189" s="18">
        <v>-1.6627172195892492E-2</v>
      </c>
    </row>
    <row r="1190" spans="1:9" x14ac:dyDescent="0.25">
      <c r="A1190" s="2">
        <v>43349</v>
      </c>
      <c r="B1190" s="4" t="s">
        <v>259</v>
      </c>
      <c r="C1190" s="3">
        <v>570</v>
      </c>
      <c r="D1190" s="26">
        <v>9.8178000000000001</v>
      </c>
      <c r="E1190" s="26" t="s">
        <v>11</v>
      </c>
      <c r="F1190" s="18"/>
      <c r="G1190" s="18" t="s">
        <v>524</v>
      </c>
      <c r="H1190" s="18" t="s">
        <v>524</v>
      </c>
      <c r="I1190" s="18"/>
    </row>
    <row r="1191" spans="1:9" x14ac:dyDescent="0.25">
      <c r="A1191" s="2">
        <v>43349</v>
      </c>
      <c r="B1191" s="4" t="s">
        <v>433</v>
      </c>
      <c r="C1191" s="3">
        <v>264</v>
      </c>
      <c r="D1191" s="26">
        <v>15.044499999999999</v>
      </c>
      <c r="E1191" s="26">
        <v>2.9519000000000002</v>
      </c>
      <c r="F1191" s="18">
        <v>4.2</v>
      </c>
      <c r="G1191" s="18">
        <v>-2.5820238095238093</v>
      </c>
      <c r="H1191" s="18">
        <v>0.29716666666666663</v>
      </c>
      <c r="I1191" s="18">
        <v>-2.8791904761904759</v>
      </c>
    </row>
    <row r="1192" spans="1:9" x14ac:dyDescent="0.25">
      <c r="A1192" s="2">
        <v>43349</v>
      </c>
      <c r="B1192" s="4" t="s">
        <v>292</v>
      </c>
      <c r="C1192" s="3">
        <v>2124</v>
      </c>
      <c r="D1192" s="26">
        <v>0.86909999999999998</v>
      </c>
      <c r="E1192" s="26">
        <v>0.87260000000000004</v>
      </c>
      <c r="F1192" s="18">
        <v>3.319</v>
      </c>
      <c r="G1192" s="18">
        <v>0.73814401928291651</v>
      </c>
      <c r="H1192" s="18">
        <v>0.73708948478457359</v>
      </c>
      <c r="I1192" s="18">
        <v>1.0545344983429183E-3</v>
      </c>
    </row>
    <row r="1193" spans="1:9" x14ac:dyDescent="0.25">
      <c r="A1193" s="2">
        <v>43349</v>
      </c>
      <c r="B1193" s="4" t="s">
        <v>310</v>
      </c>
      <c r="C1193" s="3">
        <v>16236</v>
      </c>
      <c r="D1193" s="26">
        <v>1.4444999999999999</v>
      </c>
      <c r="E1193" s="26">
        <v>1.4991000000000001</v>
      </c>
      <c r="F1193" s="18">
        <v>4.1479999999999997</v>
      </c>
      <c r="G1193" s="18">
        <v>0.65175988428158149</v>
      </c>
      <c r="H1193" s="18">
        <v>0.63859691417550613</v>
      </c>
      <c r="I1193" s="18">
        <v>1.3162970106075369E-2</v>
      </c>
    </row>
    <row r="1194" spans="1:9" x14ac:dyDescent="0.25">
      <c r="A1194" s="2">
        <v>43349</v>
      </c>
      <c r="B1194" s="4" t="s">
        <v>335</v>
      </c>
      <c r="C1194" s="3">
        <v>2706</v>
      </c>
      <c r="D1194" s="26">
        <v>5.5801666666666669</v>
      </c>
      <c r="E1194" s="26">
        <v>5.0011999999999999</v>
      </c>
      <c r="F1194" s="18">
        <v>20.783999999999999</v>
      </c>
      <c r="G1194" s="18">
        <v>0.73151623043366687</v>
      </c>
      <c r="H1194" s="18">
        <v>0.75937259430331028</v>
      </c>
      <c r="I1194" s="18">
        <v>-2.7856363869643297E-2</v>
      </c>
    </row>
    <row r="1195" spans="1:9" x14ac:dyDescent="0.25">
      <c r="A1195" s="2">
        <v>43349</v>
      </c>
      <c r="B1195" s="4" t="s">
        <v>211</v>
      </c>
      <c r="C1195" s="3">
        <v>510</v>
      </c>
      <c r="D1195" s="26">
        <v>1.4243333333333332</v>
      </c>
      <c r="E1195" s="26">
        <v>1.5208999999999999</v>
      </c>
      <c r="F1195" s="18">
        <v>3.19</v>
      </c>
      <c r="G1195" s="18">
        <v>0.55350052246603976</v>
      </c>
      <c r="H1195" s="18">
        <v>0.52322884012539184</v>
      </c>
      <c r="I1195" s="18">
        <v>3.0271682340647921E-2</v>
      </c>
    </row>
    <row r="1196" spans="1:9" x14ac:dyDescent="0.25">
      <c r="A1196" s="2">
        <v>43349</v>
      </c>
      <c r="B1196" s="4" t="s">
        <v>501</v>
      </c>
      <c r="C1196" s="3">
        <v>2308</v>
      </c>
      <c r="D1196" s="26">
        <v>3.0794000000000001</v>
      </c>
      <c r="E1196" s="26">
        <v>3.0295000000000001</v>
      </c>
      <c r="F1196" s="18">
        <v>11.631</v>
      </c>
      <c r="G1196" s="18">
        <v>0.73524202562118479</v>
      </c>
      <c r="H1196" s="18">
        <v>0.7395322844123462</v>
      </c>
      <c r="I1196" s="18">
        <v>-4.2902587911615164E-3</v>
      </c>
    </row>
    <row r="1197" spans="1:9" x14ac:dyDescent="0.25">
      <c r="A1197" s="2">
        <v>43349</v>
      </c>
      <c r="B1197" s="4" t="s">
        <v>502</v>
      </c>
      <c r="C1197" s="3">
        <v>960</v>
      </c>
      <c r="D1197" s="26">
        <v>2.5621999999999998</v>
      </c>
      <c r="E1197" s="26">
        <v>2.5486</v>
      </c>
      <c r="F1197" s="18">
        <v>9.3170000000000002</v>
      </c>
      <c r="G1197" s="18">
        <v>0.72499731673285395</v>
      </c>
      <c r="H1197" s="18">
        <v>0.72645701406031982</v>
      </c>
      <c r="I1197" s="18">
        <v>-1.4596973274658698E-3</v>
      </c>
    </row>
    <row r="1198" spans="1:9" x14ac:dyDescent="0.25">
      <c r="A1198" s="2">
        <v>43349</v>
      </c>
      <c r="B1198" s="4" t="s">
        <v>503</v>
      </c>
      <c r="C1198" s="3">
        <v>2982</v>
      </c>
      <c r="D1198" s="26">
        <v>2.1474000000000002</v>
      </c>
      <c r="E1198" s="26">
        <v>2.0249999999999999</v>
      </c>
      <c r="F1198" s="18">
        <v>8.4610000000000003</v>
      </c>
      <c r="G1198" s="18">
        <v>0.74620021274081072</v>
      </c>
      <c r="H1198" s="18">
        <v>0.76066658787377373</v>
      </c>
      <c r="I1198" s="18">
        <v>-1.4466375132963004E-2</v>
      </c>
    </row>
    <row r="1199" spans="1:9" x14ac:dyDescent="0.25">
      <c r="A1199" s="2">
        <v>43349</v>
      </c>
      <c r="B1199" s="4" t="s">
        <v>504</v>
      </c>
      <c r="C1199" s="3">
        <v>2916</v>
      </c>
      <c r="D1199" s="26">
        <v>1.0673999999999999</v>
      </c>
      <c r="E1199" s="26">
        <v>1.0569</v>
      </c>
      <c r="F1199" s="18">
        <v>3.9020000000000001</v>
      </c>
      <c r="G1199" s="18">
        <v>0.72644797539723216</v>
      </c>
      <c r="H1199" s="18">
        <v>0.72913890312660179</v>
      </c>
      <c r="I1199" s="18">
        <v>-2.6909277293696299E-3</v>
      </c>
    </row>
    <row r="1200" spans="1:9" x14ac:dyDescent="0.25">
      <c r="A1200" s="2">
        <v>43349</v>
      </c>
      <c r="B1200" s="4" t="s">
        <v>227</v>
      </c>
      <c r="C1200" s="3">
        <v>148</v>
      </c>
      <c r="D1200" s="26">
        <v>3.1353</v>
      </c>
      <c r="E1200" s="26">
        <v>2.3428</v>
      </c>
      <c r="F1200" s="18">
        <v>14.929</v>
      </c>
      <c r="G1200" s="18">
        <v>0.78998593341817946</v>
      </c>
      <c r="H1200" s="18">
        <v>0.84307053386027198</v>
      </c>
      <c r="I1200" s="18">
        <v>-5.3084600442092511E-2</v>
      </c>
    </row>
    <row r="1201" spans="1:9" x14ac:dyDescent="0.25">
      <c r="A1201" s="2">
        <v>43350</v>
      </c>
      <c r="B1201" s="4" t="s">
        <v>19</v>
      </c>
      <c r="C1201" s="3">
        <v>456</v>
      </c>
      <c r="D1201" s="26">
        <v>1.9306000000000001</v>
      </c>
      <c r="E1201" s="26">
        <v>2.0369999999999999</v>
      </c>
      <c r="F1201" s="18">
        <v>5.4989999999999997</v>
      </c>
      <c r="G1201" s="18">
        <v>0.64891798508819787</v>
      </c>
      <c r="H1201" s="18">
        <v>0.6295690125477359</v>
      </c>
      <c r="I1201" s="18">
        <v>1.9348972540461973E-2</v>
      </c>
    </row>
    <row r="1202" spans="1:9" x14ac:dyDescent="0.25">
      <c r="A1202" s="2">
        <v>43350</v>
      </c>
      <c r="B1202" s="4" t="s">
        <v>22</v>
      </c>
      <c r="C1202" s="3">
        <v>468</v>
      </c>
      <c r="D1202" s="26">
        <v>1.9306000000000001</v>
      </c>
      <c r="E1202" s="26">
        <v>2.0369999999999999</v>
      </c>
      <c r="F1202" s="18">
        <v>7</v>
      </c>
      <c r="G1202" s="18">
        <v>0.72419999999999995</v>
      </c>
      <c r="H1202" s="18">
        <v>0.70899999999999996</v>
      </c>
      <c r="I1202" s="18">
        <v>1.5199999999999991E-2</v>
      </c>
    </row>
    <row r="1203" spans="1:9" x14ac:dyDescent="0.25">
      <c r="A1203" s="2">
        <v>43350</v>
      </c>
      <c r="B1203" s="4" t="s">
        <v>311</v>
      </c>
      <c r="C1203" s="3">
        <v>14520</v>
      </c>
      <c r="D1203" s="26">
        <v>1.4737</v>
      </c>
      <c r="E1203" s="26">
        <v>1.4450000000000001</v>
      </c>
      <c r="F1203" s="18">
        <v>4.1479999999999997</v>
      </c>
      <c r="G1203" s="18">
        <v>0.6447203471552555</v>
      </c>
      <c r="H1203" s="18">
        <v>0.65163934426229497</v>
      </c>
      <c r="I1203" s="18">
        <v>-6.9189971070394707E-3</v>
      </c>
    </row>
    <row r="1204" spans="1:9" x14ac:dyDescent="0.25">
      <c r="A1204" s="2">
        <v>43350</v>
      </c>
      <c r="B1204" s="4" t="s">
        <v>117</v>
      </c>
      <c r="C1204" s="3">
        <v>1704</v>
      </c>
      <c r="D1204" s="26">
        <v>3.2890999999999999</v>
      </c>
      <c r="E1204" s="26" t="s">
        <v>11</v>
      </c>
      <c r="F1204" s="18">
        <v>7.86</v>
      </c>
      <c r="G1204" s="18">
        <v>0.5815394402035623</v>
      </c>
      <c r="H1204" s="18" t="s">
        <v>524</v>
      </c>
      <c r="I1204" s="18"/>
    </row>
    <row r="1205" spans="1:9" x14ac:dyDescent="0.25">
      <c r="A1205" s="2">
        <v>43350</v>
      </c>
      <c r="B1205" s="4" t="s">
        <v>167</v>
      </c>
      <c r="C1205" s="3">
        <v>540</v>
      </c>
      <c r="D1205" s="26">
        <v>7.7412000000000001</v>
      </c>
      <c r="E1205" s="26">
        <v>8.5760000000000005</v>
      </c>
      <c r="F1205" s="18">
        <v>22.934000000000001</v>
      </c>
      <c r="G1205" s="18">
        <v>0.66245748670096805</v>
      </c>
      <c r="H1205" s="18">
        <v>0.62605738205284733</v>
      </c>
      <c r="I1205" s="18">
        <v>3.6400104648120712E-2</v>
      </c>
    </row>
    <row r="1206" spans="1:9" x14ac:dyDescent="0.25">
      <c r="A1206" s="2">
        <v>43350</v>
      </c>
      <c r="B1206" s="4" t="s">
        <v>419</v>
      </c>
      <c r="C1206" s="3">
        <v>1080</v>
      </c>
      <c r="D1206" s="26">
        <v>1.9525999999999999</v>
      </c>
      <c r="E1206" s="26">
        <v>2.9159000000000002</v>
      </c>
      <c r="F1206" s="18">
        <v>5.96</v>
      </c>
      <c r="G1206" s="18">
        <v>0.67238255033557037</v>
      </c>
      <c r="H1206" s="18">
        <v>0.51075503355704699</v>
      </c>
      <c r="I1206" s="18">
        <v>0.16162751677852338</v>
      </c>
    </row>
    <row r="1207" spans="1:9" x14ac:dyDescent="0.25">
      <c r="A1207" s="2">
        <v>43350</v>
      </c>
      <c r="B1207" s="4" t="s">
        <v>444</v>
      </c>
      <c r="C1207" s="3">
        <v>3504</v>
      </c>
      <c r="D1207" s="26">
        <v>2.0970499999999999</v>
      </c>
      <c r="E1207" s="26" t="s">
        <v>11</v>
      </c>
      <c r="F1207" s="18">
        <v>6.4</v>
      </c>
      <c r="G1207" s="18">
        <v>0.67233593750000009</v>
      </c>
      <c r="H1207" s="18" t="s">
        <v>524</v>
      </c>
      <c r="I1207" s="18"/>
    </row>
    <row r="1208" spans="1:9" x14ac:dyDescent="0.25">
      <c r="A1208" s="2">
        <v>43350</v>
      </c>
      <c r="B1208" s="4" t="s">
        <v>498</v>
      </c>
      <c r="C1208" s="3">
        <v>1827</v>
      </c>
      <c r="D1208" s="26">
        <v>4.6264000000000003</v>
      </c>
      <c r="E1208" s="26">
        <v>5.6741999999999999</v>
      </c>
      <c r="F1208" s="18">
        <v>17.303999999999998</v>
      </c>
      <c r="G1208" s="18">
        <v>0.73263985205732773</v>
      </c>
      <c r="H1208" s="18">
        <v>0.67208737864077672</v>
      </c>
      <c r="I1208" s="18">
        <v>6.0552473416551011E-2</v>
      </c>
    </row>
    <row r="1209" spans="1:9" x14ac:dyDescent="0.25">
      <c r="A1209" s="2">
        <v>43350</v>
      </c>
      <c r="B1209" s="4" t="s">
        <v>505</v>
      </c>
      <c r="C1209" s="3">
        <v>1968</v>
      </c>
      <c r="D1209" s="26">
        <v>4.3053999999999997</v>
      </c>
      <c r="E1209" s="26">
        <v>4.7560000000000002</v>
      </c>
      <c r="F1209" s="18">
        <v>18.573</v>
      </c>
      <c r="G1209" s="18">
        <v>0.76819038389059391</v>
      </c>
      <c r="H1209" s="18">
        <v>0.74392935982339947</v>
      </c>
      <c r="I1209" s="18">
        <v>2.4261024067194329E-2</v>
      </c>
    </row>
    <row r="1210" spans="1:9" x14ac:dyDescent="0.25">
      <c r="A1210" s="2">
        <v>43350</v>
      </c>
      <c r="B1210" s="4" t="s">
        <v>506</v>
      </c>
      <c r="C1210" s="3">
        <v>372</v>
      </c>
      <c r="D1210" s="26">
        <v>2.5750000000000002</v>
      </c>
      <c r="E1210" s="26">
        <v>2.9207999999999998</v>
      </c>
      <c r="F1210" s="18">
        <v>8.109</v>
      </c>
      <c r="G1210" s="18">
        <v>0.68245159699099767</v>
      </c>
      <c r="H1210" s="18">
        <v>0.63980762116167222</v>
      </c>
      <c r="I1210" s="18">
        <v>4.2643975829325442E-2</v>
      </c>
    </row>
    <row r="1211" spans="1:9" x14ac:dyDescent="0.25">
      <c r="A1211" s="2">
        <v>43350</v>
      </c>
      <c r="B1211" s="4" t="s">
        <v>502</v>
      </c>
      <c r="C1211" s="3">
        <v>472</v>
      </c>
      <c r="D1211" s="26">
        <v>2.5621999999999998</v>
      </c>
      <c r="E1211" s="26">
        <v>2.5486</v>
      </c>
      <c r="F1211" s="18">
        <v>9.3170000000000002</v>
      </c>
      <c r="G1211" s="18">
        <v>0.72499731673285395</v>
      </c>
      <c r="H1211" s="18">
        <v>0.72645701406031982</v>
      </c>
      <c r="I1211" s="18">
        <v>-1.4596973274658698E-3</v>
      </c>
    </row>
    <row r="1212" spans="1:9" x14ac:dyDescent="0.25">
      <c r="A1212" s="2">
        <v>43350</v>
      </c>
      <c r="B1212" s="4" t="s">
        <v>507</v>
      </c>
      <c r="C1212" s="3">
        <v>996</v>
      </c>
      <c r="D1212" s="26">
        <v>2.1648999999999998</v>
      </c>
      <c r="E1212" s="26">
        <v>2.2648999999999999</v>
      </c>
      <c r="F1212" s="18">
        <v>7.524</v>
      </c>
      <c r="G1212" s="18">
        <v>0.71226741095162149</v>
      </c>
      <c r="H1212" s="18">
        <v>0.69897660818713447</v>
      </c>
      <c r="I1212" s="18">
        <v>1.329080276448702E-2</v>
      </c>
    </row>
    <row r="1213" spans="1:9" x14ac:dyDescent="0.25">
      <c r="A1213" s="2">
        <v>43350</v>
      </c>
      <c r="B1213" s="4" t="s">
        <v>508</v>
      </c>
      <c r="C1213" s="3">
        <v>1404</v>
      </c>
      <c r="D1213" s="26">
        <v>1.1043000000000001</v>
      </c>
      <c r="E1213" s="26">
        <v>1.2013</v>
      </c>
      <c r="F1213" s="18">
        <v>3.4249999999999998</v>
      </c>
      <c r="G1213" s="18">
        <v>0.67757664233576631</v>
      </c>
      <c r="H1213" s="18">
        <v>0.64925547445255483</v>
      </c>
      <c r="I1213" s="18">
        <v>2.8321167883211484E-2</v>
      </c>
    </row>
    <row r="1214" spans="1:9" x14ac:dyDescent="0.25">
      <c r="A1214" s="2">
        <v>43350</v>
      </c>
      <c r="B1214" s="4" t="s">
        <v>496</v>
      </c>
      <c r="C1214" s="3">
        <v>462</v>
      </c>
      <c r="D1214" s="26">
        <v>4.9923999999999999</v>
      </c>
      <c r="E1214" s="26">
        <v>4.3887</v>
      </c>
      <c r="F1214" s="18">
        <v>18.396999999999998</v>
      </c>
      <c r="G1214" s="18">
        <v>0.72862966788063266</v>
      </c>
      <c r="H1214" s="18">
        <v>0.76144480078273635</v>
      </c>
      <c r="I1214" s="18">
        <v>-3.2815132902103583E-2</v>
      </c>
    </row>
    <row r="1215" spans="1:9" x14ac:dyDescent="0.25">
      <c r="A1215" s="2">
        <v>43351</v>
      </c>
      <c r="B1215" s="4" t="s">
        <v>321</v>
      </c>
      <c r="C1215" s="3">
        <v>5948</v>
      </c>
      <c r="D1215" s="26">
        <v>1.4209000000000001</v>
      </c>
      <c r="E1215" s="26">
        <v>2.1393</v>
      </c>
      <c r="F1215" s="18">
        <v>5.7889999999999997</v>
      </c>
      <c r="G1215" s="18">
        <v>0.75455173605113157</v>
      </c>
      <c r="H1215" s="18">
        <v>0.6304543098980826</v>
      </c>
      <c r="I1215" s="18">
        <v>0.12409742615304886</v>
      </c>
    </row>
    <row r="1216" spans="1:9" x14ac:dyDescent="0.25">
      <c r="A1216" s="2">
        <v>43351</v>
      </c>
      <c r="B1216" s="4" t="s">
        <v>179</v>
      </c>
      <c r="C1216" s="3">
        <v>4836</v>
      </c>
      <c r="D1216" s="26">
        <v>2.6793166666666668</v>
      </c>
      <c r="E1216" s="26">
        <v>2.6675</v>
      </c>
      <c r="F1216" s="18">
        <v>7.9580000000000002</v>
      </c>
      <c r="G1216" s="18">
        <v>0.66331783530200217</v>
      </c>
      <c r="H1216" s="18">
        <v>0.66480271424981141</v>
      </c>
      <c r="I1216" s="18">
        <v>-1.4848789478092428E-3</v>
      </c>
    </row>
    <row r="1217" spans="1:9" x14ac:dyDescent="0.25">
      <c r="A1217" s="2">
        <v>43351</v>
      </c>
      <c r="B1217" s="4" t="s">
        <v>386</v>
      </c>
      <c r="C1217" s="3">
        <v>2010</v>
      </c>
      <c r="D1217" s="26">
        <v>2.4520500000000003</v>
      </c>
      <c r="E1217" s="26">
        <v>2.2799999999999998</v>
      </c>
      <c r="F1217" s="18">
        <v>7.2089999999999996</v>
      </c>
      <c r="G1217" s="18">
        <v>0.65986267166042445</v>
      </c>
      <c r="H1217" s="18">
        <v>0.68372867249271752</v>
      </c>
      <c r="I1217" s="18">
        <v>-2.3866000832293063E-2</v>
      </c>
    </row>
    <row r="1218" spans="1:9" x14ac:dyDescent="0.25">
      <c r="A1218" s="2">
        <v>43351</v>
      </c>
      <c r="B1218" s="4" t="s">
        <v>387</v>
      </c>
      <c r="C1218" s="3">
        <v>1380</v>
      </c>
      <c r="D1218" s="26">
        <v>3.5050833333333333</v>
      </c>
      <c r="E1218" s="26">
        <v>3.2869999999999999</v>
      </c>
      <c r="F1218" s="18">
        <v>9.84</v>
      </c>
      <c r="G1218" s="18">
        <v>0.64379234417344178</v>
      </c>
      <c r="H1218" s="18">
        <v>0.66595528455284558</v>
      </c>
      <c r="I1218" s="18">
        <v>-2.2162940379403809E-2</v>
      </c>
    </row>
    <row r="1219" spans="1:9" x14ac:dyDescent="0.25">
      <c r="A1219" s="2">
        <v>43351</v>
      </c>
      <c r="B1219" s="4" t="s">
        <v>506</v>
      </c>
      <c r="C1219" s="3">
        <v>1892</v>
      </c>
      <c r="D1219" s="26">
        <v>2.5750000000000002</v>
      </c>
      <c r="E1219" s="26">
        <v>2.8199000000000001</v>
      </c>
      <c r="F1219" s="18">
        <v>8.109</v>
      </c>
      <c r="G1219" s="18">
        <v>0.68245159699099767</v>
      </c>
      <c r="H1219" s="18">
        <v>0.65225058576889872</v>
      </c>
      <c r="I1219" s="18">
        <v>3.020101122209895E-2</v>
      </c>
    </row>
    <row r="1220" spans="1:9" x14ac:dyDescent="0.25">
      <c r="A1220" s="2">
        <v>43351</v>
      </c>
      <c r="B1220" s="4" t="s">
        <v>496</v>
      </c>
      <c r="C1220" s="3">
        <v>582</v>
      </c>
      <c r="D1220" s="26">
        <v>4.9923999999999999</v>
      </c>
      <c r="E1220" s="26">
        <v>4.2305000000000001</v>
      </c>
      <c r="F1220" s="18">
        <v>18.396999999999998</v>
      </c>
      <c r="G1220" s="18">
        <v>0.72862966788063266</v>
      </c>
      <c r="H1220" s="18">
        <v>0.77004402891775836</v>
      </c>
      <c r="I1220" s="18">
        <v>-4.1414361037125702E-2</v>
      </c>
    </row>
    <row r="1221" spans="1:9" x14ac:dyDescent="0.25">
      <c r="A1221" s="2">
        <v>43353</v>
      </c>
      <c r="B1221" s="4" t="s">
        <v>509</v>
      </c>
      <c r="C1221" s="3">
        <v>1145</v>
      </c>
      <c r="D1221" s="26">
        <v>2.8233999999999999</v>
      </c>
      <c r="E1221" s="26" t="s">
        <v>11</v>
      </c>
      <c r="F1221" s="18">
        <v>0</v>
      </c>
      <c r="G1221" s="18" t="s">
        <v>524</v>
      </c>
      <c r="H1221" s="18" t="s">
        <v>524</v>
      </c>
      <c r="I1221" s="18"/>
    </row>
    <row r="1222" spans="1:9" x14ac:dyDescent="0.25">
      <c r="A1222" s="2">
        <v>43353</v>
      </c>
      <c r="B1222" s="4" t="s">
        <v>331</v>
      </c>
      <c r="C1222" s="3">
        <v>807</v>
      </c>
      <c r="D1222" s="26">
        <v>2.7662</v>
      </c>
      <c r="E1222" s="26">
        <v>2.8140999999999998</v>
      </c>
      <c r="F1222" s="18">
        <v>7.827</v>
      </c>
      <c r="G1222" s="18">
        <v>0.64658234317107455</v>
      </c>
      <c r="H1222" s="18">
        <v>0.64046250159703588</v>
      </c>
      <c r="I1222" s="18">
        <v>6.1198415740386647E-3</v>
      </c>
    </row>
    <row r="1223" spans="1:9" x14ac:dyDescent="0.25">
      <c r="A1223" s="2">
        <v>43353</v>
      </c>
      <c r="B1223" s="4" t="s">
        <v>332</v>
      </c>
      <c r="C1223" s="3">
        <v>4860</v>
      </c>
      <c r="D1223" s="26">
        <v>1.8517999999999999</v>
      </c>
      <c r="E1223" s="26">
        <v>1.7351000000000001</v>
      </c>
      <c r="F1223" s="18">
        <v>5.4489999999999998</v>
      </c>
      <c r="G1223" s="18">
        <v>0.66015782712424298</v>
      </c>
      <c r="H1223" s="18">
        <v>0.68157460084419152</v>
      </c>
      <c r="I1223" s="18">
        <v>-2.1416773719948545E-2</v>
      </c>
    </row>
    <row r="1224" spans="1:9" x14ac:dyDescent="0.25">
      <c r="A1224" s="2">
        <v>43353</v>
      </c>
      <c r="B1224" s="4" t="s">
        <v>341</v>
      </c>
      <c r="C1224" s="3">
        <v>8400</v>
      </c>
      <c r="D1224" s="26">
        <v>1.4650999999999998</v>
      </c>
      <c r="E1224" s="26">
        <v>1.5249999999999999</v>
      </c>
      <c r="F1224" s="18">
        <v>3.585</v>
      </c>
      <c r="G1224" s="18">
        <v>0.59132496513249666</v>
      </c>
      <c r="H1224" s="18">
        <v>0.5746164574616458</v>
      </c>
      <c r="I1224" s="18">
        <v>1.6708507670850858E-2</v>
      </c>
    </row>
    <row r="1225" spans="1:9" x14ac:dyDescent="0.25">
      <c r="A1225" s="2">
        <v>43353</v>
      </c>
      <c r="B1225" s="4" t="s">
        <v>179</v>
      </c>
      <c r="C1225" s="3">
        <v>10734</v>
      </c>
      <c r="D1225" s="26">
        <v>2.6793166666666668</v>
      </c>
      <c r="E1225" s="26">
        <v>2.6074999999999999</v>
      </c>
      <c r="F1225" s="18">
        <v>7.9580000000000002</v>
      </c>
      <c r="G1225" s="18">
        <v>0.66331783530200217</v>
      </c>
      <c r="H1225" s="18">
        <v>0.67234229705956272</v>
      </c>
      <c r="I1225" s="18">
        <v>-9.0244617575605535E-3</v>
      </c>
    </row>
    <row r="1226" spans="1:9" x14ac:dyDescent="0.25">
      <c r="A1226" s="2">
        <v>43353</v>
      </c>
      <c r="B1226" s="4" t="s">
        <v>511</v>
      </c>
      <c r="C1226" s="3">
        <v>1179</v>
      </c>
      <c r="D1226" s="26">
        <v>0</v>
      </c>
      <c r="E1226" s="26">
        <v>2.9685999999999999</v>
      </c>
      <c r="F1226" s="18">
        <v>7.97</v>
      </c>
      <c r="G1226" s="18">
        <v>1</v>
      </c>
      <c r="H1226" s="18">
        <v>0.62752823086574661</v>
      </c>
      <c r="I1226" s="18">
        <v>0.37247176913425334</v>
      </c>
    </row>
    <row r="1227" spans="1:9" x14ac:dyDescent="0.25">
      <c r="A1227" s="2">
        <v>43354</v>
      </c>
      <c r="B1227" s="4" t="s">
        <v>47</v>
      </c>
      <c r="C1227" s="3">
        <v>82</v>
      </c>
      <c r="D1227" s="26">
        <v>6.2088000000000001</v>
      </c>
      <c r="E1227" s="26">
        <v>8.9321999999999999</v>
      </c>
      <c r="F1227" s="18">
        <v>19.291</v>
      </c>
      <c r="G1227" s="18">
        <v>0.67815043284433152</v>
      </c>
      <c r="H1227" s="18">
        <v>0.53697579182001975</v>
      </c>
      <c r="I1227" s="18">
        <v>0.14117464102431176</v>
      </c>
    </row>
    <row r="1228" spans="1:9" x14ac:dyDescent="0.25">
      <c r="A1228" s="2">
        <v>43354</v>
      </c>
      <c r="B1228" s="4" t="s">
        <v>82</v>
      </c>
      <c r="C1228" s="3">
        <v>762</v>
      </c>
      <c r="D1228" s="26">
        <v>1.2810999999999999</v>
      </c>
      <c r="E1228" s="26">
        <v>1.3411999999999999</v>
      </c>
      <c r="F1228" s="18">
        <v>5.91</v>
      </c>
      <c r="G1228" s="18">
        <v>0.78323181049069379</v>
      </c>
      <c r="H1228" s="18">
        <v>0.77306260575296115</v>
      </c>
      <c r="I1228" s="18">
        <v>1.0169204737732527E-2</v>
      </c>
    </row>
    <row r="1229" spans="1:9" x14ac:dyDescent="0.25">
      <c r="A1229" s="2">
        <v>43354</v>
      </c>
      <c r="B1229" s="4" t="s">
        <v>83</v>
      </c>
      <c r="C1229" s="3">
        <v>858</v>
      </c>
      <c r="D1229" s="26">
        <v>7.6260000000000003</v>
      </c>
      <c r="E1229" s="26">
        <v>1.611</v>
      </c>
      <c r="F1229" s="18">
        <v>6.21</v>
      </c>
      <c r="G1229" s="18">
        <v>-0.22801932367149769</v>
      </c>
      <c r="H1229" s="18">
        <v>0.74057971014492763</v>
      </c>
      <c r="I1229" s="18">
        <v>-0.96859903381642531</v>
      </c>
    </row>
    <row r="1230" spans="1:9" x14ac:dyDescent="0.25">
      <c r="A1230" s="2">
        <v>43354</v>
      </c>
      <c r="B1230" s="4" t="s">
        <v>244</v>
      </c>
      <c r="C1230" s="3">
        <v>546</v>
      </c>
      <c r="D1230" s="26">
        <v>10.3612</v>
      </c>
      <c r="E1230" s="26">
        <v>1.2565999999999999</v>
      </c>
      <c r="F1230" s="18">
        <v>4.7300000000000004</v>
      </c>
      <c r="G1230" s="18">
        <v>-1.1905285412262154</v>
      </c>
      <c r="H1230" s="18">
        <v>0.73433403805496833</v>
      </c>
      <c r="I1230" s="18">
        <v>-1.924862579281184</v>
      </c>
    </row>
    <row r="1231" spans="1:9" x14ac:dyDescent="0.25">
      <c r="A1231" s="2">
        <v>43354</v>
      </c>
      <c r="B1231" s="4" t="s">
        <v>314</v>
      </c>
      <c r="C1231" s="3">
        <v>13308</v>
      </c>
      <c r="D1231" s="26">
        <v>2.4216000000000002</v>
      </c>
      <c r="E1231" s="26">
        <v>2.4386999999999999</v>
      </c>
      <c r="F1231" s="18">
        <v>6.8380000000000001</v>
      </c>
      <c r="G1231" s="18">
        <v>0.64586136297162899</v>
      </c>
      <c r="H1231" s="18">
        <v>0.64336063176367364</v>
      </c>
      <c r="I1231" s="18">
        <v>2.5007312079553534E-3</v>
      </c>
    </row>
    <row r="1232" spans="1:9" x14ac:dyDescent="0.25">
      <c r="A1232" s="2">
        <v>43354</v>
      </c>
      <c r="B1232" s="4" t="s">
        <v>355</v>
      </c>
      <c r="C1232" s="3">
        <v>9054</v>
      </c>
      <c r="D1232" s="26">
        <v>8.8363999999999994</v>
      </c>
      <c r="E1232" s="26">
        <v>1.4353</v>
      </c>
      <c r="F1232" s="18">
        <v>3.95</v>
      </c>
      <c r="G1232" s="18">
        <v>-1.2370632911392403</v>
      </c>
      <c r="H1232" s="18">
        <v>0.63663291139240508</v>
      </c>
      <c r="I1232" s="18">
        <v>-1.8736962025316457</v>
      </c>
    </row>
    <row r="1233" spans="1:9" x14ac:dyDescent="0.25">
      <c r="A1233" s="2">
        <v>43354</v>
      </c>
      <c r="B1233" s="4" t="s">
        <v>356</v>
      </c>
      <c r="C1233" s="3">
        <v>2020</v>
      </c>
      <c r="D1233" s="26">
        <v>8.4245999999999999</v>
      </c>
      <c r="E1233" s="26">
        <v>2.5270000000000001</v>
      </c>
      <c r="F1233" s="18">
        <v>5.69</v>
      </c>
      <c r="G1233" s="18">
        <v>-0.48059753954305789</v>
      </c>
      <c r="H1233" s="18">
        <v>0.55588752196836555</v>
      </c>
      <c r="I1233" s="18">
        <v>-1.0364850615114234</v>
      </c>
    </row>
    <row r="1234" spans="1:9" x14ac:dyDescent="0.25">
      <c r="A1234" s="2">
        <v>43354</v>
      </c>
      <c r="B1234" s="4" t="s">
        <v>388</v>
      </c>
      <c r="C1234" s="3">
        <v>1480</v>
      </c>
      <c r="D1234" s="26">
        <v>0.90312499999999996</v>
      </c>
      <c r="E1234" s="26">
        <v>0.87760000000000005</v>
      </c>
      <c r="F1234" s="18">
        <v>2.968</v>
      </c>
      <c r="G1234" s="18">
        <v>0.69571260107816701</v>
      </c>
      <c r="H1234" s="18">
        <v>0.70431266846361185</v>
      </c>
      <c r="I1234" s="18">
        <v>-8.6000673854448317E-3</v>
      </c>
    </row>
    <row r="1235" spans="1:9" x14ac:dyDescent="0.25">
      <c r="A1235" s="2">
        <v>43354</v>
      </c>
      <c r="B1235" s="4" t="s">
        <v>417</v>
      </c>
      <c r="C1235" s="3">
        <v>2574</v>
      </c>
      <c r="D1235" s="26">
        <v>1.9898333333333331</v>
      </c>
      <c r="E1235" s="26">
        <v>2.3098999999999998</v>
      </c>
      <c r="F1235" s="18">
        <v>6.24</v>
      </c>
      <c r="G1235" s="18">
        <v>0.68111645299145296</v>
      </c>
      <c r="H1235" s="18">
        <v>0.62982371794871794</v>
      </c>
      <c r="I1235" s="18">
        <v>5.1292735042735016E-2</v>
      </c>
    </row>
    <row r="1236" spans="1:9" x14ac:dyDescent="0.25">
      <c r="A1236" s="2">
        <v>43354</v>
      </c>
      <c r="B1236" s="4" t="s">
        <v>510</v>
      </c>
      <c r="C1236" s="3">
        <v>402</v>
      </c>
      <c r="D1236" s="26">
        <v>0</v>
      </c>
      <c r="E1236" s="26">
        <v>6.6748000000000003</v>
      </c>
      <c r="F1236" s="18">
        <v>19.72</v>
      </c>
      <c r="G1236" s="18">
        <v>1</v>
      </c>
      <c r="H1236" s="18">
        <v>0.66152129817444216</v>
      </c>
      <c r="I1236" s="18">
        <v>0.33847870182555784</v>
      </c>
    </row>
    <row r="1237" spans="1:9" x14ac:dyDescent="0.25">
      <c r="A1237" s="2">
        <v>43354</v>
      </c>
      <c r="B1237" s="4" t="s">
        <v>496</v>
      </c>
      <c r="C1237" s="3">
        <v>429</v>
      </c>
      <c r="D1237" s="26">
        <v>4.9923999999999999</v>
      </c>
      <c r="E1237" s="26">
        <v>3.6212</v>
      </c>
      <c r="F1237" s="18">
        <v>18.396999999999998</v>
      </c>
      <c r="G1237" s="18">
        <v>0.72862966788063266</v>
      </c>
      <c r="H1237" s="18">
        <v>0.80316355927596894</v>
      </c>
      <c r="I1237" s="18">
        <v>-7.4533891395336282E-2</v>
      </c>
    </row>
    <row r="1238" spans="1:9" x14ac:dyDescent="0.25">
      <c r="A1238" s="2">
        <v>43355</v>
      </c>
      <c r="B1238" s="4" t="s">
        <v>262</v>
      </c>
      <c r="C1238" s="3">
        <v>252</v>
      </c>
      <c r="D1238" s="26">
        <v>10.6724</v>
      </c>
      <c r="E1238" s="26">
        <v>3.6739999999999999</v>
      </c>
      <c r="F1238" s="18"/>
      <c r="G1238" s="18" t="s">
        <v>524</v>
      </c>
      <c r="H1238" s="18" t="s">
        <v>524</v>
      </c>
      <c r="I1238" s="18"/>
    </row>
    <row r="1239" spans="1:9" x14ac:dyDescent="0.25">
      <c r="A1239" s="2">
        <v>43355</v>
      </c>
      <c r="B1239" s="4" t="s">
        <v>314</v>
      </c>
      <c r="C1239" s="3">
        <v>2250</v>
      </c>
      <c r="D1239" s="26">
        <v>2.4216000000000002</v>
      </c>
      <c r="E1239" s="26">
        <v>2.2583000000000002</v>
      </c>
      <c r="F1239" s="18">
        <v>6.8380000000000001</v>
      </c>
      <c r="G1239" s="18">
        <v>0.64586136297162899</v>
      </c>
      <c r="H1239" s="18">
        <v>0.66974261479964903</v>
      </c>
      <c r="I1239" s="18">
        <v>-2.3881251828020034E-2</v>
      </c>
    </row>
    <row r="1240" spans="1:9" x14ac:dyDescent="0.25">
      <c r="A1240" s="2">
        <v>43355</v>
      </c>
      <c r="B1240" s="4" t="s">
        <v>115</v>
      </c>
      <c r="C1240" s="3">
        <v>6288</v>
      </c>
      <c r="D1240" s="26">
        <v>3.3943500000000002</v>
      </c>
      <c r="E1240" s="26">
        <v>3.1919</v>
      </c>
      <c r="F1240" s="18">
        <v>9.34</v>
      </c>
      <c r="G1240" s="18">
        <v>0.63657922912205567</v>
      </c>
      <c r="H1240" s="18">
        <v>0.65825481798715202</v>
      </c>
      <c r="I1240" s="18">
        <v>-2.1675588865096351E-2</v>
      </c>
    </row>
    <row r="1241" spans="1:9" x14ac:dyDescent="0.25">
      <c r="A1241" s="2">
        <v>43355</v>
      </c>
      <c r="B1241" s="4" t="s">
        <v>324</v>
      </c>
      <c r="C1241" s="3">
        <v>2912</v>
      </c>
      <c r="D1241" s="26">
        <v>2.1728000000000001</v>
      </c>
      <c r="E1241" s="26">
        <v>2.1974999999999998</v>
      </c>
      <c r="F1241" s="18">
        <v>5.734</v>
      </c>
      <c r="G1241" s="18">
        <v>0.62106731775374957</v>
      </c>
      <c r="H1241" s="18">
        <v>0.61675967910708063</v>
      </c>
      <c r="I1241" s="18">
        <v>4.3076386466689431E-3</v>
      </c>
    </row>
    <row r="1242" spans="1:9" x14ac:dyDescent="0.25">
      <c r="A1242" s="2">
        <v>43355</v>
      </c>
      <c r="B1242" s="4" t="s">
        <v>328</v>
      </c>
      <c r="C1242" s="3">
        <v>5164</v>
      </c>
      <c r="D1242" s="26">
        <v>1.8609</v>
      </c>
      <c r="E1242" s="26">
        <v>1.8374999999999999</v>
      </c>
      <c r="F1242" s="18">
        <v>5.7569999999999997</v>
      </c>
      <c r="G1242" s="18">
        <v>0.67675872850442942</v>
      </c>
      <c r="H1242" s="18">
        <v>0.68082334549244394</v>
      </c>
      <c r="I1242" s="18">
        <v>-4.0646169880145244E-3</v>
      </c>
    </row>
    <row r="1243" spans="1:9" x14ac:dyDescent="0.25">
      <c r="A1243" s="2">
        <v>43355</v>
      </c>
      <c r="B1243" s="4" t="s">
        <v>342</v>
      </c>
      <c r="C1243" s="3">
        <v>1116</v>
      </c>
      <c r="D1243" s="26">
        <v>1.4610000000000001</v>
      </c>
      <c r="E1243" s="26">
        <v>1.3514999999999999</v>
      </c>
      <c r="F1243" s="18">
        <v>3.702</v>
      </c>
      <c r="G1243" s="18">
        <v>0.60534846029173428</v>
      </c>
      <c r="H1243" s="18">
        <v>0.63492706645056729</v>
      </c>
      <c r="I1243" s="18">
        <v>-2.957860615883301E-2</v>
      </c>
    </row>
    <row r="1244" spans="1:9" x14ac:dyDescent="0.25">
      <c r="A1244" s="2">
        <v>43355</v>
      </c>
      <c r="B1244" s="4" t="s">
        <v>344</v>
      </c>
      <c r="C1244" s="3">
        <v>4896</v>
      </c>
      <c r="D1244" s="26">
        <v>1.6718000000000002</v>
      </c>
      <c r="E1244" s="26">
        <v>1.5299</v>
      </c>
      <c r="F1244" s="18">
        <v>3.7160000000000002</v>
      </c>
      <c r="G1244" s="18">
        <v>0.55010764262648004</v>
      </c>
      <c r="H1244" s="18">
        <v>0.58829386437029063</v>
      </c>
      <c r="I1244" s="18">
        <v>-3.8186221743810589E-2</v>
      </c>
    </row>
    <row r="1245" spans="1:9" x14ac:dyDescent="0.25">
      <c r="A1245" s="2">
        <v>43355</v>
      </c>
      <c r="B1245" s="4" t="s">
        <v>391</v>
      </c>
      <c r="C1245" s="3">
        <v>2970</v>
      </c>
      <c r="D1245" s="26">
        <v>1.9183666666666663</v>
      </c>
      <c r="E1245" s="26">
        <v>1.2890999999999999</v>
      </c>
      <c r="F1245" s="18">
        <v>6.9</v>
      </c>
      <c r="G1245" s="18">
        <v>0.7219758454106282</v>
      </c>
      <c r="H1245" s="18">
        <v>0.8131739130434783</v>
      </c>
      <c r="I1245" s="18">
        <v>-9.1198067632850197E-2</v>
      </c>
    </row>
    <row r="1246" spans="1:9" x14ac:dyDescent="0.25">
      <c r="A1246" s="2">
        <v>43355</v>
      </c>
      <c r="B1246" s="4" t="s">
        <v>394</v>
      </c>
      <c r="C1246" s="3">
        <v>1824</v>
      </c>
      <c r="D1246" s="26">
        <v>0.92925000000000002</v>
      </c>
      <c r="E1246" s="26">
        <v>0.90510000000000002</v>
      </c>
      <c r="F1246" s="18">
        <v>2.6019999999999999</v>
      </c>
      <c r="G1246" s="18">
        <v>0.64287086856264408</v>
      </c>
      <c r="H1246" s="18">
        <v>0.65215219062259799</v>
      </c>
      <c r="I1246" s="18">
        <v>-9.2813220599539115E-3</v>
      </c>
    </row>
    <row r="1247" spans="1:9" x14ac:dyDescent="0.25">
      <c r="A1247" s="2">
        <v>43355</v>
      </c>
      <c r="B1247" s="4" t="s">
        <v>416</v>
      </c>
      <c r="C1247" s="3">
        <v>920</v>
      </c>
      <c r="D1247" s="26">
        <v>1.636525</v>
      </c>
      <c r="E1247" s="26">
        <v>1.7004999999999999</v>
      </c>
      <c r="F1247" s="18">
        <v>4.9829999999999997</v>
      </c>
      <c r="G1247" s="18">
        <v>0.67157836644591618</v>
      </c>
      <c r="H1247" s="18">
        <v>0.65873971503110573</v>
      </c>
      <c r="I1247" s="18">
        <v>1.2838651414810442E-2</v>
      </c>
    </row>
    <row r="1248" spans="1:9" x14ac:dyDescent="0.25">
      <c r="A1248" s="2">
        <v>43355</v>
      </c>
      <c r="B1248" s="4" t="s">
        <v>208</v>
      </c>
      <c r="C1248" s="3">
        <v>5424</v>
      </c>
      <c r="D1248" s="26">
        <v>1.6374333333333333</v>
      </c>
      <c r="E1248" s="26">
        <v>1.5842000000000001</v>
      </c>
      <c r="F1248" s="18">
        <v>5.9249999999999998</v>
      </c>
      <c r="G1248" s="18">
        <v>0.72363994374120955</v>
      </c>
      <c r="H1248" s="18">
        <v>0.73262447257383967</v>
      </c>
      <c r="I1248" s="18">
        <v>-8.9845288326301231E-3</v>
      </c>
    </row>
    <row r="1249" spans="1:9" x14ac:dyDescent="0.25">
      <c r="A1249" s="2">
        <v>43356</v>
      </c>
      <c r="B1249" s="4" t="s">
        <v>287</v>
      </c>
      <c r="C1249" s="3">
        <v>3732</v>
      </c>
      <c r="D1249" s="26">
        <v>8.991299999999999</v>
      </c>
      <c r="E1249" s="26">
        <v>0.69940000000000002</v>
      </c>
      <c r="F1249" s="18">
        <v>2.7</v>
      </c>
      <c r="G1249" s="18">
        <v>-2.3301111111111106</v>
      </c>
      <c r="H1249" s="18">
        <v>0.74096296296296305</v>
      </c>
      <c r="I1249" s="18">
        <v>-3.0710740740740734</v>
      </c>
    </row>
    <row r="1250" spans="1:9" x14ac:dyDescent="0.25">
      <c r="A1250" s="2">
        <v>43356</v>
      </c>
      <c r="B1250" s="4" t="s">
        <v>290</v>
      </c>
      <c r="C1250" s="3">
        <v>6580</v>
      </c>
      <c r="D1250" s="26">
        <v>10.3491</v>
      </c>
      <c r="E1250" s="26">
        <v>0.34789999999999999</v>
      </c>
      <c r="F1250" s="18">
        <v>40.71</v>
      </c>
      <c r="G1250" s="18">
        <v>0.74578481945467956</v>
      </c>
      <c r="H1250" s="18">
        <v>0.99145418816015707</v>
      </c>
      <c r="I1250" s="18">
        <v>-0.24566936870547773</v>
      </c>
    </row>
    <row r="1251" spans="1:9" x14ac:dyDescent="0.25">
      <c r="A1251" s="2">
        <v>43356</v>
      </c>
      <c r="B1251" s="4" t="s">
        <v>296</v>
      </c>
      <c r="C1251" s="3">
        <v>3792</v>
      </c>
      <c r="D1251" s="26">
        <v>1.9202999999999999</v>
      </c>
      <c r="E1251" s="26">
        <v>1.9798</v>
      </c>
      <c r="F1251" s="18">
        <v>5.5810000000000004</v>
      </c>
      <c r="G1251" s="18">
        <v>0.65592187779967748</v>
      </c>
      <c r="H1251" s="18">
        <v>0.64526070596667262</v>
      </c>
      <c r="I1251" s="18">
        <v>1.0661171833004857E-2</v>
      </c>
    </row>
    <row r="1252" spans="1:9" x14ac:dyDescent="0.25">
      <c r="A1252" s="2">
        <v>43356</v>
      </c>
      <c r="B1252" s="4" t="s">
        <v>128</v>
      </c>
      <c r="C1252" s="3">
        <v>5760</v>
      </c>
      <c r="D1252" s="26">
        <v>0.22900000000000001</v>
      </c>
      <c r="E1252" s="26" t="s">
        <v>11</v>
      </c>
      <c r="F1252" s="18">
        <v>0.58699999999999997</v>
      </c>
      <c r="G1252" s="18">
        <v>0.60988074957410565</v>
      </c>
      <c r="H1252" s="18" t="s">
        <v>524</v>
      </c>
      <c r="I1252" s="18"/>
    </row>
    <row r="1253" spans="1:9" x14ac:dyDescent="0.25">
      <c r="A1253" s="2">
        <v>43356</v>
      </c>
      <c r="B1253" s="4" t="s">
        <v>343</v>
      </c>
      <c r="C1253" s="3">
        <v>9900</v>
      </c>
      <c r="D1253" s="26">
        <v>1.4912999999999998</v>
      </c>
      <c r="E1253" s="26">
        <v>1.3848</v>
      </c>
      <c r="F1253" s="18">
        <v>3.585</v>
      </c>
      <c r="G1253" s="18">
        <v>0.58401673640167373</v>
      </c>
      <c r="H1253" s="18">
        <v>0.61372384937238489</v>
      </c>
      <c r="I1253" s="18">
        <v>-2.9707112970711162E-2</v>
      </c>
    </row>
    <row r="1254" spans="1:9" x14ac:dyDescent="0.25">
      <c r="A1254" s="2">
        <v>43356</v>
      </c>
      <c r="B1254" s="4" t="s">
        <v>230</v>
      </c>
      <c r="C1254" s="3">
        <v>804</v>
      </c>
      <c r="D1254" s="26">
        <v>0.55530000000000002</v>
      </c>
      <c r="E1254" s="26">
        <v>0.52300000000000002</v>
      </c>
      <c r="F1254" s="18">
        <v>1.57</v>
      </c>
      <c r="G1254" s="18">
        <v>0.64630573248407641</v>
      </c>
      <c r="H1254" s="18">
        <v>0.66687898089171982</v>
      </c>
      <c r="I1254" s="18">
        <v>-2.0573248407643407E-2</v>
      </c>
    </row>
    <row r="1255" spans="1:9" x14ac:dyDescent="0.25">
      <c r="A1255" s="2">
        <v>43356</v>
      </c>
      <c r="B1255" s="4" t="s">
        <v>419</v>
      </c>
      <c r="C1255" s="3">
        <v>1650</v>
      </c>
      <c r="D1255" s="26">
        <v>1.9525999999999999</v>
      </c>
      <c r="E1255" s="26">
        <v>0.76559999999999995</v>
      </c>
      <c r="F1255" s="18">
        <v>5.96</v>
      </c>
      <c r="G1255" s="18">
        <v>0.67238255033557037</v>
      </c>
      <c r="H1255" s="18">
        <v>0.87154362416107378</v>
      </c>
      <c r="I1255" s="18">
        <v>-0.19916107382550341</v>
      </c>
    </row>
    <row r="1256" spans="1:9" x14ac:dyDescent="0.25">
      <c r="A1256" s="2">
        <v>43356</v>
      </c>
      <c r="B1256" s="4" t="s">
        <v>211</v>
      </c>
      <c r="C1256" s="3">
        <v>750</v>
      </c>
      <c r="D1256" s="26">
        <v>1.4243333333333332</v>
      </c>
      <c r="E1256" s="26">
        <v>1.4654</v>
      </c>
      <c r="F1256" s="18">
        <v>3.19</v>
      </c>
      <c r="G1256" s="18">
        <v>0.55350052246603976</v>
      </c>
      <c r="H1256" s="18">
        <v>0.54062695924764892</v>
      </c>
      <c r="I1256" s="18">
        <v>1.2873563218390838E-2</v>
      </c>
    </row>
    <row r="1257" spans="1:9" x14ac:dyDescent="0.25">
      <c r="A1257" s="2">
        <v>43356</v>
      </c>
      <c r="B1257" s="4" t="s">
        <v>441</v>
      </c>
      <c r="C1257" s="3">
        <v>804</v>
      </c>
      <c r="D1257" s="26">
        <v>0.5252</v>
      </c>
      <c r="E1257" s="26">
        <v>0.49919999999999998</v>
      </c>
      <c r="F1257" s="18">
        <v>1.349</v>
      </c>
      <c r="G1257" s="18">
        <v>0.61067457375833956</v>
      </c>
      <c r="H1257" s="18">
        <v>0.62994810971089699</v>
      </c>
      <c r="I1257" s="18">
        <v>-1.927353595255743E-2</v>
      </c>
    </row>
    <row r="1258" spans="1:9" x14ac:dyDescent="0.25">
      <c r="A1258" s="2">
        <v>43356</v>
      </c>
      <c r="B1258" s="4" t="s">
        <v>442</v>
      </c>
      <c r="C1258" s="3">
        <v>804</v>
      </c>
      <c r="D1258" s="26">
        <v>0.60658333333333336</v>
      </c>
      <c r="E1258" s="26">
        <v>0.68500000000000005</v>
      </c>
      <c r="F1258" s="18">
        <v>1.4750000000000001</v>
      </c>
      <c r="G1258" s="18">
        <v>0.58875706214689261</v>
      </c>
      <c r="H1258" s="18">
        <v>0.53559322033898304</v>
      </c>
      <c r="I1258" s="18">
        <v>5.3163841807909562E-2</v>
      </c>
    </row>
    <row r="1259" spans="1:9" x14ac:dyDescent="0.25">
      <c r="A1259" s="2">
        <v>43356</v>
      </c>
      <c r="B1259" s="4" t="s">
        <v>512</v>
      </c>
      <c r="C1259" s="3">
        <v>3270</v>
      </c>
      <c r="D1259" s="26">
        <v>1.6888000000000001</v>
      </c>
      <c r="E1259" s="26">
        <v>1.7746999999999999</v>
      </c>
      <c r="F1259" s="18">
        <v>6.72</v>
      </c>
      <c r="G1259" s="18">
        <v>0.74869047619047613</v>
      </c>
      <c r="H1259" s="18">
        <v>0.73590773809523813</v>
      </c>
      <c r="I1259" s="18">
        <v>1.2782738095238222E-2</v>
      </c>
    </row>
    <row r="1260" spans="1:9" x14ac:dyDescent="0.25">
      <c r="A1260" s="2">
        <v>43356</v>
      </c>
      <c r="B1260" s="4" t="s">
        <v>513</v>
      </c>
      <c r="C1260" s="3">
        <v>4152</v>
      </c>
      <c r="D1260" s="26">
        <v>0</v>
      </c>
      <c r="E1260" s="26">
        <v>2.3593000000000002</v>
      </c>
      <c r="F1260" s="18">
        <v>6.48</v>
      </c>
      <c r="G1260" s="18">
        <v>1</v>
      </c>
      <c r="H1260" s="18">
        <v>0.63591049382716047</v>
      </c>
      <c r="I1260" s="18">
        <v>0.36408950617283953</v>
      </c>
    </row>
    <row r="1261" spans="1:9" x14ac:dyDescent="0.25">
      <c r="A1261" s="2">
        <v>43357</v>
      </c>
      <c r="B1261" s="4" t="s">
        <v>240</v>
      </c>
      <c r="D1261" s="26">
        <v>7.0436000000000005</v>
      </c>
      <c r="E1261" s="26" t="s">
        <v>11</v>
      </c>
      <c r="F1261" s="18"/>
      <c r="G1261" s="18" t="s">
        <v>524</v>
      </c>
      <c r="H1261" s="18" t="s">
        <v>524</v>
      </c>
      <c r="I1261" s="18"/>
    </row>
    <row r="1262" spans="1:9" x14ac:dyDescent="0.25">
      <c r="A1262" s="2">
        <v>43357</v>
      </c>
      <c r="B1262" s="4" t="s">
        <v>283</v>
      </c>
      <c r="C1262" s="3">
        <v>10220</v>
      </c>
      <c r="D1262" s="26">
        <v>12.483599999999999</v>
      </c>
      <c r="E1262" s="26">
        <v>0.45169999999999999</v>
      </c>
      <c r="F1262" s="18">
        <v>42.17</v>
      </c>
      <c r="G1262" s="18">
        <v>0.70396964666824757</v>
      </c>
      <c r="H1262" s="18">
        <v>0.98928859378705236</v>
      </c>
      <c r="I1262" s="18">
        <v>-0.28531894711880479</v>
      </c>
    </row>
    <row r="1263" spans="1:9" x14ac:dyDescent="0.25">
      <c r="A1263" s="2">
        <v>43357</v>
      </c>
      <c r="B1263" s="4" t="s">
        <v>284</v>
      </c>
      <c r="C1263" s="3">
        <v>3768</v>
      </c>
      <c r="D1263" s="26">
        <v>10.8108</v>
      </c>
      <c r="E1263" s="26">
        <v>0.89459999999999995</v>
      </c>
      <c r="F1263" s="18">
        <v>2.7</v>
      </c>
      <c r="G1263" s="18">
        <v>-3.004</v>
      </c>
      <c r="H1263" s="18">
        <v>0.66866666666666663</v>
      </c>
      <c r="I1263" s="18">
        <v>-3.6726666666666663</v>
      </c>
    </row>
    <row r="1264" spans="1:9" x14ac:dyDescent="0.25">
      <c r="A1264" s="2">
        <v>43357</v>
      </c>
      <c r="B1264" s="4" t="s">
        <v>342</v>
      </c>
      <c r="C1264" s="3">
        <v>5616</v>
      </c>
      <c r="D1264" s="26">
        <v>1.4610000000000001</v>
      </c>
      <c r="E1264" s="26">
        <v>1.4059999999999999</v>
      </c>
      <c r="F1264" s="18">
        <v>3.702</v>
      </c>
      <c r="G1264" s="18">
        <v>0.60534846029173428</v>
      </c>
      <c r="H1264" s="18">
        <v>0.62020529443544037</v>
      </c>
      <c r="I1264" s="18">
        <v>-1.4856834143706088E-2</v>
      </c>
    </row>
    <row r="1265" spans="1:9" x14ac:dyDescent="0.25">
      <c r="A1265" s="2">
        <v>43357</v>
      </c>
      <c r="B1265" s="4" t="s">
        <v>418</v>
      </c>
      <c r="C1265" s="3">
        <v>402</v>
      </c>
      <c r="D1265" s="26">
        <v>1.8811</v>
      </c>
      <c r="E1265" s="26">
        <v>1.8642000000000001</v>
      </c>
      <c r="F1265" s="18">
        <v>7.06</v>
      </c>
      <c r="G1265" s="18">
        <v>0.73355524079320111</v>
      </c>
      <c r="H1265" s="18">
        <v>0.73594900849858347</v>
      </c>
      <c r="I1265" s="18">
        <v>-2.3937677053823547E-3</v>
      </c>
    </row>
    <row r="1266" spans="1:9" x14ac:dyDescent="0.25">
      <c r="A1266" s="2">
        <v>43357</v>
      </c>
      <c r="B1266" s="4" t="s">
        <v>438</v>
      </c>
      <c r="C1266" s="3">
        <v>5622</v>
      </c>
      <c r="D1266" s="26">
        <v>1.4899166666666668</v>
      </c>
      <c r="E1266" s="26">
        <v>1.3757999999999999</v>
      </c>
      <c r="F1266" s="18">
        <v>4.4770000000000003</v>
      </c>
      <c r="G1266" s="18">
        <v>0.66720646266100814</v>
      </c>
      <c r="H1266" s="18">
        <v>0.69269600178691093</v>
      </c>
      <c r="I1266" s="18">
        <v>-2.5489539125902794E-2</v>
      </c>
    </row>
    <row r="1267" spans="1:9" x14ac:dyDescent="0.25">
      <c r="A1267" s="2">
        <v>43357</v>
      </c>
      <c r="B1267" s="4" t="s">
        <v>439</v>
      </c>
      <c r="C1267" s="3">
        <v>3700</v>
      </c>
      <c r="D1267" s="26">
        <v>1.898525</v>
      </c>
      <c r="E1267" s="26">
        <v>1.9830000000000001</v>
      </c>
      <c r="F1267" s="18">
        <v>5.7750000000000004</v>
      </c>
      <c r="G1267" s="18">
        <v>0.67125108225108221</v>
      </c>
      <c r="H1267" s="18">
        <v>0.65662337662337666</v>
      </c>
      <c r="I1267" s="18">
        <v>1.4627705627705543E-2</v>
      </c>
    </row>
    <row r="1268" spans="1:9" x14ac:dyDescent="0.25">
      <c r="A1268" s="2">
        <v>43357</v>
      </c>
      <c r="B1268" s="4" t="s">
        <v>513</v>
      </c>
      <c r="C1268" s="3">
        <v>4152</v>
      </c>
      <c r="D1268" s="26">
        <v>0</v>
      </c>
      <c r="E1268" s="26">
        <v>2.3593000000000002</v>
      </c>
      <c r="F1268" s="18">
        <v>6.48</v>
      </c>
      <c r="G1268" s="18">
        <v>1</v>
      </c>
      <c r="H1268" s="18">
        <v>0.63591049382716047</v>
      </c>
      <c r="I1268" s="18">
        <v>0.36408950617283953</v>
      </c>
    </row>
    <row r="1269" spans="1:9" x14ac:dyDescent="0.25">
      <c r="A1269" s="2">
        <v>43358</v>
      </c>
      <c r="B1269" s="4" t="s">
        <v>255</v>
      </c>
      <c r="C1269" s="3">
        <v>392</v>
      </c>
      <c r="D1269" s="26">
        <v>9.4842999999999993</v>
      </c>
      <c r="E1269" s="26">
        <v>2.7444000000000002</v>
      </c>
      <c r="F1269" s="18"/>
      <c r="G1269" s="18" t="s">
        <v>524</v>
      </c>
      <c r="H1269" s="18" t="s">
        <v>524</v>
      </c>
      <c r="I1269" s="18"/>
    </row>
    <row r="1270" spans="1:9" x14ac:dyDescent="0.25">
      <c r="A1270" s="2">
        <v>43358</v>
      </c>
      <c r="B1270" s="4" t="s">
        <v>256</v>
      </c>
      <c r="C1270" s="3">
        <v>680</v>
      </c>
      <c r="D1270" s="26">
        <v>8.2208000000000006</v>
      </c>
      <c r="E1270" s="26">
        <v>2.3944000000000001</v>
      </c>
      <c r="F1270" s="18"/>
      <c r="G1270" s="18" t="s">
        <v>524</v>
      </c>
      <c r="H1270" s="18" t="s">
        <v>524</v>
      </c>
      <c r="I1270" s="18"/>
    </row>
    <row r="1271" spans="1:9" x14ac:dyDescent="0.25">
      <c r="A1271" s="2">
        <v>43358</v>
      </c>
      <c r="B1271" s="4" t="s">
        <v>257</v>
      </c>
      <c r="C1271" s="3">
        <v>756</v>
      </c>
      <c r="D1271" s="26">
        <v>8.5192999999999994</v>
      </c>
      <c r="E1271" s="26">
        <v>1.6133</v>
      </c>
      <c r="F1271" s="18"/>
      <c r="G1271" s="18" t="s">
        <v>524</v>
      </c>
      <c r="H1271" s="18" t="s">
        <v>524</v>
      </c>
      <c r="I1271" s="18"/>
    </row>
    <row r="1272" spans="1:9" x14ac:dyDescent="0.25">
      <c r="A1272" s="2">
        <v>43358</v>
      </c>
      <c r="B1272" s="4" t="s">
        <v>323</v>
      </c>
      <c r="C1272" s="3">
        <v>1245</v>
      </c>
      <c r="D1272" s="26">
        <v>3.2764000000000002</v>
      </c>
      <c r="E1272" s="26">
        <v>3.3487</v>
      </c>
      <c r="F1272" s="18">
        <v>8.2469999999999999</v>
      </c>
      <c r="G1272" s="18">
        <v>0.60271613920213407</v>
      </c>
      <c r="H1272" s="18">
        <v>0.59394931490238878</v>
      </c>
      <c r="I1272" s="18">
        <v>8.7668242997452905E-3</v>
      </c>
    </row>
    <row r="1273" spans="1:9" x14ac:dyDescent="0.25">
      <c r="A1273" s="2">
        <v>43358</v>
      </c>
      <c r="B1273" s="4" t="s">
        <v>327</v>
      </c>
      <c r="C1273" s="3">
        <v>2238</v>
      </c>
      <c r="D1273" s="26">
        <v>2.7835000000000001</v>
      </c>
      <c r="E1273" s="26">
        <v>2.9956</v>
      </c>
      <c r="F1273" s="18">
        <v>8.1999999999999993</v>
      </c>
      <c r="G1273" s="18">
        <v>0.66054878048780485</v>
      </c>
      <c r="H1273" s="18">
        <v>0.6346829268292683</v>
      </c>
      <c r="I1273" s="18">
        <v>2.5865853658536553E-2</v>
      </c>
    </row>
    <row r="1274" spans="1:9" x14ac:dyDescent="0.25">
      <c r="A1274" s="2">
        <v>43358</v>
      </c>
      <c r="B1274" s="4" t="s">
        <v>331</v>
      </c>
      <c r="C1274" s="3">
        <v>1137</v>
      </c>
      <c r="D1274" s="26">
        <v>2.7662</v>
      </c>
      <c r="E1274" s="26">
        <v>2.9003000000000001</v>
      </c>
      <c r="F1274" s="18">
        <v>7.827</v>
      </c>
      <c r="G1274" s="18">
        <v>0.64658234317107455</v>
      </c>
      <c r="H1274" s="18">
        <v>0.62944934202120872</v>
      </c>
      <c r="I1274" s="18">
        <v>1.7133001149865823E-2</v>
      </c>
    </row>
    <row r="1275" spans="1:9" x14ac:dyDescent="0.25">
      <c r="A1275" s="2">
        <v>43358</v>
      </c>
      <c r="B1275" s="4" t="s">
        <v>392</v>
      </c>
      <c r="C1275" s="3">
        <v>324</v>
      </c>
      <c r="D1275" s="26">
        <v>3.4722499999999998</v>
      </c>
      <c r="E1275" s="26">
        <v>4.508</v>
      </c>
      <c r="F1275" s="18">
        <v>61.83</v>
      </c>
      <c r="G1275" s="18">
        <v>0.9438419860908942</v>
      </c>
      <c r="H1275" s="18">
        <v>0.927090409186479</v>
      </c>
      <c r="I1275" s="18">
        <v>1.6751576904415311E-2</v>
      </c>
    </row>
    <row r="1276" spans="1:9" x14ac:dyDescent="0.25">
      <c r="A1276" s="2">
        <v>43358</v>
      </c>
      <c r="B1276" s="4" t="s">
        <v>513</v>
      </c>
      <c r="C1276" s="3">
        <v>3636</v>
      </c>
      <c r="D1276" s="26">
        <v>0</v>
      </c>
      <c r="E1276" s="26">
        <v>2.3163</v>
      </c>
      <c r="F1276" s="18">
        <v>6.48</v>
      </c>
      <c r="G1276" s="18">
        <v>1</v>
      </c>
      <c r="H1276" s="18">
        <v>0.64254629629629634</v>
      </c>
      <c r="I1276" s="18">
        <v>0.35745370370370366</v>
      </c>
    </row>
    <row r="1277" spans="1:9" x14ac:dyDescent="0.25">
      <c r="A1277" s="2">
        <v>43360</v>
      </c>
      <c r="B1277" s="4" t="s">
        <v>490</v>
      </c>
      <c r="C1277" s="3">
        <v>1736</v>
      </c>
      <c r="D1277" s="26">
        <v>2.1261000000000001</v>
      </c>
      <c r="E1277" s="26">
        <v>2.3527999999999998</v>
      </c>
      <c r="F1277" s="18">
        <v>10.72</v>
      </c>
      <c r="G1277" s="18">
        <v>0.80166977611940304</v>
      </c>
      <c r="H1277" s="18">
        <v>0.78052238805970164</v>
      </c>
      <c r="I1277" s="18">
        <v>2.1147388059701511E-2</v>
      </c>
    </row>
    <row r="1278" spans="1:9" x14ac:dyDescent="0.25">
      <c r="A1278" s="2">
        <v>43360</v>
      </c>
      <c r="B1278" s="4" t="s">
        <v>299</v>
      </c>
      <c r="C1278" s="3">
        <v>3564</v>
      </c>
      <c r="D1278" s="26">
        <v>2.4599000000000002</v>
      </c>
      <c r="E1278" s="26">
        <v>2.1171000000000002</v>
      </c>
      <c r="F1278" s="18"/>
      <c r="G1278" s="18" t="s">
        <v>524</v>
      </c>
      <c r="H1278" s="18" t="s">
        <v>524</v>
      </c>
      <c r="I1278" s="18"/>
    </row>
    <row r="1279" spans="1:9" x14ac:dyDescent="0.25">
      <c r="A1279" s="2">
        <v>43360</v>
      </c>
      <c r="B1279" s="4" t="s">
        <v>300</v>
      </c>
      <c r="C1279" s="3">
        <v>1408</v>
      </c>
      <c r="D1279" s="26">
        <v>1.6828000000000001</v>
      </c>
      <c r="E1279" s="26">
        <v>1.9413</v>
      </c>
      <c r="F1279" s="18"/>
      <c r="G1279" s="18" t="s">
        <v>524</v>
      </c>
      <c r="H1279" s="18" t="s">
        <v>524</v>
      </c>
      <c r="I1279" s="18"/>
    </row>
    <row r="1280" spans="1:9" x14ac:dyDescent="0.25">
      <c r="A1280" s="2">
        <v>43360</v>
      </c>
      <c r="B1280" s="4" t="s">
        <v>342</v>
      </c>
      <c r="C1280" s="3">
        <v>2328</v>
      </c>
      <c r="D1280" s="26">
        <v>1.4610000000000001</v>
      </c>
      <c r="E1280" s="26">
        <v>1.3416999999999999</v>
      </c>
      <c r="F1280" s="18">
        <v>3.702</v>
      </c>
      <c r="G1280" s="18">
        <v>0.60534846029173428</v>
      </c>
      <c r="H1280" s="18">
        <v>0.6375742841707186</v>
      </c>
      <c r="I1280" s="18">
        <v>-3.2225823878984317E-2</v>
      </c>
    </row>
    <row r="1281" spans="1:9" x14ac:dyDescent="0.25">
      <c r="A1281" s="2">
        <v>43360</v>
      </c>
      <c r="B1281" s="4" t="s">
        <v>432</v>
      </c>
      <c r="C1281" s="3">
        <v>4896</v>
      </c>
      <c r="D1281" s="26">
        <v>2.1798833333333332</v>
      </c>
      <c r="E1281" s="26">
        <v>2.4117999999999999</v>
      </c>
      <c r="F1281" s="18">
        <v>6.42</v>
      </c>
      <c r="G1281" s="18">
        <v>0.66045430944963668</v>
      </c>
      <c r="H1281" s="18">
        <v>0.62433021806853595</v>
      </c>
      <c r="I1281" s="18">
        <v>3.6124091381100731E-2</v>
      </c>
    </row>
    <row r="1282" spans="1:9" x14ac:dyDescent="0.25">
      <c r="A1282" s="2">
        <v>43360</v>
      </c>
      <c r="B1282" s="4" t="s">
        <v>523</v>
      </c>
      <c r="C1282" s="3">
        <v>3648</v>
      </c>
      <c r="D1282" s="26">
        <v>3.0049000000000001</v>
      </c>
      <c r="E1282" s="26">
        <v>3.0950000000000002</v>
      </c>
      <c r="F1282" s="18">
        <v>8.6199999999999992</v>
      </c>
      <c r="G1282" s="18">
        <v>0.65140371229698368</v>
      </c>
      <c r="H1282" s="18">
        <v>0.64095127610208802</v>
      </c>
      <c r="I1282" s="18">
        <v>1.0452436194895665E-2</v>
      </c>
    </row>
    <row r="1283" spans="1:9" x14ac:dyDescent="0.25">
      <c r="A1283" s="2">
        <v>43361</v>
      </c>
      <c r="B1283" s="4" t="s">
        <v>32</v>
      </c>
      <c r="C1283" s="3">
        <v>336</v>
      </c>
      <c r="D1283" s="26">
        <v>3.8967999999999998</v>
      </c>
      <c r="E1283" s="26">
        <v>4.4419000000000004</v>
      </c>
      <c r="F1283" s="18">
        <v>11.55</v>
      </c>
      <c r="G1283" s="18">
        <v>0.66261471861471855</v>
      </c>
      <c r="H1283" s="18">
        <v>0.61541991341991342</v>
      </c>
      <c r="I1283" s="18">
        <v>4.7194805194805123E-2</v>
      </c>
    </row>
    <row r="1284" spans="1:9" x14ac:dyDescent="0.25">
      <c r="A1284" s="2">
        <v>43361</v>
      </c>
      <c r="B1284" s="4" t="s">
        <v>300</v>
      </c>
      <c r="C1284" s="3">
        <v>4752</v>
      </c>
      <c r="D1284" s="26">
        <v>1.6828000000000001</v>
      </c>
      <c r="E1284" s="26">
        <v>1.5162</v>
      </c>
      <c r="F1284" s="18"/>
      <c r="G1284" s="18" t="s">
        <v>524</v>
      </c>
      <c r="H1284" s="18" t="s">
        <v>524</v>
      </c>
      <c r="I1284" s="18"/>
    </row>
    <row r="1285" spans="1:9" x14ac:dyDescent="0.25">
      <c r="A1285" s="2">
        <v>43361</v>
      </c>
      <c r="B1285" s="4" t="s">
        <v>345</v>
      </c>
      <c r="C1285" s="3">
        <v>594</v>
      </c>
      <c r="D1285" s="26">
        <v>1.3222</v>
      </c>
      <c r="E1285" s="26">
        <v>1.2122999999999999</v>
      </c>
      <c r="F1285" s="18"/>
      <c r="G1285" s="18" t="s">
        <v>524</v>
      </c>
      <c r="H1285" s="18" t="s">
        <v>524</v>
      </c>
      <c r="I1285" s="18"/>
    </row>
    <row r="1286" spans="1:9" x14ac:dyDescent="0.25">
      <c r="A1286" s="2">
        <v>43361</v>
      </c>
      <c r="B1286" s="4" t="s">
        <v>212</v>
      </c>
      <c r="C1286" s="3">
        <v>16608</v>
      </c>
      <c r="D1286" s="26">
        <v>1.48465</v>
      </c>
      <c r="E1286" s="26">
        <v>1.4359999999999999</v>
      </c>
      <c r="F1286" s="18">
        <v>3.53</v>
      </c>
      <c r="G1286" s="18">
        <v>0.57941926345609074</v>
      </c>
      <c r="H1286" s="18">
        <v>0.59320113314447587</v>
      </c>
      <c r="I1286" s="18">
        <v>-1.3781869688385129E-2</v>
      </c>
    </row>
    <row r="1287" spans="1:9" x14ac:dyDescent="0.25">
      <c r="A1287" s="2">
        <v>43361</v>
      </c>
      <c r="B1287" s="4" t="s">
        <v>520</v>
      </c>
      <c r="C1287" s="3">
        <v>1068</v>
      </c>
      <c r="E1287" s="26">
        <v>2.5760000000000001</v>
      </c>
      <c r="F1287" s="18"/>
      <c r="G1287" s="18" t="s">
        <v>524</v>
      </c>
      <c r="H1287" s="18" t="s">
        <v>524</v>
      </c>
      <c r="I1287" s="18"/>
    </row>
    <row r="1288" spans="1:9" x14ac:dyDescent="0.25">
      <c r="A1288" s="2">
        <v>43362</v>
      </c>
      <c r="B1288" s="4" t="s">
        <v>345</v>
      </c>
      <c r="C1288" s="3">
        <v>12942</v>
      </c>
      <c r="D1288" s="26">
        <v>1.3222</v>
      </c>
      <c r="E1288" s="26">
        <v>1.0029999999999999</v>
      </c>
      <c r="F1288" s="18"/>
      <c r="G1288" s="18" t="s">
        <v>524</v>
      </c>
      <c r="H1288" s="18" t="s">
        <v>524</v>
      </c>
      <c r="I1288" s="18"/>
    </row>
    <row r="1289" spans="1:9" x14ac:dyDescent="0.25">
      <c r="A1289" s="2">
        <v>43362</v>
      </c>
      <c r="B1289" s="4" t="s">
        <v>478</v>
      </c>
      <c r="C1289" s="3">
        <v>8500</v>
      </c>
      <c r="D1289" s="26">
        <v>1.6109</v>
      </c>
      <c r="E1289" s="26">
        <v>1.7951999999999999</v>
      </c>
      <c r="F1289" s="18"/>
      <c r="G1289" s="18" t="s">
        <v>524</v>
      </c>
      <c r="H1289" s="18" t="s">
        <v>524</v>
      </c>
      <c r="I1289" s="18"/>
    </row>
    <row r="1290" spans="1:9" x14ac:dyDescent="0.25">
      <c r="A1290" s="2">
        <v>43362</v>
      </c>
      <c r="B1290" s="4" t="s">
        <v>479</v>
      </c>
      <c r="C1290" s="3">
        <v>8500</v>
      </c>
      <c r="D1290" s="26">
        <v>1.27</v>
      </c>
      <c r="E1290" s="26">
        <v>1.4336</v>
      </c>
      <c r="F1290" s="18"/>
      <c r="G1290" s="18" t="s">
        <v>524</v>
      </c>
      <c r="H1290" s="18" t="s">
        <v>524</v>
      </c>
      <c r="I1290" s="18"/>
    </row>
    <row r="1291" spans="1:9" x14ac:dyDescent="0.25">
      <c r="A1291" s="2">
        <v>43362</v>
      </c>
      <c r="B1291" s="4" t="s">
        <v>437</v>
      </c>
      <c r="C1291" s="3">
        <v>13872</v>
      </c>
      <c r="D1291" s="26">
        <v>1.44045</v>
      </c>
      <c r="E1291" s="26">
        <v>1.6140000000000001</v>
      </c>
      <c r="F1291" s="18"/>
      <c r="G1291" s="18" t="s">
        <v>524</v>
      </c>
      <c r="H1291" s="18" t="s">
        <v>524</v>
      </c>
      <c r="I1291" s="18"/>
    </row>
    <row r="1292" spans="1:9" x14ac:dyDescent="0.25">
      <c r="A1292" s="2">
        <v>43362</v>
      </c>
      <c r="B1292" s="4" t="s">
        <v>510</v>
      </c>
      <c r="C1292" s="3">
        <v>624</v>
      </c>
      <c r="D1292" s="26">
        <v>0</v>
      </c>
      <c r="E1292" s="26">
        <v>6.4992000000000001</v>
      </c>
      <c r="F1292" s="18">
        <v>19.72</v>
      </c>
      <c r="G1292" s="18">
        <v>1</v>
      </c>
      <c r="H1292" s="18">
        <v>0.67042596348884376</v>
      </c>
      <c r="I1292" s="18">
        <v>0.32957403651115624</v>
      </c>
    </row>
    <row r="1293" spans="1:9" x14ac:dyDescent="0.25">
      <c r="A1293" s="2">
        <v>43362</v>
      </c>
      <c r="B1293" s="4" t="s">
        <v>515</v>
      </c>
      <c r="C1293" s="3">
        <v>8970</v>
      </c>
      <c r="D1293" s="26">
        <v>1.6719999999999999</v>
      </c>
      <c r="E1293" s="26">
        <v>2.0851999999999999</v>
      </c>
      <c r="F1293" s="18">
        <v>6.76</v>
      </c>
      <c r="G1293" s="18">
        <v>0.75266272189349115</v>
      </c>
      <c r="H1293" s="18">
        <v>0.69153846153846144</v>
      </c>
      <c r="I1293" s="18">
        <v>6.1124260355029714E-2</v>
      </c>
    </row>
    <row r="1294" spans="1:9" x14ac:dyDescent="0.25">
      <c r="A1294" s="2">
        <v>43363</v>
      </c>
      <c r="B1294" s="4" t="s">
        <v>295</v>
      </c>
      <c r="C1294" s="3">
        <v>1851</v>
      </c>
      <c r="D1294" s="26">
        <v>2.839</v>
      </c>
      <c r="E1294" s="26">
        <v>3.0061</v>
      </c>
      <c r="F1294" s="18"/>
      <c r="G1294" s="18" t="s">
        <v>524</v>
      </c>
      <c r="H1294" s="18" t="s">
        <v>524</v>
      </c>
      <c r="I1294" s="18"/>
    </row>
    <row r="1295" spans="1:9" x14ac:dyDescent="0.25">
      <c r="A1295" s="2">
        <v>43363</v>
      </c>
      <c r="B1295" s="4" t="s">
        <v>349</v>
      </c>
      <c r="C1295" s="3">
        <v>6102</v>
      </c>
      <c r="D1295" s="26">
        <v>8.1733999999999991</v>
      </c>
      <c r="E1295" s="26">
        <v>1.4357</v>
      </c>
      <c r="F1295" s="18"/>
      <c r="G1295" s="18" t="s">
        <v>524</v>
      </c>
      <c r="H1295" s="18" t="s">
        <v>524</v>
      </c>
      <c r="I1295" s="18"/>
    </row>
    <row r="1296" spans="1:9" x14ac:dyDescent="0.25">
      <c r="A1296" s="2">
        <v>43363</v>
      </c>
      <c r="B1296" s="4" t="s">
        <v>350</v>
      </c>
      <c r="C1296" s="3">
        <v>1008</v>
      </c>
      <c r="D1296" s="26">
        <v>7.8975999999999997</v>
      </c>
      <c r="E1296" s="26">
        <v>2.0983000000000001</v>
      </c>
      <c r="F1296" s="18"/>
      <c r="G1296" s="18" t="s">
        <v>524</v>
      </c>
      <c r="H1296" s="18" t="s">
        <v>524</v>
      </c>
      <c r="I1296" s="18"/>
    </row>
    <row r="1297" spans="1:9" x14ac:dyDescent="0.25">
      <c r="A1297" s="2">
        <v>43363</v>
      </c>
      <c r="B1297" s="4" t="s">
        <v>352</v>
      </c>
      <c r="C1297" s="3">
        <v>2632</v>
      </c>
      <c r="D1297" s="26">
        <v>6.9335000000000004</v>
      </c>
      <c r="E1297" s="26">
        <v>0.73950000000000005</v>
      </c>
      <c r="F1297" s="18"/>
      <c r="G1297" s="18" t="s">
        <v>524</v>
      </c>
      <c r="H1297" s="18" t="s">
        <v>524</v>
      </c>
      <c r="I1297" s="18"/>
    </row>
    <row r="1298" spans="1:9" x14ac:dyDescent="0.25">
      <c r="A1298" s="2">
        <v>43363</v>
      </c>
      <c r="B1298" s="4" t="s">
        <v>210</v>
      </c>
      <c r="D1298" s="26">
        <v>5.2805</v>
      </c>
      <c r="E1298" s="26" t="s">
        <v>11</v>
      </c>
      <c r="F1298" s="18">
        <v>19.280999999999999</v>
      </c>
      <c r="G1298" s="18">
        <v>0.72612935013744095</v>
      </c>
      <c r="H1298" s="18" t="s">
        <v>524</v>
      </c>
      <c r="I1298" s="18"/>
    </row>
    <row r="1299" spans="1:9" x14ac:dyDescent="0.25">
      <c r="A1299" s="2">
        <v>43363</v>
      </c>
      <c r="B1299" s="4" t="s">
        <v>478</v>
      </c>
      <c r="C1299" s="3">
        <v>13464</v>
      </c>
      <c r="D1299" s="26">
        <v>1.6109</v>
      </c>
      <c r="E1299" s="26">
        <v>1.6185</v>
      </c>
      <c r="F1299" s="18"/>
      <c r="G1299" s="18" t="s">
        <v>524</v>
      </c>
      <c r="H1299" s="18" t="s">
        <v>524</v>
      </c>
      <c r="I1299" s="18"/>
    </row>
    <row r="1300" spans="1:9" x14ac:dyDescent="0.25">
      <c r="A1300" s="2">
        <v>43363</v>
      </c>
      <c r="B1300" s="4" t="s">
        <v>479</v>
      </c>
      <c r="C1300" s="3">
        <v>13464</v>
      </c>
      <c r="D1300" s="26">
        <v>1.27</v>
      </c>
      <c r="E1300" s="26">
        <v>1.3926000000000001</v>
      </c>
      <c r="F1300" s="18"/>
      <c r="G1300" s="18" t="s">
        <v>524</v>
      </c>
      <c r="H1300" s="18" t="s">
        <v>524</v>
      </c>
      <c r="I1300" s="18"/>
    </row>
    <row r="1301" spans="1:9" x14ac:dyDescent="0.25">
      <c r="A1301" s="2">
        <v>43363</v>
      </c>
      <c r="B1301" s="4" t="s">
        <v>437</v>
      </c>
      <c r="C1301" s="3">
        <v>3024</v>
      </c>
      <c r="D1301" s="26">
        <v>1.44045</v>
      </c>
      <c r="E1301" s="26">
        <v>1.6140000000000001</v>
      </c>
      <c r="F1301" s="18"/>
      <c r="G1301" s="18" t="s">
        <v>524</v>
      </c>
      <c r="H1301" s="18" t="s">
        <v>524</v>
      </c>
      <c r="I1301" s="18"/>
    </row>
    <row r="1302" spans="1:9" x14ac:dyDescent="0.25">
      <c r="A1302" s="2">
        <v>43363</v>
      </c>
      <c r="B1302" s="4" t="s">
        <v>514</v>
      </c>
      <c r="C1302" s="3">
        <v>2826</v>
      </c>
      <c r="D1302" s="26">
        <v>1.895</v>
      </c>
      <c r="E1302" s="26">
        <v>2.0861999999999998</v>
      </c>
      <c r="F1302" s="18">
        <v>6.14</v>
      </c>
      <c r="G1302" s="18">
        <v>0.69136807817589563</v>
      </c>
      <c r="H1302" s="18">
        <v>0.660228013029316</v>
      </c>
      <c r="I1302" s="18">
        <v>3.1140065146579632E-2</v>
      </c>
    </row>
    <row r="1303" spans="1:9" x14ac:dyDescent="0.25">
      <c r="A1303" s="2">
        <v>43363</v>
      </c>
      <c r="B1303" s="4" t="s">
        <v>515</v>
      </c>
      <c r="C1303" s="3">
        <v>1248</v>
      </c>
      <c r="D1303" s="26">
        <v>1.6719999999999999</v>
      </c>
      <c r="E1303" s="26">
        <v>2.069</v>
      </c>
      <c r="F1303" s="18">
        <v>6.76</v>
      </c>
      <c r="G1303" s="18">
        <v>0.75266272189349115</v>
      </c>
      <c r="H1303" s="18">
        <v>0.69393491124260354</v>
      </c>
      <c r="I1303" s="18">
        <v>5.8727810650887613E-2</v>
      </c>
    </row>
    <row r="1304" spans="1:9" x14ac:dyDescent="0.25">
      <c r="A1304" s="2">
        <v>43364</v>
      </c>
      <c r="B1304" s="4" t="s">
        <v>238</v>
      </c>
      <c r="C1304" s="3">
        <v>504</v>
      </c>
      <c r="D1304" s="26">
        <v>8.1644000000000005</v>
      </c>
      <c r="E1304" s="26">
        <v>1.2653000000000001</v>
      </c>
      <c r="F1304" s="18">
        <v>6.21</v>
      </c>
      <c r="G1304" s="18">
        <v>-0.31471819645732702</v>
      </c>
      <c r="H1304" s="18">
        <v>0.7962479871175524</v>
      </c>
      <c r="I1304" s="18">
        <v>-1.1109661835748794</v>
      </c>
    </row>
    <row r="1305" spans="1:9" x14ac:dyDescent="0.25">
      <c r="A1305" s="2">
        <v>43364</v>
      </c>
      <c r="B1305" s="4" t="s">
        <v>242</v>
      </c>
      <c r="C1305" s="3">
        <v>684</v>
      </c>
      <c r="D1305" s="26">
        <v>9.7645</v>
      </c>
      <c r="E1305" s="26">
        <v>1.4815</v>
      </c>
      <c r="F1305" s="18">
        <v>4.7300000000000004</v>
      </c>
      <c r="G1305" s="18">
        <v>-1.0643763213530653</v>
      </c>
      <c r="H1305" s="18">
        <v>0.68678646934460885</v>
      </c>
      <c r="I1305" s="18">
        <v>-1.7511627906976741</v>
      </c>
    </row>
    <row r="1306" spans="1:9" x14ac:dyDescent="0.25">
      <c r="A1306" s="2">
        <v>43364</v>
      </c>
      <c r="B1306" s="4" t="s">
        <v>296</v>
      </c>
      <c r="C1306" s="3">
        <v>1028</v>
      </c>
      <c r="D1306" s="26">
        <v>1.9202999999999999</v>
      </c>
      <c r="E1306" s="26">
        <v>2.3331</v>
      </c>
      <c r="F1306" s="18">
        <v>5.5810000000000004</v>
      </c>
      <c r="G1306" s="18">
        <v>0.65592187779967748</v>
      </c>
      <c r="H1306" s="18">
        <v>0.58195663859523383</v>
      </c>
      <c r="I1306" s="18">
        <v>7.3965239204443645E-2</v>
      </c>
    </row>
    <row r="1307" spans="1:9" x14ac:dyDescent="0.25">
      <c r="A1307" s="2">
        <v>43364</v>
      </c>
      <c r="B1307" s="4" t="s">
        <v>347</v>
      </c>
      <c r="C1307" s="3">
        <v>9024</v>
      </c>
      <c r="D1307" s="26">
        <v>7.7035999999999998</v>
      </c>
      <c r="E1307" s="26">
        <v>1.2744</v>
      </c>
      <c r="F1307" s="18"/>
      <c r="G1307" s="18" t="s">
        <v>524</v>
      </c>
      <c r="H1307" s="18" t="s">
        <v>524</v>
      </c>
      <c r="I1307" s="18"/>
    </row>
    <row r="1308" spans="1:9" x14ac:dyDescent="0.25">
      <c r="A1308" s="2">
        <v>43364</v>
      </c>
      <c r="B1308" s="4" t="s">
        <v>348</v>
      </c>
      <c r="C1308" s="3">
        <v>2040</v>
      </c>
      <c r="D1308" s="26">
        <v>7.3361999999999998</v>
      </c>
      <c r="E1308" s="26">
        <v>1.9428000000000001</v>
      </c>
      <c r="F1308" s="18"/>
      <c r="G1308" s="18" t="s">
        <v>524</v>
      </c>
      <c r="H1308" s="18" t="s">
        <v>524</v>
      </c>
      <c r="I1308" s="18"/>
    </row>
    <row r="1309" spans="1:9" x14ac:dyDescent="0.25">
      <c r="A1309" s="2">
        <v>43364</v>
      </c>
      <c r="B1309" s="4" t="s">
        <v>478</v>
      </c>
      <c r="C1309" s="3">
        <v>13464</v>
      </c>
      <c r="D1309" s="26">
        <v>1.6109</v>
      </c>
      <c r="E1309" s="26">
        <v>1.3852</v>
      </c>
      <c r="F1309" s="18"/>
      <c r="G1309" s="18" t="s">
        <v>524</v>
      </c>
      <c r="H1309" s="18" t="s">
        <v>524</v>
      </c>
      <c r="I1309" s="18"/>
    </row>
    <row r="1310" spans="1:9" x14ac:dyDescent="0.25">
      <c r="A1310" s="2">
        <v>43364</v>
      </c>
      <c r="B1310" s="4" t="s">
        <v>479</v>
      </c>
      <c r="C1310" s="3">
        <v>13464</v>
      </c>
      <c r="D1310" s="26">
        <v>1.27</v>
      </c>
      <c r="E1310" s="26">
        <v>1.3966000000000001</v>
      </c>
      <c r="F1310" s="18"/>
      <c r="G1310" s="18" t="s">
        <v>524</v>
      </c>
      <c r="H1310" s="18" t="s">
        <v>524</v>
      </c>
      <c r="I1310" s="18"/>
    </row>
    <row r="1311" spans="1:9" x14ac:dyDescent="0.25">
      <c r="A1311" s="2">
        <v>43364</v>
      </c>
      <c r="B1311" s="4" t="s">
        <v>437</v>
      </c>
      <c r="C1311" s="3">
        <v>26928</v>
      </c>
      <c r="D1311" s="26">
        <v>1.44045</v>
      </c>
      <c r="E1311" s="26">
        <v>1.3909</v>
      </c>
      <c r="F1311" s="18"/>
      <c r="G1311" s="18" t="s">
        <v>524</v>
      </c>
      <c r="H1311" s="18" t="s">
        <v>524</v>
      </c>
      <c r="I1311" s="18"/>
    </row>
    <row r="1312" spans="1:9" x14ac:dyDescent="0.25">
      <c r="A1312" s="2">
        <v>43364</v>
      </c>
      <c r="B1312" s="4" t="s">
        <v>514</v>
      </c>
      <c r="C1312" s="3">
        <v>6270</v>
      </c>
      <c r="D1312" s="26">
        <v>1.895</v>
      </c>
      <c r="E1312" s="26">
        <v>2.1316999999999999</v>
      </c>
      <c r="F1312" s="18">
        <v>6.14</v>
      </c>
      <c r="G1312" s="18">
        <v>0.69136807817589563</v>
      </c>
      <c r="H1312" s="18">
        <v>0.65281758957654734</v>
      </c>
      <c r="I1312" s="18">
        <v>3.8550488599348287E-2</v>
      </c>
    </row>
    <row r="1313" spans="1:9" x14ac:dyDescent="0.25">
      <c r="A1313" s="2">
        <v>43365</v>
      </c>
      <c r="B1313" s="4" t="s">
        <v>306</v>
      </c>
      <c r="D1313" s="26">
        <v>0.2356</v>
      </c>
      <c r="E1313" s="26" t="s">
        <v>11</v>
      </c>
      <c r="F1313" s="18"/>
      <c r="G1313" s="18" t="s">
        <v>524</v>
      </c>
      <c r="H1313" s="18" t="s">
        <v>524</v>
      </c>
      <c r="I1313" s="18"/>
    </row>
    <row r="1314" spans="1:9" x14ac:dyDescent="0.25">
      <c r="A1314" s="2">
        <v>43365</v>
      </c>
      <c r="B1314" s="4" t="s">
        <v>316</v>
      </c>
      <c r="C1314" s="3">
        <v>1608</v>
      </c>
      <c r="D1314" s="26">
        <v>0.50590000000000002</v>
      </c>
      <c r="E1314" s="26" t="s">
        <v>11</v>
      </c>
      <c r="F1314" s="18"/>
      <c r="G1314" s="18" t="s">
        <v>524</v>
      </c>
      <c r="H1314" s="18" t="s">
        <v>524</v>
      </c>
      <c r="I1314" s="18"/>
    </row>
    <row r="1315" spans="1:9" x14ac:dyDescent="0.25">
      <c r="A1315" s="2">
        <v>43365</v>
      </c>
      <c r="B1315" s="4" t="s">
        <v>353</v>
      </c>
      <c r="C1315" s="3">
        <v>8118</v>
      </c>
      <c r="D1315" s="26">
        <v>7.3522999999999996</v>
      </c>
      <c r="E1315" s="26">
        <v>1.5757000000000001</v>
      </c>
      <c r="F1315" s="18"/>
      <c r="G1315" s="18" t="s">
        <v>524</v>
      </c>
      <c r="H1315" s="18" t="s">
        <v>524</v>
      </c>
      <c r="I1315" s="18"/>
    </row>
    <row r="1316" spans="1:9" x14ac:dyDescent="0.25">
      <c r="A1316" s="2">
        <v>43365</v>
      </c>
      <c r="B1316" s="4" t="s">
        <v>514</v>
      </c>
      <c r="C1316" s="3">
        <v>2766</v>
      </c>
      <c r="D1316" s="26">
        <v>1.895</v>
      </c>
      <c r="E1316" s="26">
        <v>0.93899999999999995</v>
      </c>
      <c r="F1316" s="18">
        <v>6.14</v>
      </c>
      <c r="G1316" s="18">
        <v>0.69136807817589563</v>
      </c>
      <c r="H1316" s="18">
        <v>0.84706840390879468</v>
      </c>
      <c r="I1316" s="18">
        <v>-0.15570032573289916</v>
      </c>
    </row>
    <row r="1317" spans="1:9" x14ac:dyDescent="0.25">
      <c r="A1317" s="2">
        <v>43367</v>
      </c>
      <c r="B1317" s="4" t="s">
        <v>237</v>
      </c>
      <c r="C1317" s="3">
        <v>726</v>
      </c>
      <c r="D1317" s="26">
        <v>7.1553000000000004</v>
      </c>
      <c r="E1317" s="26">
        <v>1.8126</v>
      </c>
      <c r="F1317" s="18"/>
      <c r="G1317" s="18" t="s">
        <v>524</v>
      </c>
      <c r="H1317" s="18" t="s">
        <v>524</v>
      </c>
      <c r="I1317" s="18"/>
    </row>
    <row r="1318" spans="1:9" x14ac:dyDescent="0.25">
      <c r="A1318" s="2">
        <v>43367</v>
      </c>
      <c r="B1318" s="4" t="s">
        <v>239</v>
      </c>
      <c r="C1318" s="3">
        <v>756</v>
      </c>
      <c r="D1318" s="26">
        <v>7.5350000000000001</v>
      </c>
      <c r="E1318" s="26">
        <v>1.9034</v>
      </c>
      <c r="F1318" s="18"/>
      <c r="G1318" s="18" t="s">
        <v>524</v>
      </c>
      <c r="H1318" s="18" t="s">
        <v>524</v>
      </c>
      <c r="I1318" s="18"/>
    </row>
    <row r="1319" spans="1:9" x14ac:dyDescent="0.25">
      <c r="A1319" s="2">
        <v>43367</v>
      </c>
      <c r="B1319" s="4" t="s">
        <v>240</v>
      </c>
      <c r="C1319" s="3">
        <v>1008</v>
      </c>
      <c r="D1319" s="26">
        <v>7.0436000000000005</v>
      </c>
      <c r="E1319" s="26">
        <v>2.0236999999999998</v>
      </c>
      <c r="F1319" s="18"/>
      <c r="G1319" s="18" t="s">
        <v>524</v>
      </c>
      <c r="H1319" s="18" t="s">
        <v>524</v>
      </c>
      <c r="I1319" s="18"/>
    </row>
    <row r="1320" spans="1:9" x14ac:dyDescent="0.25">
      <c r="A1320" s="2">
        <v>43367</v>
      </c>
      <c r="B1320" s="4" t="s">
        <v>243</v>
      </c>
      <c r="C1320" s="3">
        <v>522</v>
      </c>
      <c r="D1320" s="26">
        <v>9.5617000000000001</v>
      </c>
      <c r="E1320" s="26">
        <v>2.1815000000000002</v>
      </c>
      <c r="F1320" s="18">
        <v>4.7300000000000004</v>
      </c>
      <c r="G1320" s="18">
        <v>-1.0215010570824523</v>
      </c>
      <c r="H1320" s="18">
        <v>0.53879492600422829</v>
      </c>
      <c r="I1320" s="18">
        <v>-1.5602959830866805</v>
      </c>
    </row>
    <row r="1321" spans="1:9" x14ac:dyDescent="0.25">
      <c r="A1321" s="2">
        <v>43367</v>
      </c>
      <c r="B1321" s="4" t="s">
        <v>245</v>
      </c>
      <c r="C1321" s="3">
        <v>2142</v>
      </c>
      <c r="D1321" s="26">
        <v>7.0367999999999995</v>
      </c>
      <c r="E1321" s="26">
        <v>1.3805000000000001</v>
      </c>
      <c r="F1321" s="18"/>
      <c r="G1321" s="18" t="s">
        <v>524</v>
      </c>
      <c r="H1321" s="18" t="s">
        <v>524</v>
      </c>
      <c r="I1321" s="18"/>
    </row>
    <row r="1322" spans="1:9" x14ac:dyDescent="0.25">
      <c r="A1322" s="2">
        <v>43367</v>
      </c>
      <c r="B1322" s="4" t="s">
        <v>246</v>
      </c>
      <c r="C1322" s="3">
        <v>1746</v>
      </c>
      <c r="D1322" s="26">
        <v>7.3662999999999998</v>
      </c>
      <c r="E1322" s="26">
        <v>1.4066000000000001</v>
      </c>
      <c r="F1322" s="18"/>
      <c r="G1322" s="18" t="s">
        <v>524</v>
      </c>
      <c r="H1322" s="18" t="s">
        <v>524</v>
      </c>
      <c r="I1322" s="18"/>
    </row>
    <row r="1323" spans="1:9" x14ac:dyDescent="0.25">
      <c r="A1323" s="2">
        <v>43367</v>
      </c>
      <c r="B1323" s="4" t="s">
        <v>247</v>
      </c>
      <c r="C1323" s="3">
        <v>2658</v>
      </c>
      <c r="D1323" s="26">
        <v>7.4348999999999998</v>
      </c>
      <c r="E1323" s="26">
        <v>1.4814000000000001</v>
      </c>
      <c r="F1323" s="18"/>
      <c r="G1323" s="18" t="s">
        <v>524</v>
      </c>
      <c r="H1323" s="18" t="s">
        <v>524</v>
      </c>
      <c r="I1323" s="18"/>
    </row>
    <row r="1324" spans="1:9" x14ac:dyDescent="0.25">
      <c r="A1324" s="2">
        <v>43367</v>
      </c>
      <c r="B1324" s="4" t="s">
        <v>250</v>
      </c>
      <c r="C1324" s="3">
        <v>1012</v>
      </c>
      <c r="D1324" s="26">
        <v>7.2648000000000001</v>
      </c>
      <c r="E1324" s="26">
        <v>2.0773000000000001</v>
      </c>
      <c r="F1324" s="18"/>
      <c r="G1324" s="18" t="s">
        <v>524</v>
      </c>
      <c r="H1324" s="18" t="s">
        <v>524</v>
      </c>
      <c r="I1324" s="18"/>
    </row>
    <row r="1325" spans="1:9" x14ac:dyDescent="0.25">
      <c r="A1325" s="2">
        <v>43367</v>
      </c>
      <c r="B1325" s="4" t="s">
        <v>251</v>
      </c>
      <c r="C1325" s="3">
        <v>1444</v>
      </c>
      <c r="D1325" s="26">
        <v>7.3324999999999996</v>
      </c>
      <c r="E1325" s="26">
        <v>2.2343999999999999</v>
      </c>
      <c r="F1325" s="18"/>
      <c r="G1325" s="18" t="s">
        <v>524</v>
      </c>
      <c r="H1325" s="18" t="s">
        <v>524</v>
      </c>
      <c r="I1325" s="18"/>
    </row>
    <row r="1326" spans="1:9" x14ac:dyDescent="0.25">
      <c r="A1326" s="2">
        <v>43367</v>
      </c>
      <c r="B1326" s="4" t="s">
        <v>258</v>
      </c>
      <c r="C1326" s="3">
        <v>908</v>
      </c>
      <c r="D1326" s="26">
        <v>9.2723000000000013</v>
      </c>
      <c r="E1326" s="26">
        <v>2.431</v>
      </c>
      <c r="F1326" s="18"/>
      <c r="G1326" s="18" t="s">
        <v>524</v>
      </c>
      <c r="H1326" s="18" t="s">
        <v>524</v>
      </c>
      <c r="I1326" s="18"/>
    </row>
    <row r="1327" spans="1:9" x14ac:dyDescent="0.25">
      <c r="A1327" s="2">
        <v>43367</v>
      </c>
      <c r="B1327" s="4" t="s">
        <v>259</v>
      </c>
      <c r="C1327" s="3">
        <v>804</v>
      </c>
      <c r="D1327" s="26">
        <v>9.8178000000000001</v>
      </c>
      <c r="E1327" s="26">
        <v>1.7230000000000001</v>
      </c>
      <c r="F1327" s="18"/>
      <c r="G1327" s="18" t="s">
        <v>524</v>
      </c>
      <c r="H1327" s="18" t="s">
        <v>524</v>
      </c>
      <c r="I1327" s="18"/>
    </row>
    <row r="1328" spans="1:9" x14ac:dyDescent="0.25">
      <c r="A1328" s="2">
        <v>43367</v>
      </c>
      <c r="B1328" s="4" t="s">
        <v>393</v>
      </c>
      <c r="C1328" s="3">
        <v>556</v>
      </c>
      <c r="D1328" s="26">
        <v>3.8991500000000001</v>
      </c>
      <c r="E1328" s="26">
        <v>4.3224</v>
      </c>
      <c r="F1328" s="18"/>
      <c r="G1328" s="18" t="s">
        <v>524</v>
      </c>
      <c r="H1328" s="18" t="s">
        <v>524</v>
      </c>
      <c r="I1328" s="18"/>
    </row>
    <row r="1329" spans="1:9" x14ac:dyDescent="0.25">
      <c r="A1329" s="2">
        <v>43367</v>
      </c>
      <c r="B1329" s="4" t="s">
        <v>437</v>
      </c>
      <c r="C1329" s="3">
        <v>15858</v>
      </c>
      <c r="D1329" s="26">
        <v>1.44045</v>
      </c>
      <c r="E1329" s="26">
        <v>1.5061</v>
      </c>
      <c r="F1329" s="18"/>
      <c r="G1329" s="18" t="s">
        <v>524</v>
      </c>
      <c r="H1329" s="18" t="s">
        <v>524</v>
      </c>
      <c r="I1329" s="18"/>
    </row>
    <row r="1330" spans="1:9" x14ac:dyDescent="0.25">
      <c r="A1330" s="2">
        <v>43367</v>
      </c>
      <c r="B1330" s="4" t="s">
        <v>521</v>
      </c>
      <c r="C1330" s="3">
        <v>2268</v>
      </c>
      <c r="E1330" s="26">
        <v>1.5122</v>
      </c>
      <c r="F1330" s="18"/>
      <c r="G1330" s="18" t="s">
        <v>524</v>
      </c>
      <c r="H1330" s="18" t="s">
        <v>524</v>
      </c>
      <c r="I1330" s="18"/>
    </row>
    <row r="1331" spans="1:9" x14ac:dyDescent="0.25">
      <c r="A1331" s="2">
        <v>43367</v>
      </c>
      <c r="B1331" s="4" t="s">
        <v>522</v>
      </c>
      <c r="C1331" s="3">
        <v>4536</v>
      </c>
      <c r="E1331" s="26">
        <v>1.5122</v>
      </c>
      <c r="F1331" s="18"/>
      <c r="G1331" s="18" t="s">
        <v>524</v>
      </c>
      <c r="H1331" s="18" t="s">
        <v>524</v>
      </c>
      <c r="I1331" s="18"/>
    </row>
    <row r="1332" spans="1:9" x14ac:dyDescent="0.25">
      <c r="A1332" s="2">
        <v>43367</v>
      </c>
      <c r="B1332" s="4" t="s">
        <v>523</v>
      </c>
      <c r="C1332" s="3">
        <v>2070</v>
      </c>
      <c r="D1332" s="26">
        <v>3.0049000000000001</v>
      </c>
      <c r="E1332" s="26">
        <v>2.9437000000000002</v>
      </c>
      <c r="F1332" s="18">
        <v>8.6199999999999992</v>
      </c>
      <c r="G1332" s="18">
        <v>0.65140371229698368</v>
      </c>
      <c r="H1332" s="18">
        <v>0.65850348027842232</v>
      </c>
      <c r="I1332" s="18">
        <v>-7.0997679814386316E-3</v>
      </c>
    </row>
    <row r="1333" spans="1:9" x14ac:dyDescent="0.25">
      <c r="A1333" s="2">
        <v>43368</v>
      </c>
      <c r="B1333" s="4" t="s">
        <v>50</v>
      </c>
      <c r="C1333" s="3">
        <v>487</v>
      </c>
      <c r="E1333" s="26">
        <v>6.6191000000000004</v>
      </c>
      <c r="F1333" s="18">
        <v>19.635000000000002</v>
      </c>
      <c r="G1333" s="18" t="s">
        <v>524</v>
      </c>
      <c r="H1333" s="18">
        <v>0.66289279348102881</v>
      </c>
      <c r="I1333" s="18"/>
    </row>
    <row r="1334" spans="1:9" x14ac:dyDescent="0.25">
      <c r="A1334" s="2">
        <v>43368</v>
      </c>
      <c r="B1334" s="4" t="s">
        <v>516</v>
      </c>
      <c r="C1334" s="3">
        <v>4791</v>
      </c>
      <c r="E1334" s="26">
        <v>2.0739000000000001</v>
      </c>
      <c r="F1334" s="18"/>
      <c r="G1334" s="18" t="s">
        <v>524</v>
      </c>
      <c r="H1334" s="18" t="s">
        <v>524</v>
      </c>
      <c r="I1334" s="18"/>
    </row>
    <row r="1335" spans="1:9" x14ac:dyDescent="0.25">
      <c r="A1335" s="2">
        <v>43368</v>
      </c>
      <c r="B1335" s="4" t="s">
        <v>517</v>
      </c>
      <c r="C1335" s="3">
        <v>512</v>
      </c>
      <c r="E1335" s="26">
        <v>3.0409999999999999</v>
      </c>
      <c r="F1335" s="18"/>
      <c r="G1335" s="18" t="s">
        <v>524</v>
      </c>
      <c r="H1335" s="18" t="s">
        <v>524</v>
      </c>
      <c r="I1335" s="18"/>
    </row>
    <row r="1336" spans="1:9" x14ac:dyDescent="0.25">
      <c r="A1336" s="2">
        <v>43368</v>
      </c>
      <c r="B1336" s="4" t="s">
        <v>311</v>
      </c>
      <c r="C1336" s="3">
        <v>8298</v>
      </c>
      <c r="D1336" s="26">
        <v>1.4737</v>
      </c>
      <c r="E1336" s="26">
        <v>1.5457000000000001</v>
      </c>
      <c r="F1336" s="18">
        <v>4.1479999999999997</v>
      </c>
      <c r="G1336" s="18">
        <v>0.6447203471552555</v>
      </c>
      <c r="H1336" s="18">
        <v>0.6273625843780134</v>
      </c>
      <c r="I1336" s="18">
        <v>1.7357762777242103E-2</v>
      </c>
    </row>
    <row r="1337" spans="1:9" x14ac:dyDescent="0.25">
      <c r="A1337" s="2">
        <v>43368</v>
      </c>
      <c r="B1337" s="4" t="s">
        <v>316</v>
      </c>
      <c r="C1337" s="3">
        <v>1356</v>
      </c>
      <c r="D1337" s="26">
        <v>0.50590000000000002</v>
      </c>
      <c r="E1337" s="26">
        <v>0.61970000000000003</v>
      </c>
      <c r="F1337" s="18"/>
      <c r="G1337" s="18" t="s">
        <v>524</v>
      </c>
      <c r="H1337" s="18" t="s">
        <v>524</v>
      </c>
      <c r="I1337" s="18"/>
    </row>
    <row r="1338" spans="1:9" x14ac:dyDescent="0.25">
      <c r="A1338" s="2">
        <v>43368</v>
      </c>
      <c r="B1338" s="4" t="s">
        <v>370</v>
      </c>
      <c r="C1338" s="3">
        <v>5724</v>
      </c>
      <c r="D1338" s="26">
        <v>6.9975000000000005</v>
      </c>
      <c r="E1338" s="26">
        <v>1.3438000000000001</v>
      </c>
      <c r="F1338" s="18"/>
      <c r="G1338" s="18" t="s">
        <v>524</v>
      </c>
      <c r="H1338" s="18" t="s">
        <v>524</v>
      </c>
      <c r="I1338" s="18"/>
    </row>
    <row r="1339" spans="1:9" x14ac:dyDescent="0.25">
      <c r="A1339" s="2">
        <v>43368</v>
      </c>
      <c r="B1339" s="4" t="s">
        <v>371</v>
      </c>
      <c r="C1339" s="3">
        <v>1516</v>
      </c>
      <c r="D1339" s="26">
        <v>6.4636000000000005</v>
      </c>
      <c r="E1339" s="26">
        <v>1.8614999999999999</v>
      </c>
      <c r="F1339" s="18">
        <v>9.6210000000000004</v>
      </c>
      <c r="G1339" s="18">
        <v>0.32817794408065687</v>
      </c>
      <c r="H1339" s="18">
        <v>0.80651699407545996</v>
      </c>
      <c r="I1339" s="18">
        <v>-0.47833904999480314</v>
      </c>
    </row>
    <row r="1340" spans="1:9" x14ac:dyDescent="0.25">
      <c r="A1340" s="2">
        <v>43369</v>
      </c>
      <c r="B1340" s="4" t="s">
        <v>29</v>
      </c>
      <c r="C1340" s="3">
        <v>4176</v>
      </c>
      <c r="D1340" s="26">
        <v>2.4039999999999999</v>
      </c>
      <c r="E1340" s="26">
        <v>1.5651999999999999</v>
      </c>
      <c r="F1340" s="18">
        <v>3.61</v>
      </c>
      <c r="G1340" s="18">
        <v>0.33407202216066484</v>
      </c>
      <c r="H1340" s="18">
        <v>0.56642659279778396</v>
      </c>
      <c r="I1340" s="18">
        <v>-0.23235457063711912</v>
      </c>
    </row>
    <row r="1341" spans="1:9" x14ac:dyDescent="0.25">
      <c r="A1341" s="2">
        <v>43369</v>
      </c>
      <c r="B1341" s="4" t="s">
        <v>30</v>
      </c>
      <c r="C1341" s="3">
        <v>1050</v>
      </c>
      <c r="D1341" s="26">
        <v>4.149</v>
      </c>
      <c r="E1341" s="26">
        <v>4.7952000000000004</v>
      </c>
      <c r="F1341" s="18">
        <v>9.3439999999999994</v>
      </c>
      <c r="G1341" s="18">
        <v>0.55597174657534243</v>
      </c>
      <c r="H1341" s="18">
        <v>0.48681506849315054</v>
      </c>
      <c r="I1341" s="18">
        <v>6.9156678082191836E-2</v>
      </c>
    </row>
    <row r="1342" spans="1:9" x14ac:dyDescent="0.25">
      <c r="A1342" s="2">
        <v>43369</v>
      </c>
      <c r="B1342" s="4" t="s">
        <v>285</v>
      </c>
      <c r="C1342" s="3">
        <v>6012</v>
      </c>
      <c r="D1342" s="26">
        <v>8.0473999999999997</v>
      </c>
      <c r="E1342" s="26">
        <v>0.70540000000000003</v>
      </c>
      <c r="F1342" s="18">
        <v>2.7</v>
      </c>
      <c r="G1342" s="18">
        <v>-1.9805185185185179</v>
      </c>
      <c r="H1342" s="18">
        <v>0.7387407407407407</v>
      </c>
      <c r="I1342" s="18">
        <v>-2.7192592592592586</v>
      </c>
    </row>
    <row r="1343" spans="1:9" x14ac:dyDescent="0.25">
      <c r="A1343" s="2">
        <v>43369</v>
      </c>
      <c r="B1343" s="4" t="s">
        <v>288</v>
      </c>
      <c r="C1343" s="3">
        <v>2240</v>
      </c>
      <c r="D1343" s="26">
        <v>9.2519000000000009</v>
      </c>
      <c r="E1343" s="26">
        <v>0.34870000000000001</v>
      </c>
      <c r="F1343" s="18">
        <v>36.049999999999997</v>
      </c>
      <c r="G1343" s="18">
        <v>0.74335922330097093</v>
      </c>
      <c r="H1343" s="18">
        <v>0.99032732316227456</v>
      </c>
      <c r="I1343" s="18">
        <v>-0.24696809986130364</v>
      </c>
    </row>
    <row r="1344" spans="1:9" x14ac:dyDescent="0.25">
      <c r="A1344" s="2">
        <v>43369</v>
      </c>
      <c r="B1344" s="4" t="s">
        <v>289</v>
      </c>
      <c r="C1344" s="3">
        <v>2996</v>
      </c>
      <c r="D1344" s="26">
        <v>9.4438999999999993</v>
      </c>
      <c r="E1344" s="26">
        <v>0.38219999999999998</v>
      </c>
      <c r="F1344" s="18"/>
      <c r="G1344" s="18" t="s">
        <v>524</v>
      </c>
      <c r="H1344" s="18" t="s">
        <v>524</v>
      </c>
      <c r="I1344" s="18"/>
    </row>
    <row r="1345" spans="1:9" x14ac:dyDescent="0.25">
      <c r="A1345" s="2">
        <v>43369</v>
      </c>
      <c r="B1345" s="4" t="s">
        <v>311</v>
      </c>
      <c r="C1345" s="3">
        <v>7968</v>
      </c>
      <c r="D1345" s="26">
        <v>1.4737</v>
      </c>
      <c r="E1345" s="26">
        <v>1.7115</v>
      </c>
      <c r="F1345" s="18">
        <v>4.1479999999999997</v>
      </c>
      <c r="G1345" s="18">
        <v>0.6447203471552555</v>
      </c>
      <c r="H1345" s="18">
        <v>0.58739151398264222</v>
      </c>
      <c r="I1345" s="18">
        <v>5.732883317261328E-2</v>
      </c>
    </row>
    <row r="1346" spans="1:9" x14ac:dyDescent="0.25">
      <c r="A1346" s="2">
        <v>43369</v>
      </c>
      <c r="B1346" s="4" t="s">
        <v>353</v>
      </c>
      <c r="C1346" s="3">
        <v>4032</v>
      </c>
      <c r="D1346" s="26">
        <v>7.3522999999999996</v>
      </c>
      <c r="E1346" s="26">
        <v>1.0792999999999999</v>
      </c>
      <c r="F1346" s="18"/>
      <c r="G1346" s="18" t="s">
        <v>524</v>
      </c>
      <c r="H1346" s="18" t="s">
        <v>524</v>
      </c>
      <c r="I1346" s="18"/>
    </row>
    <row r="1347" spans="1:9" x14ac:dyDescent="0.25">
      <c r="A1347" s="2">
        <v>43369</v>
      </c>
      <c r="B1347" s="4" t="s">
        <v>354</v>
      </c>
      <c r="C1347" s="3">
        <v>2644</v>
      </c>
      <c r="D1347" s="26">
        <v>6.9640000000000004</v>
      </c>
      <c r="E1347" s="26">
        <v>2.2132000000000001</v>
      </c>
      <c r="F1347" s="18"/>
      <c r="G1347" s="18" t="s">
        <v>524</v>
      </c>
      <c r="H1347" s="18" t="s">
        <v>524</v>
      </c>
      <c r="I1347" s="18"/>
    </row>
    <row r="1348" spans="1:9" x14ac:dyDescent="0.25">
      <c r="A1348" s="2">
        <v>43369</v>
      </c>
      <c r="B1348" s="4" t="s">
        <v>196</v>
      </c>
      <c r="C1348" s="3">
        <v>6006</v>
      </c>
      <c r="D1348" s="26">
        <v>1.3087833333333332</v>
      </c>
      <c r="E1348" s="26">
        <v>1.4180999999999999</v>
      </c>
      <c r="F1348" s="18">
        <v>3.2349999999999999</v>
      </c>
      <c r="G1348" s="18">
        <v>0.59543019062339009</v>
      </c>
      <c r="H1348" s="18">
        <v>0.5616383307573416</v>
      </c>
      <c r="I1348" s="18">
        <v>3.379185986604849E-2</v>
      </c>
    </row>
    <row r="1349" spans="1:9" x14ac:dyDescent="0.25">
      <c r="A1349" s="2">
        <v>43369</v>
      </c>
      <c r="B1349" s="4" t="s">
        <v>522</v>
      </c>
      <c r="C1349" s="3">
        <v>11340</v>
      </c>
      <c r="E1349" s="26">
        <v>1.4341999999999999</v>
      </c>
      <c r="F1349" s="18"/>
      <c r="G1349" s="18" t="s">
        <v>524</v>
      </c>
      <c r="H1349" s="18" t="s">
        <v>524</v>
      </c>
      <c r="I1349" s="18"/>
    </row>
    <row r="1350" spans="1:9" x14ac:dyDescent="0.25">
      <c r="A1350" s="2">
        <v>43369</v>
      </c>
      <c r="B1350" s="4" t="s">
        <v>219</v>
      </c>
      <c r="C1350" s="3">
        <v>7464</v>
      </c>
      <c r="E1350" s="26">
        <v>0.16980000000000001</v>
      </c>
      <c r="F1350" s="18">
        <v>7.0369999999999999</v>
      </c>
      <c r="G1350" s="18" t="s">
        <v>524</v>
      </c>
      <c r="H1350" s="18">
        <v>0.97587039931789121</v>
      </c>
      <c r="I1350" s="18"/>
    </row>
    <row r="1351" spans="1:9" x14ac:dyDescent="0.25">
      <c r="A1351" s="2">
        <v>43370</v>
      </c>
      <c r="B1351" s="4" t="s">
        <v>233</v>
      </c>
      <c r="C1351" s="3">
        <v>500</v>
      </c>
      <c r="E1351" s="26">
        <v>1.4599</v>
      </c>
      <c r="F1351" s="18"/>
      <c r="G1351" s="18" t="s">
        <v>524</v>
      </c>
      <c r="H1351" s="18" t="s">
        <v>524</v>
      </c>
      <c r="I1351" s="18"/>
    </row>
    <row r="1352" spans="1:9" x14ac:dyDescent="0.25">
      <c r="A1352" s="2">
        <v>43370</v>
      </c>
      <c r="B1352" s="4" t="s">
        <v>32</v>
      </c>
      <c r="C1352" s="3">
        <v>105</v>
      </c>
      <c r="D1352" s="26">
        <v>3.8967999999999998</v>
      </c>
      <c r="E1352" s="26">
        <v>6.7712000000000003</v>
      </c>
      <c r="F1352" s="18">
        <v>11.55</v>
      </c>
      <c r="G1352" s="18">
        <v>0.66261471861471855</v>
      </c>
      <c r="H1352" s="18">
        <v>0.41374891774891775</v>
      </c>
      <c r="I1352" s="18">
        <v>0.24886580086580079</v>
      </c>
    </row>
    <row r="1353" spans="1:9" x14ac:dyDescent="0.25">
      <c r="A1353" s="2">
        <v>43370</v>
      </c>
      <c r="B1353" s="4" t="s">
        <v>50</v>
      </c>
      <c r="C1353" s="3">
        <v>121</v>
      </c>
      <c r="E1353" s="26">
        <v>7.0974000000000004</v>
      </c>
      <c r="F1353" s="18">
        <v>19.635000000000002</v>
      </c>
      <c r="G1353" s="18" t="s">
        <v>524</v>
      </c>
      <c r="H1353" s="18">
        <v>0.63853323147440799</v>
      </c>
      <c r="I1353" s="18"/>
    </row>
    <row r="1354" spans="1:9" x14ac:dyDescent="0.25">
      <c r="A1354" s="2">
        <v>43370</v>
      </c>
      <c r="B1354" s="4" t="s">
        <v>516</v>
      </c>
      <c r="C1354" s="3">
        <v>242</v>
      </c>
      <c r="E1354" s="26">
        <v>2.4196</v>
      </c>
      <c r="F1354" s="18"/>
      <c r="G1354" s="18" t="s">
        <v>524</v>
      </c>
      <c r="H1354" s="18" t="s">
        <v>524</v>
      </c>
      <c r="I1354" s="18"/>
    </row>
    <row r="1355" spans="1:9" x14ac:dyDescent="0.25">
      <c r="A1355" s="2">
        <v>43370</v>
      </c>
      <c r="B1355" s="4" t="s">
        <v>239</v>
      </c>
      <c r="C1355" s="3">
        <v>726</v>
      </c>
      <c r="D1355" s="26">
        <v>7.5350000000000001</v>
      </c>
      <c r="E1355" s="26">
        <v>1.9520999999999999</v>
      </c>
      <c r="F1355" s="18"/>
      <c r="G1355" s="18" t="s">
        <v>524</v>
      </c>
      <c r="H1355" s="18" t="s">
        <v>524</v>
      </c>
      <c r="I1355" s="18"/>
    </row>
    <row r="1356" spans="1:9" x14ac:dyDescent="0.25">
      <c r="A1356" s="2">
        <v>43370</v>
      </c>
      <c r="B1356" s="4" t="s">
        <v>241</v>
      </c>
      <c r="C1356" s="3">
        <v>1290</v>
      </c>
      <c r="D1356" s="26">
        <v>9.1749000000000009</v>
      </c>
      <c r="E1356" s="26">
        <v>1.6112</v>
      </c>
      <c r="F1356" s="18">
        <v>4.7300000000000004</v>
      </c>
      <c r="G1356" s="18">
        <v>-0.93972515856236805</v>
      </c>
      <c r="H1356" s="18">
        <v>0.65936575052854118</v>
      </c>
      <c r="I1356" s="18">
        <v>-1.5990909090909091</v>
      </c>
    </row>
    <row r="1357" spans="1:9" x14ac:dyDescent="0.25">
      <c r="A1357" s="2">
        <v>43370</v>
      </c>
      <c r="B1357" s="4" t="s">
        <v>243</v>
      </c>
      <c r="C1357" s="3">
        <v>516</v>
      </c>
      <c r="D1357" s="26">
        <v>9.5617000000000001</v>
      </c>
      <c r="E1357" s="26">
        <v>2.5259999999999998</v>
      </c>
      <c r="F1357" s="18">
        <v>4.7300000000000004</v>
      </c>
      <c r="G1357" s="18">
        <v>-1.0215010570824523</v>
      </c>
      <c r="H1357" s="18">
        <v>0.46596194503171257</v>
      </c>
      <c r="I1357" s="18">
        <v>-1.4874630021141648</v>
      </c>
    </row>
    <row r="1358" spans="1:9" x14ac:dyDescent="0.25">
      <c r="A1358" s="2">
        <v>43370</v>
      </c>
      <c r="B1358" s="4" t="s">
        <v>245</v>
      </c>
      <c r="C1358" s="3">
        <v>2142</v>
      </c>
      <c r="D1358" s="26">
        <v>7.0367999999999995</v>
      </c>
      <c r="E1358" s="26">
        <v>1.2927999999999999</v>
      </c>
      <c r="F1358" s="18"/>
      <c r="G1358" s="18" t="s">
        <v>524</v>
      </c>
      <c r="H1358" s="18" t="s">
        <v>524</v>
      </c>
      <c r="I1358" s="18"/>
    </row>
    <row r="1359" spans="1:9" x14ac:dyDescent="0.25">
      <c r="A1359" s="2">
        <v>43370</v>
      </c>
      <c r="B1359" s="4" t="s">
        <v>248</v>
      </c>
      <c r="C1359" s="3">
        <v>1848</v>
      </c>
      <c r="D1359" s="26">
        <v>7.1338999999999997</v>
      </c>
      <c r="E1359" s="26">
        <v>1.1954</v>
      </c>
      <c r="F1359" s="18"/>
      <c r="G1359" s="18" t="s">
        <v>524</v>
      </c>
      <c r="H1359" s="18" t="s">
        <v>524</v>
      </c>
      <c r="I1359" s="18"/>
    </row>
    <row r="1360" spans="1:9" x14ac:dyDescent="0.25">
      <c r="A1360" s="2">
        <v>43370</v>
      </c>
      <c r="B1360" s="4" t="s">
        <v>249</v>
      </c>
      <c r="C1360" s="3">
        <v>1044</v>
      </c>
      <c r="D1360" s="26">
        <v>6.9104999999999999</v>
      </c>
      <c r="E1360" s="26">
        <v>1.9017999999999999</v>
      </c>
      <c r="F1360" s="18"/>
      <c r="G1360" s="18" t="s">
        <v>524</v>
      </c>
      <c r="H1360" s="18" t="s">
        <v>524</v>
      </c>
      <c r="I1360" s="18"/>
    </row>
    <row r="1361" spans="1:9" x14ac:dyDescent="0.25">
      <c r="A1361" s="2">
        <v>43370</v>
      </c>
      <c r="B1361" s="4" t="s">
        <v>252</v>
      </c>
      <c r="C1361" s="3">
        <v>640</v>
      </c>
      <c r="D1361" s="26">
        <v>7.0122</v>
      </c>
      <c r="E1361" s="26">
        <v>2.1890999999999998</v>
      </c>
      <c r="F1361" s="18"/>
      <c r="G1361" s="18" t="s">
        <v>524</v>
      </c>
      <c r="H1361" s="18" t="s">
        <v>524</v>
      </c>
      <c r="I1361" s="18"/>
    </row>
    <row r="1362" spans="1:9" x14ac:dyDescent="0.25">
      <c r="A1362" s="2">
        <v>43370</v>
      </c>
      <c r="B1362" s="4" t="s">
        <v>286</v>
      </c>
      <c r="C1362" s="3">
        <v>6288</v>
      </c>
      <c r="D1362" s="26">
        <v>8.2125000000000004</v>
      </c>
      <c r="E1362" s="26">
        <v>0.78720000000000001</v>
      </c>
      <c r="F1362" s="18">
        <v>2.7</v>
      </c>
      <c r="G1362" s="18">
        <v>-2.0416666666666665</v>
      </c>
      <c r="H1362" s="18">
        <v>0.70844444444444454</v>
      </c>
      <c r="I1362" s="18">
        <v>-2.750111111111111</v>
      </c>
    </row>
    <row r="1363" spans="1:9" x14ac:dyDescent="0.25">
      <c r="A1363" s="2">
        <v>43370</v>
      </c>
      <c r="B1363" s="4" t="s">
        <v>313</v>
      </c>
      <c r="C1363" s="3">
        <v>1620</v>
      </c>
      <c r="D1363" s="26">
        <v>1.6460999999999999</v>
      </c>
      <c r="E1363" s="26">
        <v>1.4076</v>
      </c>
      <c r="F1363" s="18"/>
      <c r="G1363" s="18" t="s">
        <v>524</v>
      </c>
      <c r="H1363" s="18" t="s">
        <v>524</v>
      </c>
      <c r="I1363" s="18"/>
    </row>
    <row r="1364" spans="1:9" x14ac:dyDescent="0.25">
      <c r="A1364" s="2">
        <v>43370</v>
      </c>
      <c r="B1364" s="4" t="s">
        <v>369</v>
      </c>
      <c r="C1364" s="3">
        <v>2052</v>
      </c>
      <c r="D1364" s="26">
        <v>7.0947000000000005</v>
      </c>
      <c r="E1364" s="26">
        <v>2.0042</v>
      </c>
      <c r="F1364" s="18"/>
      <c r="G1364" s="18" t="s">
        <v>524</v>
      </c>
      <c r="H1364" s="18" t="s">
        <v>524</v>
      </c>
      <c r="I1364" s="18"/>
    </row>
    <row r="1365" spans="1:9" x14ac:dyDescent="0.25">
      <c r="A1365" s="2">
        <v>43370</v>
      </c>
      <c r="B1365" s="4" t="s">
        <v>196</v>
      </c>
      <c r="C1365" s="3">
        <v>14700</v>
      </c>
      <c r="D1365" s="26">
        <v>1.3087833333333332</v>
      </c>
      <c r="E1365" s="26">
        <v>1.3627</v>
      </c>
      <c r="F1365" s="18">
        <v>3.2349999999999999</v>
      </c>
      <c r="G1365" s="18">
        <v>0.59543019062339009</v>
      </c>
      <c r="H1365" s="18">
        <v>0.57876352395672337</v>
      </c>
      <c r="I1365" s="18">
        <v>1.6666666666666718E-2</v>
      </c>
    </row>
    <row r="1366" spans="1:9" x14ac:dyDescent="0.25">
      <c r="A1366" s="2">
        <v>43371</v>
      </c>
      <c r="B1366" s="4" t="s">
        <v>516</v>
      </c>
      <c r="C1366" s="3">
        <v>228</v>
      </c>
      <c r="E1366" s="26">
        <v>2.1703000000000001</v>
      </c>
      <c r="F1366" s="18"/>
      <c r="G1366" s="18" t="s">
        <v>524</v>
      </c>
      <c r="H1366" s="18" t="s">
        <v>524</v>
      </c>
      <c r="I1366" s="18"/>
    </row>
    <row r="1367" spans="1:9" x14ac:dyDescent="0.25">
      <c r="A1367" s="2">
        <v>43371</v>
      </c>
      <c r="B1367" s="4" t="s">
        <v>519</v>
      </c>
      <c r="C1367" s="3">
        <v>8082</v>
      </c>
      <c r="E1367" s="26">
        <v>2.7450999999999999</v>
      </c>
      <c r="F1367" s="18"/>
      <c r="G1367" s="18" t="s">
        <v>524</v>
      </c>
      <c r="H1367" s="18" t="s">
        <v>524</v>
      </c>
      <c r="I1367" s="18"/>
    </row>
    <row r="1368" spans="1:9" x14ac:dyDescent="0.25">
      <c r="A1368" s="2">
        <v>43371</v>
      </c>
      <c r="B1368" s="4" t="s">
        <v>307</v>
      </c>
      <c r="C1368" s="3">
        <v>16404</v>
      </c>
      <c r="D1368" s="26">
        <v>8.7162000000000006</v>
      </c>
      <c r="E1368" s="26">
        <v>1.6789000000000001</v>
      </c>
      <c r="F1368" s="18">
        <v>3.702</v>
      </c>
      <c r="G1368" s="18">
        <v>-1.3544570502431119</v>
      </c>
      <c r="H1368" s="18">
        <v>0.54648838465694216</v>
      </c>
      <c r="I1368" s="18">
        <v>-1.9009454349000541</v>
      </c>
    </row>
    <row r="1369" spans="1:9" x14ac:dyDescent="0.25">
      <c r="A1369" s="2">
        <v>43371</v>
      </c>
      <c r="B1369" s="4" t="s">
        <v>445</v>
      </c>
      <c r="C1369" s="3">
        <v>4032</v>
      </c>
      <c r="D1369" s="26">
        <v>2.0781500000000004</v>
      </c>
      <c r="E1369" s="26">
        <v>2.1431</v>
      </c>
      <c r="F1369" s="18"/>
      <c r="G1369" s="18" t="s">
        <v>524</v>
      </c>
      <c r="H1369" s="18" t="s">
        <v>524</v>
      </c>
      <c r="I1369" s="18"/>
    </row>
    <row r="1370" spans="1:9" x14ac:dyDescent="0.25">
      <c r="A1370" s="2">
        <v>43372</v>
      </c>
      <c r="B1370" s="4" t="s">
        <v>518</v>
      </c>
      <c r="C1370" s="3">
        <v>3816</v>
      </c>
      <c r="E1370" s="26">
        <v>2.339</v>
      </c>
      <c r="F1370" s="18"/>
      <c r="G1370" s="18" t="s">
        <v>524</v>
      </c>
      <c r="H1370" s="18" t="s">
        <v>524</v>
      </c>
      <c r="I1370" s="18"/>
    </row>
    <row r="1371" spans="1:9" x14ac:dyDescent="0.25">
      <c r="A1371" s="2">
        <v>43372</v>
      </c>
      <c r="B1371" s="4" t="s">
        <v>300</v>
      </c>
      <c r="C1371" s="3">
        <v>3136</v>
      </c>
      <c r="D1371" s="26">
        <v>1.6828000000000001</v>
      </c>
      <c r="E1371" s="26">
        <v>0.95069999999999999</v>
      </c>
      <c r="F1371" s="18"/>
      <c r="G1371" s="18" t="s">
        <v>524</v>
      </c>
      <c r="H1371" s="18" t="s">
        <v>524</v>
      </c>
      <c r="I1371" s="18"/>
    </row>
    <row r="1372" spans="1:9" x14ac:dyDescent="0.25">
      <c r="A1372" s="2">
        <v>43372</v>
      </c>
      <c r="B1372" s="4" t="s">
        <v>308</v>
      </c>
      <c r="C1372" s="3">
        <v>972</v>
      </c>
      <c r="D1372" s="26">
        <v>8.6633999999999993</v>
      </c>
      <c r="E1372" s="26" t="s">
        <v>11</v>
      </c>
      <c r="F1372" s="18"/>
      <c r="G1372" s="18" t="s">
        <v>524</v>
      </c>
      <c r="H1372" s="18" t="s">
        <v>524</v>
      </c>
      <c r="I1372" s="18"/>
    </row>
    <row r="1373" spans="1:9" x14ac:dyDescent="0.25">
      <c r="A1373" s="2">
        <v>43372</v>
      </c>
      <c r="B1373" s="4" t="s">
        <v>345</v>
      </c>
      <c r="C1373" s="3">
        <v>588</v>
      </c>
      <c r="D1373" s="26">
        <v>1.3222</v>
      </c>
      <c r="E1373" s="26">
        <v>0.8931</v>
      </c>
      <c r="F1373" s="18"/>
      <c r="G1373" s="18" t="s">
        <v>524</v>
      </c>
      <c r="H1373" s="18" t="s">
        <v>524</v>
      </c>
      <c r="I1373" s="18"/>
    </row>
    <row r="1374" spans="1:9" x14ac:dyDescent="0.25">
      <c r="A1374" s="2">
        <v>43372</v>
      </c>
      <c r="B1374" s="4" t="s">
        <v>445</v>
      </c>
      <c r="C1374" s="3">
        <v>4140</v>
      </c>
      <c r="D1374" s="26">
        <v>2.0781500000000004</v>
      </c>
      <c r="E1374" s="26">
        <v>2.1747999999999998</v>
      </c>
      <c r="F1374" s="18"/>
      <c r="G1374" s="18" t="s">
        <v>524</v>
      </c>
      <c r="H1374" s="18" t="s">
        <v>524</v>
      </c>
      <c r="I1374" s="18"/>
    </row>
    <row r="1375" spans="1:9" x14ac:dyDescent="0.25">
      <c r="B1375" s="4"/>
      <c r="F1375" s="18"/>
      <c r="G1375" s="18"/>
      <c r="H1375" s="18"/>
      <c r="I1375" s="18"/>
    </row>
    <row r="1376" spans="1:9" x14ac:dyDescent="0.25">
      <c r="B1376" s="4"/>
      <c r="F1376" s="18"/>
      <c r="G1376" s="18"/>
      <c r="H1376" s="18"/>
      <c r="I1376" s="18"/>
    </row>
    <row r="1377" spans="2:9" x14ac:dyDescent="0.25">
      <c r="B1377" s="4"/>
      <c r="F1377" s="18"/>
      <c r="G1377" s="18"/>
      <c r="H1377" s="18"/>
      <c r="I1377" s="18"/>
    </row>
    <row r="1378" spans="2:9" x14ac:dyDescent="0.25">
      <c r="B1378" s="4"/>
      <c r="F1378" s="18"/>
      <c r="G1378" s="18"/>
      <c r="H1378" s="18"/>
      <c r="I1378" s="18"/>
    </row>
    <row r="1379" spans="2:9" x14ac:dyDescent="0.25">
      <c r="B1379" s="4"/>
      <c r="F1379" s="18"/>
      <c r="G1379" s="18"/>
      <c r="H1379" s="18"/>
      <c r="I1379" s="18"/>
    </row>
    <row r="1380" spans="2:9" x14ac:dyDescent="0.25">
      <c r="B1380" s="4"/>
      <c r="F1380" s="18"/>
      <c r="G1380" s="18"/>
      <c r="H1380" s="18"/>
      <c r="I1380" s="18"/>
    </row>
    <row r="1381" spans="2:9" x14ac:dyDescent="0.25">
      <c r="B1381" s="4"/>
      <c r="F1381" s="18"/>
      <c r="G1381" s="18"/>
      <c r="H1381" s="18"/>
      <c r="I1381" s="18"/>
    </row>
    <row r="1382" spans="2:9" x14ac:dyDescent="0.25">
      <c r="B1382" s="4"/>
      <c r="F1382" s="18"/>
      <c r="G1382" s="18"/>
      <c r="H1382" s="18"/>
      <c r="I1382" s="18"/>
    </row>
    <row r="1383" spans="2:9" x14ac:dyDescent="0.25">
      <c r="B1383" s="4"/>
      <c r="F1383" s="18"/>
      <c r="G1383" s="18"/>
      <c r="H1383" s="18"/>
      <c r="I1383" s="18"/>
    </row>
    <row r="1384" spans="2:9" x14ac:dyDescent="0.25">
      <c r="B1384" s="4"/>
      <c r="F1384" s="18"/>
      <c r="G1384" s="18"/>
      <c r="H1384" s="18"/>
      <c r="I1384" s="18"/>
    </row>
    <row r="1385" spans="2:9" x14ac:dyDescent="0.25">
      <c r="B1385" s="4"/>
      <c r="F1385" s="18"/>
      <c r="G1385" s="18"/>
      <c r="H1385" s="18"/>
      <c r="I1385" s="18"/>
    </row>
    <row r="1386" spans="2:9" x14ac:dyDescent="0.25">
      <c r="B1386" s="4"/>
      <c r="F1386" s="18"/>
      <c r="G1386" s="18"/>
      <c r="H1386" s="18"/>
      <c r="I1386" s="18"/>
    </row>
    <row r="1387" spans="2:9" x14ac:dyDescent="0.25">
      <c r="B1387" s="4"/>
      <c r="F1387" s="18"/>
      <c r="G1387" s="18"/>
      <c r="H1387" s="18"/>
      <c r="I1387" s="18"/>
    </row>
    <row r="1388" spans="2:9" x14ac:dyDescent="0.25">
      <c r="B1388" s="4"/>
      <c r="F1388" s="18"/>
      <c r="G1388" s="18"/>
      <c r="H1388" s="18"/>
      <c r="I1388" s="18"/>
    </row>
    <row r="1389" spans="2:9" x14ac:dyDescent="0.25">
      <c r="B1389" s="4"/>
      <c r="F1389" s="18"/>
      <c r="G1389" s="18"/>
      <c r="H1389" s="18"/>
      <c r="I1389" s="18"/>
    </row>
    <row r="1390" spans="2:9" x14ac:dyDescent="0.25">
      <c r="B1390" s="4"/>
      <c r="F1390" s="18"/>
      <c r="G1390" s="18"/>
      <c r="H1390" s="18"/>
      <c r="I1390" s="18"/>
    </row>
    <row r="1391" spans="2:9" x14ac:dyDescent="0.25">
      <c r="B1391" s="4"/>
      <c r="F1391" s="18"/>
      <c r="G1391" s="18"/>
      <c r="H1391" s="18"/>
      <c r="I1391" s="18"/>
    </row>
    <row r="1392" spans="2:9" x14ac:dyDescent="0.25">
      <c r="B1392" s="4"/>
      <c r="F1392" s="18"/>
      <c r="G1392" s="18"/>
      <c r="H1392" s="18"/>
      <c r="I1392" s="18"/>
    </row>
    <row r="1393" spans="2:9" x14ac:dyDescent="0.25">
      <c r="B1393" s="4"/>
      <c r="F1393" s="18"/>
      <c r="G1393" s="18"/>
      <c r="H1393" s="18"/>
      <c r="I1393" s="18"/>
    </row>
    <row r="1394" spans="2:9" x14ac:dyDescent="0.25">
      <c r="B1394" s="4"/>
      <c r="F1394" s="18"/>
      <c r="G1394" s="18"/>
      <c r="H1394" s="18"/>
      <c r="I1394" s="18"/>
    </row>
    <row r="1395" spans="2:9" x14ac:dyDescent="0.25">
      <c r="B1395" s="4"/>
      <c r="F1395" s="18"/>
      <c r="G1395" s="18"/>
      <c r="H1395" s="18"/>
      <c r="I1395" s="18"/>
    </row>
    <row r="1396" spans="2:9" x14ac:dyDescent="0.25">
      <c r="B1396" s="4"/>
      <c r="F1396" s="18"/>
      <c r="G1396" s="18"/>
      <c r="H1396" s="18"/>
      <c r="I1396" s="18"/>
    </row>
    <row r="1397" spans="2:9" x14ac:dyDescent="0.25">
      <c r="B1397" s="4"/>
      <c r="F1397" s="18"/>
      <c r="G1397" s="18"/>
      <c r="H1397" s="18"/>
      <c r="I1397" s="18"/>
    </row>
    <row r="1398" spans="2:9" x14ac:dyDescent="0.25">
      <c r="B1398" s="4"/>
      <c r="F1398" s="18"/>
      <c r="G1398" s="18"/>
      <c r="H1398" s="18"/>
      <c r="I1398" s="18"/>
    </row>
    <row r="1399" spans="2:9" x14ac:dyDescent="0.25">
      <c r="B1399" s="4"/>
      <c r="F1399" s="18"/>
      <c r="G1399" s="18"/>
      <c r="H1399" s="18"/>
      <c r="I1399" s="18"/>
    </row>
    <row r="1400" spans="2:9" x14ac:dyDescent="0.25">
      <c r="B1400" s="4"/>
      <c r="F1400" s="18"/>
      <c r="G1400" s="18"/>
      <c r="H1400" s="18"/>
      <c r="I1400" s="18"/>
    </row>
    <row r="1401" spans="2:9" x14ac:dyDescent="0.25">
      <c r="B1401" s="4"/>
      <c r="F1401" s="18"/>
      <c r="G1401" s="18"/>
      <c r="H1401" s="18"/>
      <c r="I1401" s="18"/>
    </row>
    <row r="1402" spans="2:9" x14ac:dyDescent="0.25">
      <c r="B1402" s="4"/>
      <c r="F1402" s="18"/>
      <c r="G1402" s="18"/>
      <c r="H1402" s="18"/>
      <c r="I1402" s="18"/>
    </row>
    <row r="1403" spans="2:9" x14ac:dyDescent="0.25">
      <c r="B1403" s="4"/>
      <c r="F1403" s="18"/>
      <c r="G1403" s="18"/>
      <c r="H1403" s="18"/>
      <c r="I1403" s="18"/>
    </row>
    <row r="1404" spans="2:9" x14ac:dyDescent="0.25">
      <c r="B1404" s="4"/>
      <c r="F1404" s="18"/>
      <c r="G1404" s="18"/>
      <c r="H1404" s="18"/>
      <c r="I1404" s="18"/>
    </row>
    <row r="1405" spans="2:9" x14ac:dyDescent="0.25">
      <c r="B1405" s="4"/>
      <c r="F1405" s="18"/>
      <c r="G1405" s="18"/>
      <c r="H1405" s="18"/>
      <c r="I1405" s="18"/>
    </row>
    <row r="1406" spans="2:9" x14ac:dyDescent="0.25">
      <c r="B1406" s="4"/>
      <c r="F1406" s="18"/>
      <c r="G1406" s="18"/>
      <c r="H1406" s="18"/>
      <c r="I1406" s="18"/>
    </row>
    <row r="1407" spans="2:9" x14ac:dyDescent="0.25">
      <c r="B1407" s="4"/>
      <c r="F1407" s="18"/>
      <c r="G1407" s="18"/>
      <c r="H1407" s="18"/>
      <c r="I1407" s="18"/>
    </row>
    <row r="1408" spans="2:9" x14ac:dyDescent="0.25">
      <c r="B1408" s="4"/>
      <c r="F1408" s="18"/>
      <c r="G1408" s="18"/>
      <c r="H1408" s="18"/>
      <c r="I1408" s="18"/>
    </row>
    <row r="1409" spans="2:9" x14ac:dyDescent="0.25">
      <c r="B1409" s="4"/>
      <c r="F1409" s="18"/>
      <c r="G1409" s="18"/>
      <c r="H1409" s="18"/>
      <c r="I1409" s="18"/>
    </row>
    <row r="1410" spans="2:9" x14ac:dyDescent="0.25">
      <c r="B1410" s="4"/>
      <c r="F1410" s="18"/>
      <c r="G1410" s="18"/>
      <c r="H1410" s="18"/>
      <c r="I1410" s="18"/>
    </row>
    <row r="1411" spans="2:9" x14ac:dyDescent="0.25">
      <c r="B1411" s="4"/>
      <c r="F1411" s="18"/>
      <c r="G1411" s="18"/>
      <c r="H1411" s="18"/>
      <c r="I1411" s="18"/>
    </row>
    <row r="1412" spans="2:9" x14ac:dyDescent="0.25">
      <c r="B1412" s="4"/>
      <c r="F1412" s="18"/>
      <c r="G1412" s="18"/>
      <c r="H1412" s="18"/>
      <c r="I1412" s="18"/>
    </row>
    <row r="1413" spans="2:9" x14ac:dyDescent="0.25">
      <c r="B1413" s="4"/>
      <c r="F1413" s="18"/>
      <c r="G1413" s="18"/>
      <c r="H1413" s="18"/>
      <c r="I1413" s="18"/>
    </row>
    <row r="1414" spans="2:9" x14ac:dyDescent="0.25">
      <c r="B1414" s="4"/>
      <c r="F1414" s="18"/>
      <c r="G1414" s="18"/>
      <c r="H1414" s="18"/>
      <c r="I1414" s="18"/>
    </row>
    <row r="1415" spans="2:9" x14ac:dyDescent="0.25">
      <c r="B1415" s="4"/>
      <c r="F1415" s="18"/>
      <c r="G1415" s="18"/>
      <c r="H1415" s="18"/>
      <c r="I1415" s="18"/>
    </row>
    <row r="1416" spans="2:9" x14ac:dyDescent="0.25">
      <c r="B1416" s="4"/>
      <c r="F1416" s="18"/>
      <c r="G1416" s="18"/>
      <c r="H1416" s="18"/>
      <c r="I1416" s="18"/>
    </row>
    <row r="1417" spans="2:9" x14ac:dyDescent="0.25">
      <c r="B1417" s="4"/>
      <c r="F1417" s="18"/>
      <c r="G1417" s="18"/>
      <c r="H1417" s="18"/>
      <c r="I1417" s="18"/>
    </row>
    <row r="1418" spans="2:9" x14ac:dyDescent="0.25">
      <c r="B1418" s="4"/>
      <c r="F1418" s="18"/>
      <c r="G1418" s="18"/>
      <c r="H1418" s="18"/>
      <c r="I1418" s="18"/>
    </row>
    <row r="1419" spans="2:9" x14ac:dyDescent="0.25">
      <c r="B1419" s="4"/>
      <c r="F1419" s="18"/>
      <c r="G1419" s="18"/>
      <c r="H1419" s="18"/>
      <c r="I1419" s="18"/>
    </row>
    <row r="1420" spans="2:9" x14ac:dyDescent="0.25">
      <c r="B1420" s="4"/>
      <c r="F1420" s="18"/>
      <c r="G1420" s="18"/>
      <c r="H1420" s="18"/>
      <c r="I1420" s="18"/>
    </row>
    <row r="1421" spans="2:9" x14ac:dyDescent="0.25">
      <c r="B1421" s="4"/>
      <c r="F1421" s="18"/>
      <c r="G1421" s="18"/>
      <c r="H1421" s="18"/>
      <c r="I1421" s="18"/>
    </row>
    <row r="1422" spans="2:9" x14ac:dyDescent="0.25">
      <c r="B1422" s="4"/>
      <c r="F1422" s="18"/>
      <c r="G1422" s="18"/>
      <c r="H1422" s="18"/>
      <c r="I1422" s="18"/>
    </row>
    <row r="1423" spans="2:9" x14ac:dyDescent="0.25">
      <c r="B1423" s="4"/>
      <c r="F1423" s="18"/>
      <c r="G1423" s="18"/>
      <c r="H1423" s="18"/>
      <c r="I1423" s="18"/>
    </row>
    <row r="1424" spans="2:9" x14ac:dyDescent="0.25">
      <c r="B1424" s="4"/>
      <c r="F1424" s="18"/>
      <c r="G1424" s="18"/>
      <c r="H1424" s="18"/>
      <c r="I1424" s="18"/>
    </row>
    <row r="1425" spans="2:9" x14ac:dyDescent="0.25">
      <c r="B1425" s="4"/>
      <c r="F1425" s="18"/>
      <c r="G1425" s="18"/>
      <c r="H1425" s="18"/>
      <c r="I1425" s="18"/>
    </row>
    <row r="1426" spans="2:9" x14ac:dyDescent="0.25">
      <c r="B1426" s="4"/>
      <c r="F1426" s="18"/>
      <c r="G1426" s="18"/>
      <c r="H1426" s="18"/>
      <c r="I1426" s="18"/>
    </row>
    <row r="1427" spans="2:9" x14ac:dyDescent="0.25">
      <c r="B1427" s="4"/>
      <c r="F1427" s="18"/>
      <c r="G1427" s="18"/>
      <c r="H1427" s="18"/>
      <c r="I1427" s="18"/>
    </row>
    <row r="1428" spans="2:9" x14ac:dyDescent="0.25">
      <c r="B1428" s="4"/>
      <c r="F1428" s="18"/>
      <c r="G1428" s="18"/>
      <c r="H1428" s="18"/>
      <c r="I1428" s="18"/>
    </row>
    <row r="1429" spans="2:9" x14ac:dyDescent="0.25">
      <c r="B1429" s="4"/>
      <c r="F1429" s="18"/>
      <c r="G1429" s="18"/>
      <c r="H1429" s="18"/>
      <c r="I1429" s="18"/>
    </row>
    <row r="1430" spans="2:9" x14ac:dyDescent="0.25">
      <c r="B1430" s="4"/>
      <c r="F1430" s="18"/>
      <c r="G1430" s="18"/>
      <c r="H1430" s="18"/>
      <c r="I1430" s="18"/>
    </row>
    <row r="1431" spans="2:9" x14ac:dyDescent="0.25">
      <c r="B1431" s="4"/>
      <c r="F1431" s="18"/>
      <c r="G1431" s="18"/>
      <c r="H1431" s="18"/>
      <c r="I1431" s="18"/>
    </row>
    <row r="1432" spans="2:9" x14ac:dyDescent="0.25">
      <c r="B1432" s="4"/>
      <c r="F1432" s="18"/>
      <c r="G1432" s="18"/>
      <c r="H1432" s="18"/>
      <c r="I1432" s="18"/>
    </row>
    <row r="1433" spans="2:9" x14ac:dyDescent="0.25">
      <c r="B1433" s="4"/>
      <c r="F1433" s="18"/>
      <c r="G1433" s="18"/>
      <c r="H1433" s="18"/>
      <c r="I1433" s="18"/>
    </row>
    <row r="1434" spans="2:9" x14ac:dyDescent="0.25">
      <c r="B1434" s="4"/>
      <c r="F1434" s="18"/>
      <c r="G1434" s="18"/>
      <c r="H1434" s="18"/>
      <c r="I1434" s="18"/>
    </row>
    <row r="1435" spans="2:9" x14ac:dyDescent="0.25">
      <c r="B1435" s="4"/>
      <c r="F1435" s="18"/>
      <c r="G1435" s="18"/>
      <c r="H1435" s="18"/>
      <c r="I1435" s="18"/>
    </row>
    <row r="1436" spans="2:9" x14ac:dyDescent="0.25">
      <c r="B1436" s="4"/>
      <c r="F1436" s="18"/>
      <c r="G1436" s="18"/>
      <c r="H1436" s="18"/>
      <c r="I1436" s="18"/>
    </row>
    <row r="1437" spans="2:9" x14ac:dyDescent="0.25">
      <c r="B1437" s="4"/>
      <c r="F1437" s="18"/>
      <c r="G1437" s="18"/>
      <c r="H1437" s="18"/>
      <c r="I1437" s="18"/>
    </row>
    <row r="1438" spans="2:9" x14ac:dyDescent="0.25">
      <c r="B1438" s="4"/>
      <c r="F1438" s="18"/>
      <c r="G1438" s="18"/>
      <c r="H1438" s="18"/>
      <c r="I1438" s="18"/>
    </row>
    <row r="1439" spans="2:9" x14ac:dyDescent="0.25">
      <c r="B1439" s="4"/>
      <c r="F1439" s="18"/>
      <c r="G1439" s="18"/>
      <c r="H1439" s="18"/>
      <c r="I1439" s="18"/>
    </row>
    <row r="1440" spans="2:9" x14ac:dyDescent="0.25">
      <c r="B1440" s="4"/>
      <c r="F1440" s="18"/>
      <c r="G1440" s="18"/>
      <c r="H1440" s="18"/>
      <c r="I1440" s="18"/>
    </row>
    <row r="1441" spans="2:9" x14ac:dyDescent="0.25">
      <c r="B1441" s="4"/>
      <c r="F1441" s="18"/>
      <c r="G1441" s="18"/>
      <c r="H1441" s="18"/>
      <c r="I1441" s="18"/>
    </row>
    <row r="1442" spans="2:9" x14ac:dyDescent="0.25">
      <c r="B1442" s="4"/>
      <c r="F1442" s="18"/>
      <c r="G1442" s="18"/>
      <c r="H1442" s="18"/>
      <c r="I1442" s="18"/>
    </row>
    <row r="1443" spans="2:9" x14ac:dyDescent="0.25">
      <c r="B1443" s="4"/>
      <c r="F1443" s="18"/>
      <c r="G1443" s="18"/>
      <c r="H1443" s="18"/>
      <c r="I1443" s="18"/>
    </row>
    <row r="1444" spans="2:9" x14ac:dyDescent="0.25">
      <c r="B1444" s="4"/>
      <c r="F1444" s="18"/>
      <c r="G1444" s="18"/>
      <c r="H1444" s="18"/>
      <c r="I1444" s="18"/>
    </row>
    <row r="1445" spans="2:9" x14ac:dyDescent="0.25">
      <c r="B1445" s="4"/>
      <c r="F1445" s="18"/>
      <c r="G1445" s="18"/>
      <c r="H1445" s="18"/>
      <c r="I1445" s="18"/>
    </row>
    <row r="1446" spans="2:9" x14ac:dyDescent="0.25">
      <c r="B1446" s="4"/>
      <c r="F1446" s="18"/>
      <c r="G1446" s="18"/>
      <c r="H1446" s="18"/>
      <c r="I1446" s="18"/>
    </row>
    <row r="1447" spans="2:9" x14ac:dyDescent="0.25">
      <c r="B1447" s="4"/>
      <c r="F1447" s="18"/>
      <c r="G1447" s="18"/>
      <c r="H1447" s="18"/>
      <c r="I1447" s="18"/>
    </row>
    <row r="1448" spans="2:9" x14ac:dyDescent="0.25">
      <c r="B1448" s="4"/>
      <c r="F1448" s="18"/>
      <c r="G1448" s="18"/>
      <c r="H1448" s="18"/>
      <c r="I1448" s="18"/>
    </row>
    <row r="1449" spans="2:9" x14ac:dyDescent="0.25">
      <c r="B1449" s="4"/>
      <c r="F1449" s="18"/>
      <c r="G1449" s="18"/>
      <c r="H1449" s="18"/>
      <c r="I1449" s="18"/>
    </row>
    <row r="1450" spans="2:9" x14ac:dyDescent="0.25">
      <c r="B1450" s="4"/>
      <c r="F1450" s="18"/>
      <c r="G1450" s="18"/>
      <c r="H1450" s="18"/>
      <c r="I1450" s="18"/>
    </row>
    <row r="1451" spans="2:9" x14ac:dyDescent="0.25">
      <c r="B1451" s="4"/>
      <c r="F1451" s="18"/>
      <c r="G1451" s="18"/>
      <c r="H1451" s="18"/>
      <c r="I1451" s="18"/>
    </row>
    <row r="1452" spans="2:9" x14ac:dyDescent="0.25">
      <c r="B1452" s="4"/>
      <c r="F1452" s="18"/>
      <c r="G1452" s="18"/>
      <c r="H1452" s="18"/>
      <c r="I1452" s="18"/>
    </row>
    <row r="1453" spans="2:9" x14ac:dyDescent="0.25">
      <c r="B1453" s="4"/>
      <c r="F1453" s="18"/>
      <c r="G1453" s="18"/>
      <c r="H1453" s="18"/>
      <c r="I1453" s="18"/>
    </row>
    <row r="1454" spans="2:9" x14ac:dyDescent="0.25">
      <c r="B1454" s="4"/>
      <c r="F1454" s="18"/>
      <c r="G1454" s="18"/>
      <c r="H1454" s="18"/>
      <c r="I1454" s="18"/>
    </row>
    <row r="1455" spans="2:9" x14ac:dyDescent="0.25">
      <c r="B1455" s="4"/>
      <c r="F1455" s="18"/>
      <c r="G1455" s="18"/>
      <c r="H1455" s="18"/>
      <c r="I1455" s="18"/>
    </row>
    <row r="1456" spans="2:9" x14ac:dyDescent="0.25">
      <c r="B1456" s="4"/>
      <c r="F1456" s="18"/>
      <c r="G1456" s="18"/>
      <c r="H1456" s="18"/>
      <c r="I1456" s="18"/>
    </row>
    <row r="1457" spans="2:9" x14ac:dyDescent="0.25">
      <c r="B1457" s="4"/>
      <c r="F1457" s="18"/>
      <c r="G1457" s="18"/>
      <c r="H1457" s="18"/>
      <c r="I1457" s="18"/>
    </row>
    <row r="1458" spans="2:9" x14ac:dyDescent="0.25">
      <c r="B1458" s="4"/>
      <c r="F1458" s="18"/>
      <c r="G1458" s="18"/>
      <c r="H1458" s="18"/>
      <c r="I1458" s="18"/>
    </row>
    <row r="1459" spans="2:9" x14ac:dyDescent="0.25">
      <c r="B1459" s="4"/>
      <c r="F1459" s="18"/>
      <c r="G1459" s="18"/>
      <c r="H1459" s="18"/>
      <c r="I1459" s="18"/>
    </row>
    <row r="1460" spans="2:9" x14ac:dyDescent="0.25">
      <c r="B1460" s="4"/>
      <c r="F1460" s="18"/>
      <c r="G1460" s="18"/>
      <c r="H1460" s="18"/>
      <c r="I1460" s="18"/>
    </row>
    <row r="1461" spans="2:9" x14ac:dyDescent="0.25">
      <c r="B1461" s="4"/>
      <c r="F1461" s="18"/>
      <c r="G1461" s="18"/>
      <c r="H1461" s="18"/>
      <c r="I1461" s="18"/>
    </row>
    <row r="1462" spans="2:9" x14ac:dyDescent="0.25">
      <c r="B1462" s="4"/>
      <c r="F1462" s="18"/>
      <c r="G1462" s="18"/>
      <c r="H1462" s="18"/>
      <c r="I1462" s="18"/>
    </row>
    <row r="1463" spans="2:9" x14ac:dyDescent="0.25">
      <c r="B1463" s="4"/>
      <c r="F1463" s="18"/>
      <c r="G1463" s="18"/>
      <c r="H1463" s="18"/>
      <c r="I1463" s="18"/>
    </row>
    <row r="1464" spans="2:9" x14ac:dyDescent="0.25">
      <c r="B1464" s="4"/>
      <c r="F1464" s="18"/>
      <c r="G1464" s="18"/>
      <c r="H1464" s="18"/>
      <c r="I1464" s="18"/>
    </row>
    <row r="1465" spans="2:9" x14ac:dyDescent="0.25">
      <c r="B1465" s="4"/>
      <c r="F1465" s="18"/>
      <c r="G1465" s="18"/>
      <c r="H1465" s="18"/>
      <c r="I1465" s="18"/>
    </row>
    <row r="1466" spans="2:9" x14ac:dyDescent="0.25">
      <c r="B1466" s="4"/>
      <c r="F1466" s="18"/>
      <c r="G1466" s="18"/>
      <c r="H1466" s="18"/>
      <c r="I1466" s="18"/>
    </row>
    <row r="1467" spans="2:9" x14ac:dyDescent="0.25">
      <c r="B1467" s="4"/>
      <c r="F1467" s="18"/>
      <c r="G1467" s="18"/>
      <c r="H1467" s="18"/>
      <c r="I1467" s="18"/>
    </row>
    <row r="1468" spans="2:9" x14ac:dyDescent="0.25">
      <c r="B1468" s="4"/>
      <c r="F1468" s="18"/>
      <c r="G1468" s="18"/>
      <c r="H1468" s="18"/>
      <c r="I1468" s="18"/>
    </row>
    <row r="1469" spans="2:9" x14ac:dyDescent="0.25">
      <c r="B1469" s="4"/>
      <c r="F1469" s="18"/>
      <c r="G1469" s="18"/>
      <c r="H1469" s="18"/>
      <c r="I1469" s="18"/>
    </row>
    <row r="1470" spans="2:9" x14ac:dyDescent="0.25">
      <c r="B1470" s="4"/>
      <c r="F1470" s="18"/>
      <c r="G1470" s="18"/>
      <c r="H1470" s="18"/>
      <c r="I1470" s="18"/>
    </row>
    <row r="1471" spans="2:9" x14ac:dyDescent="0.25">
      <c r="B1471" s="4"/>
      <c r="F1471" s="18"/>
      <c r="G1471" s="18"/>
      <c r="H1471" s="18"/>
      <c r="I1471" s="18"/>
    </row>
    <row r="1472" spans="2:9" x14ac:dyDescent="0.25">
      <c r="B1472" s="4"/>
      <c r="F1472" s="18"/>
      <c r="G1472" s="18"/>
      <c r="H1472" s="18"/>
      <c r="I1472" s="18"/>
    </row>
    <row r="1473" spans="2:9" x14ac:dyDescent="0.25">
      <c r="B1473" s="4"/>
      <c r="F1473" s="18"/>
      <c r="G1473" s="18"/>
      <c r="H1473" s="18"/>
      <c r="I1473" s="18"/>
    </row>
    <row r="1474" spans="2:9" x14ac:dyDescent="0.25">
      <c r="B1474" s="4"/>
      <c r="F1474" s="18"/>
      <c r="G1474" s="18"/>
      <c r="H1474" s="18"/>
      <c r="I1474" s="18"/>
    </row>
    <row r="1475" spans="2:9" x14ac:dyDescent="0.25">
      <c r="B1475" s="4"/>
      <c r="F1475" s="18"/>
      <c r="G1475" s="18"/>
      <c r="H1475" s="18"/>
      <c r="I1475" s="18"/>
    </row>
    <row r="1476" spans="2:9" x14ac:dyDescent="0.25">
      <c r="B1476" s="4"/>
      <c r="F1476" s="18"/>
      <c r="G1476" s="18"/>
      <c r="H1476" s="18"/>
      <c r="I1476" s="18"/>
    </row>
    <row r="1477" spans="2:9" x14ac:dyDescent="0.25">
      <c r="B1477" s="4"/>
      <c r="F1477" s="18"/>
      <c r="G1477" s="18"/>
      <c r="H1477" s="18"/>
      <c r="I1477" s="18"/>
    </row>
    <row r="1478" spans="2:9" x14ac:dyDescent="0.25">
      <c r="B1478" s="4"/>
      <c r="F1478" s="18"/>
      <c r="G1478" s="18"/>
      <c r="H1478" s="18"/>
      <c r="I1478" s="18"/>
    </row>
    <row r="1479" spans="2:9" x14ac:dyDescent="0.25">
      <c r="B1479" s="4"/>
      <c r="F1479" s="18"/>
      <c r="G1479" s="18"/>
      <c r="H1479" s="18"/>
      <c r="I1479" s="18"/>
    </row>
    <row r="1480" spans="2:9" x14ac:dyDescent="0.25">
      <c r="B1480" s="4"/>
      <c r="F1480" s="18"/>
      <c r="G1480" s="18"/>
      <c r="H1480" s="18"/>
      <c r="I1480" s="18"/>
    </row>
    <row r="1481" spans="2:9" x14ac:dyDescent="0.25">
      <c r="B1481" s="4"/>
      <c r="F1481" s="18"/>
      <c r="G1481" s="18"/>
      <c r="H1481" s="18"/>
      <c r="I1481" s="18"/>
    </row>
    <row r="1482" spans="2:9" x14ac:dyDescent="0.25">
      <c r="B1482" s="4"/>
      <c r="F1482" s="18"/>
      <c r="G1482" s="18"/>
      <c r="H1482" s="18"/>
      <c r="I1482" s="18"/>
    </row>
    <row r="1483" spans="2:9" x14ac:dyDescent="0.25">
      <c r="B1483" s="4"/>
      <c r="F1483" s="18"/>
      <c r="G1483" s="18"/>
      <c r="H1483" s="18"/>
      <c r="I1483" s="18"/>
    </row>
    <row r="1484" spans="2:9" x14ac:dyDescent="0.25">
      <c r="B1484" s="4"/>
      <c r="F1484" s="18"/>
      <c r="G1484" s="18"/>
      <c r="H1484" s="18"/>
      <c r="I1484" s="18"/>
    </row>
    <row r="1485" spans="2:9" x14ac:dyDescent="0.25">
      <c r="B1485" s="4"/>
      <c r="F1485" s="18"/>
      <c r="G1485" s="18"/>
      <c r="H1485" s="18"/>
      <c r="I1485" s="18"/>
    </row>
    <row r="1486" spans="2:9" x14ac:dyDescent="0.25">
      <c r="B1486" s="4"/>
      <c r="F1486" s="18"/>
      <c r="G1486" s="18"/>
      <c r="H1486" s="18"/>
      <c r="I1486" s="18"/>
    </row>
    <row r="1487" spans="2:9" x14ac:dyDescent="0.25">
      <c r="B1487" s="4"/>
      <c r="F1487" s="18"/>
      <c r="G1487" s="18"/>
      <c r="H1487" s="18"/>
      <c r="I1487" s="18"/>
    </row>
    <row r="1488" spans="2:9" x14ac:dyDescent="0.25">
      <c r="B1488" s="4"/>
      <c r="F1488" s="18"/>
      <c r="G1488" s="18"/>
      <c r="H1488" s="18"/>
      <c r="I1488" s="18"/>
    </row>
    <row r="1489" spans="2:9" x14ac:dyDescent="0.25">
      <c r="B1489" s="4"/>
      <c r="F1489" s="18"/>
      <c r="G1489" s="18"/>
      <c r="H1489" s="18"/>
      <c r="I1489" s="18"/>
    </row>
    <row r="1490" spans="2:9" x14ac:dyDescent="0.25">
      <c r="B1490" s="4"/>
      <c r="F1490" s="18"/>
      <c r="G1490" s="18"/>
      <c r="H1490" s="18"/>
      <c r="I1490" s="18"/>
    </row>
    <row r="1491" spans="2:9" x14ac:dyDescent="0.25">
      <c r="B1491" s="4"/>
      <c r="F1491" s="18"/>
      <c r="G1491" s="18"/>
      <c r="H1491" s="18"/>
      <c r="I1491" s="18"/>
    </row>
    <row r="1492" spans="2:9" x14ac:dyDescent="0.25">
      <c r="B1492" s="4"/>
      <c r="F1492" s="18"/>
      <c r="G1492" s="18"/>
      <c r="H1492" s="18"/>
      <c r="I1492" s="18"/>
    </row>
    <row r="1493" spans="2:9" x14ac:dyDescent="0.25">
      <c r="B1493" s="4"/>
      <c r="F1493" s="18"/>
      <c r="G1493" s="18"/>
      <c r="H1493" s="18"/>
      <c r="I1493" s="18"/>
    </row>
    <row r="1494" spans="2:9" x14ac:dyDescent="0.25">
      <c r="B1494" s="4"/>
      <c r="F1494" s="18"/>
      <c r="G1494" s="18"/>
      <c r="H1494" s="18"/>
      <c r="I1494" s="18"/>
    </row>
    <row r="1495" spans="2:9" x14ac:dyDescent="0.25">
      <c r="B1495" s="4"/>
      <c r="F1495" s="18"/>
      <c r="G1495" s="18"/>
      <c r="H1495" s="18"/>
      <c r="I1495" s="18"/>
    </row>
    <row r="1496" spans="2:9" x14ac:dyDescent="0.25">
      <c r="B1496" s="4"/>
      <c r="F1496" s="18"/>
      <c r="G1496" s="18"/>
      <c r="H1496" s="18"/>
      <c r="I1496" s="18"/>
    </row>
    <row r="1497" spans="2:9" x14ac:dyDescent="0.25">
      <c r="B1497" s="4"/>
      <c r="F1497" s="18"/>
      <c r="G1497" s="18"/>
      <c r="H1497" s="18"/>
      <c r="I1497" s="18"/>
    </row>
    <row r="1498" spans="2:9" x14ac:dyDescent="0.25">
      <c r="B1498" s="4"/>
      <c r="F1498" s="18"/>
      <c r="G1498" s="18"/>
      <c r="H1498" s="18"/>
      <c r="I1498" s="18"/>
    </row>
    <row r="1499" spans="2:9" x14ac:dyDescent="0.25">
      <c r="B1499" s="4"/>
      <c r="F1499" s="18"/>
      <c r="G1499" s="18"/>
      <c r="H1499" s="18"/>
      <c r="I1499" s="18"/>
    </row>
    <row r="1500" spans="2:9" x14ac:dyDescent="0.25">
      <c r="B1500" s="4"/>
      <c r="F1500" s="18"/>
      <c r="G1500" s="18"/>
      <c r="H1500" s="18"/>
      <c r="I1500" s="18"/>
    </row>
    <row r="1501" spans="2:9" x14ac:dyDescent="0.25">
      <c r="B1501" s="4"/>
      <c r="F1501" s="18"/>
      <c r="G1501" s="18"/>
      <c r="H1501" s="18"/>
      <c r="I1501" s="18"/>
    </row>
    <row r="1502" spans="2:9" x14ac:dyDescent="0.25">
      <c r="B1502" s="4"/>
      <c r="F1502" s="18"/>
      <c r="G1502" s="18"/>
      <c r="H1502" s="18"/>
      <c r="I1502" s="18"/>
    </row>
    <row r="1503" spans="2:9" x14ac:dyDescent="0.25">
      <c r="B1503" s="4"/>
      <c r="F1503" s="18"/>
      <c r="G1503" s="18"/>
      <c r="H1503" s="18"/>
      <c r="I1503" s="18"/>
    </row>
    <row r="1504" spans="2:9" x14ac:dyDescent="0.25">
      <c r="B1504" s="4"/>
      <c r="F1504" s="18"/>
      <c r="G1504" s="18"/>
      <c r="H1504" s="18"/>
      <c r="I1504" s="18"/>
    </row>
    <row r="1505" spans="2:9" x14ac:dyDescent="0.25">
      <c r="B1505" s="4"/>
      <c r="F1505" s="18"/>
      <c r="G1505" s="18"/>
      <c r="H1505" s="18"/>
      <c r="I1505" s="18"/>
    </row>
    <row r="1506" spans="2:9" x14ac:dyDescent="0.25">
      <c r="B1506" s="4"/>
      <c r="F1506" s="18"/>
      <c r="G1506" s="18"/>
      <c r="H1506" s="18"/>
      <c r="I1506" s="18"/>
    </row>
    <row r="1507" spans="2:9" x14ac:dyDescent="0.25">
      <c r="B1507" s="4"/>
      <c r="F1507" s="18"/>
      <c r="G1507" s="18"/>
      <c r="H1507" s="18"/>
      <c r="I1507" s="18"/>
    </row>
    <row r="1508" spans="2:9" x14ac:dyDescent="0.25">
      <c r="B1508" s="4"/>
      <c r="F1508" s="18"/>
      <c r="G1508" s="18"/>
      <c r="H1508" s="18"/>
      <c r="I1508" s="18"/>
    </row>
    <row r="1509" spans="2:9" x14ac:dyDescent="0.25">
      <c r="B1509" s="4"/>
      <c r="F1509" s="18"/>
      <c r="G1509" s="18"/>
      <c r="H1509" s="18"/>
      <c r="I1509" s="18"/>
    </row>
    <row r="1510" spans="2:9" x14ac:dyDescent="0.25">
      <c r="B1510" s="4"/>
      <c r="F1510" s="18"/>
      <c r="G1510" s="18"/>
      <c r="H1510" s="18"/>
      <c r="I1510" s="18"/>
    </row>
    <row r="1511" spans="2:9" x14ac:dyDescent="0.25">
      <c r="B1511" s="4"/>
      <c r="F1511" s="18"/>
      <c r="G1511" s="18"/>
      <c r="H1511" s="18"/>
      <c r="I1511" s="18"/>
    </row>
    <row r="1512" spans="2:9" x14ac:dyDescent="0.25">
      <c r="B1512" s="4"/>
      <c r="F1512" s="18"/>
      <c r="G1512" s="18"/>
      <c r="H1512" s="18"/>
      <c r="I1512" s="18"/>
    </row>
    <row r="1513" spans="2:9" x14ac:dyDescent="0.25">
      <c r="B1513" s="4"/>
      <c r="F1513" s="18"/>
      <c r="G1513" s="18"/>
      <c r="H1513" s="18"/>
      <c r="I1513" s="18"/>
    </row>
    <row r="1514" spans="2:9" x14ac:dyDescent="0.25">
      <c r="B1514" s="4"/>
      <c r="F1514" s="18"/>
      <c r="G1514" s="18"/>
      <c r="H1514" s="18"/>
      <c r="I1514" s="18"/>
    </row>
    <row r="1515" spans="2:9" x14ac:dyDescent="0.25">
      <c r="B1515" s="4"/>
      <c r="F1515" s="18"/>
      <c r="G1515" s="18"/>
      <c r="H1515" s="18"/>
      <c r="I1515" s="18"/>
    </row>
    <row r="1516" spans="2:9" x14ac:dyDescent="0.25">
      <c r="B1516" s="4"/>
      <c r="F1516" s="18"/>
      <c r="G1516" s="18"/>
      <c r="H1516" s="18"/>
      <c r="I1516" s="18"/>
    </row>
    <row r="1517" spans="2:9" x14ac:dyDescent="0.25">
      <c r="B1517" s="4"/>
      <c r="F1517" s="18"/>
      <c r="G1517" s="18"/>
      <c r="H1517" s="18"/>
      <c r="I1517" s="18"/>
    </row>
    <row r="1518" spans="2:9" x14ac:dyDescent="0.25">
      <c r="B1518" s="4"/>
      <c r="F1518" s="18"/>
      <c r="G1518" s="18"/>
      <c r="H1518" s="18"/>
      <c r="I1518" s="18"/>
    </row>
    <row r="1519" spans="2:9" x14ac:dyDescent="0.25">
      <c r="B1519" s="4"/>
      <c r="F1519" s="18"/>
      <c r="G1519" s="18"/>
      <c r="H1519" s="18"/>
      <c r="I1519" s="18"/>
    </row>
    <row r="1520" spans="2:9" x14ac:dyDescent="0.25">
      <c r="B1520" s="4"/>
      <c r="F1520" s="18"/>
      <c r="G1520" s="18"/>
      <c r="H1520" s="18"/>
      <c r="I1520" s="18"/>
    </row>
    <row r="1521" spans="2:9" x14ac:dyDescent="0.25">
      <c r="B1521" s="4"/>
      <c r="F1521" s="18"/>
      <c r="G1521" s="18"/>
      <c r="H1521" s="18"/>
      <c r="I1521" s="18"/>
    </row>
    <row r="1522" spans="2:9" x14ac:dyDescent="0.25">
      <c r="B1522" s="4"/>
      <c r="F1522" s="18"/>
      <c r="G1522" s="18"/>
      <c r="H1522" s="18"/>
      <c r="I1522" s="18"/>
    </row>
    <row r="1523" spans="2:9" x14ac:dyDescent="0.25">
      <c r="B1523" s="4"/>
      <c r="F1523" s="18"/>
      <c r="G1523" s="18"/>
      <c r="H1523" s="18"/>
      <c r="I1523" s="18"/>
    </row>
    <row r="1524" spans="2:9" x14ac:dyDescent="0.25">
      <c r="B1524" s="4"/>
      <c r="F1524" s="18"/>
      <c r="G1524" s="18"/>
      <c r="H1524" s="18"/>
      <c r="I1524" s="18"/>
    </row>
    <row r="1525" spans="2:9" x14ac:dyDescent="0.25">
      <c r="B1525" s="4"/>
      <c r="F1525" s="18"/>
      <c r="G1525" s="18"/>
      <c r="H1525" s="18"/>
      <c r="I1525" s="18"/>
    </row>
    <row r="1526" spans="2:9" x14ac:dyDescent="0.25">
      <c r="B1526" s="4"/>
      <c r="F1526" s="18"/>
      <c r="G1526" s="18"/>
      <c r="H1526" s="18"/>
      <c r="I1526" s="18"/>
    </row>
    <row r="1527" spans="2:9" x14ac:dyDescent="0.25">
      <c r="B1527" s="4"/>
      <c r="F1527" s="18"/>
      <c r="G1527" s="18"/>
      <c r="H1527" s="18"/>
      <c r="I1527" s="18"/>
    </row>
    <row r="1528" spans="2:9" x14ac:dyDescent="0.25">
      <c r="B1528" s="4"/>
      <c r="F1528" s="18"/>
      <c r="G1528" s="18"/>
      <c r="H1528" s="18"/>
      <c r="I1528" s="18"/>
    </row>
    <row r="1529" spans="2:9" x14ac:dyDescent="0.25">
      <c r="B1529" s="4"/>
      <c r="F1529" s="18"/>
      <c r="G1529" s="18"/>
      <c r="H1529" s="18"/>
      <c r="I1529" s="18"/>
    </row>
    <row r="1530" spans="2:9" x14ac:dyDescent="0.25">
      <c r="B1530" s="4"/>
      <c r="F1530" s="18"/>
      <c r="G1530" s="18"/>
      <c r="H1530" s="18"/>
      <c r="I1530" s="18"/>
    </row>
    <row r="1531" spans="2:9" x14ac:dyDescent="0.25">
      <c r="B1531" s="4"/>
      <c r="F1531" s="18"/>
      <c r="G1531" s="18"/>
      <c r="H1531" s="18"/>
      <c r="I1531" s="18"/>
    </row>
    <row r="1532" spans="2:9" x14ac:dyDescent="0.25">
      <c r="B1532" s="4"/>
      <c r="F1532" s="18"/>
      <c r="G1532" s="18"/>
      <c r="H1532" s="18"/>
      <c r="I1532" s="18"/>
    </row>
    <row r="1533" spans="2:9" x14ac:dyDescent="0.25">
      <c r="B1533" s="4"/>
      <c r="F1533" s="18"/>
      <c r="G1533" s="18"/>
      <c r="H1533" s="18"/>
      <c r="I1533" s="18"/>
    </row>
    <row r="1534" spans="2:9" x14ac:dyDescent="0.25">
      <c r="B1534" s="4"/>
      <c r="F1534" s="18"/>
      <c r="G1534" s="18"/>
      <c r="H1534" s="18"/>
      <c r="I1534" s="18"/>
    </row>
    <row r="1535" spans="2:9" x14ac:dyDescent="0.25">
      <c r="B1535" s="4"/>
      <c r="F1535" s="18"/>
      <c r="G1535" s="18"/>
      <c r="H1535" s="18"/>
      <c r="I1535" s="18"/>
    </row>
    <row r="1536" spans="2:9" x14ac:dyDescent="0.25">
      <c r="B1536" s="4"/>
      <c r="F1536" s="18"/>
      <c r="G1536" s="18"/>
      <c r="H1536" s="18"/>
      <c r="I1536" s="18"/>
    </row>
    <row r="1537" spans="2:9" x14ac:dyDescent="0.25">
      <c r="B1537" s="4"/>
      <c r="F1537" s="18"/>
      <c r="G1537" s="18"/>
      <c r="H1537" s="18"/>
      <c r="I1537" s="18"/>
    </row>
    <row r="1538" spans="2:9" x14ac:dyDescent="0.25">
      <c r="B1538" s="4"/>
      <c r="F1538" s="18"/>
      <c r="G1538" s="18"/>
      <c r="H1538" s="18"/>
      <c r="I1538" s="18"/>
    </row>
    <row r="1539" spans="2:9" x14ac:dyDescent="0.25">
      <c r="B1539" s="4"/>
      <c r="F1539" s="18"/>
      <c r="G1539" s="18"/>
      <c r="H1539" s="18"/>
      <c r="I1539" s="18"/>
    </row>
    <row r="1540" spans="2:9" x14ac:dyDescent="0.25">
      <c r="B1540" s="4"/>
      <c r="F1540" s="18"/>
      <c r="G1540" s="18"/>
      <c r="H1540" s="18"/>
      <c r="I1540" s="18"/>
    </row>
    <row r="1541" spans="2:9" x14ac:dyDescent="0.25">
      <c r="B1541" s="4"/>
      <c r="F1541" s="18"/>
      <c r="G1541" s="18"/>
      <c r="H1541" s="18"/>
      <c r="I1541" s="18"/>
    </row>
    <row r="1542" spans="2:9" x14ac:dyDescent="0.25">
      <c r="B1542" s="4"/>
      <c r="F1542" s="18"/>
      <c r="G1542" s="18"/>
      <c r="H1542" s="18"/>
      <c r="I1542" s="18"/>
    </row>
    <row r="1543" spans="2:9" x14ac:dyDescent="0.25">
      <c r="B1543" s="4"/>
      <c r="F1543" s="18"/>
      <c r="G1543" s="18"/>
      <c r="H1543" s="18"/>
      <c r="I1543" s="18"/>
    </row>
    <row r="1544" spans="2:9" x14ac:dyDescent="0.25">
      <c r="B1544" s="4"/>
      <c r="F1544" s="18"/>
      <c r="G1544" s="18"/>
      <c r="H1544" s="18"/>
      <c r="I1544" s="18"/>
    </row>
    <row r="1545" spans="2:9" x14ac:dyDescent="0.25">
      <c r="B1545" s="4"/>
      <c r="F1545" s="18"/>
      <c r="G1545" s="18"/>
      <c r="H1545" s="18"/>
      <c r="I1545" s="18"/>
    </row>
    <row r="1546" spans="2:9" x14ac:dyDescent="0.25">
      <c r="B1546" s="4"/>
      <c r="F1546" s="18"/>
      <c r="G1546" s="18"/>
      <c r="H1546" s="18"/>
      <c r="I1546" s="18"/>
    </row>
    <row r="1547" spans="2:9" x14ac:dyDescent="0.25">
      <c r="B1547" s="4"/>
      <c r="F1547" s="18"/>
      <c r="G1547" s="18"/>
      <c r="H1547" s="18"/>
      <c r="I1547" s="18"/>
    </row>
    <row r="1548" spans="2:9" x14ac:dyDescent="0.25">
      <c r="B1548" s="4"/>
      <c r="F1548" s="18"/>
      <c r="G1548" s="18"/>
      <c r="H1548" s="18"/>
      <c r="I1548" s="18"/>
    </row>
    <row r="1549" spans="2:9" x14ac:dyDescent="0.25">
      <c r="B1549" s="4"/>
      <c r="F1549" s="18"/>
      <c r="G1549" s="18"/>
      <c r="H1549" s="18"/>
      <c r="I1549" s="18"/>
    </row>
    <row r="1550" spans="2:9" x14ac:dyDescent="0.25">
      <c r="B1550" s="4"/>
      <c r="F1550" s="18"/>
      <c r="G1550" s="18"/>
      <c r="H1550" s="18"/>
      <c r="I1550" s="18"/>
    </row>
    <row r="1551" spans="2:9" x14ac:dyDescent="0.25">
      <c r="B1551" s="4"/>
      <c r="F1551" s="18"/>
      <c r="G1551" s="18"/>
      <c r="H1551" s="18"/>
      <c r="I1551" s="18"/>
    </row>
    <row r="1552" spans="2:9" x14ac:dyDescent="0.25">
      <c r="B1552" s="4"/>
      <c r="F1552" s="18"/>
      <c r="G1552" s="18"/>
      <c r="H1552" s="18"/>
      <c r="I1552" s="18"/>
    </row>
    <row r="1553" spans="2:9" x14ac:dyDescent="0.25">
      <c r="B1553" s="4"/>
      <c r="F1553" s="18"/>
      <c r="G1553" s="18"/>
      <c r="H1553" s="18"/>
      <c r="I1553" s="18"/>
    </row>
    <row r="1554" spans="2:9" x14ac:dyDescent="0.25">
      <c r="B1554" s="4"/>
      <c r="F1554" s="18"/>
      <c r="G1554" s="18"/>
      <c r="H1554" s="18"/>
      <c r="I1554" s="18"/>
    </row>
    <row r="1555" spans="2:9" x14ac:dyDescent="0.25">
      <c r="B1555" s="4"/>
      <c r="F1555" s="18"/>
      <c r="G1555" s="18"/>
      <c r="H1555" s="18"/>
      <c r="I1555" s="18"/>
    </row>
    <row r="1556" spans="2:9" x14ac:dyDescent="0.25">
      <c r="B1556" s="4"/>
      <c r="F1556" s="18"/>
      <c r="G1556" s="18"/>
      <c r="H1556" s="18"/>
      <c r="I1556" s="18"/>
    </row>
    <row r="1557" spans="2:9" x14ac:dyDescent="0.25">
      <c r="B1557" s="4"/>
      <c r="F1557" s="18"/>
      <c r="G1557" s="18"/>
      <c r="H1557" s="18"/>
      <c r="I1557" s="18"/>
    </row>
    <row r="1558" spans="2:9" x14ac:dyDescent="0.25">
      <c r="B1558" s="4"/>
      <c r="F1558" s="18"/>
      <c r="G1558" s="18"/>
      <c r="H1558" s="18"/>
      <c r="I1558" s="18"/>
    </row>
    <row r="1559" spans="2:9" x14ac:dyDescent="0.25">
      <c r="B1559" s="4"/>
      <c r="F1559" s="18"/>
      <c r="G1559" s="18"/>
      <c r="H1559" s="18"/>
      <c r="I1559" s="18"/>
    </row>
    <row r="1560" spans="2:9" x14ac:dyDescent="0.25">
      <c r="B1560" s="4"/>
      <c r="F1560" s="18"/>
      <c r="G1560" s="18"/>
      <c r="H1560" s="18"/>
      <c r="I1560" s="18"/>
    </row>
    <row r="1561" spans="2:9" x14ac:dyDescent="0.25">
      <c r="B1561" s="4"/>
      <c r="F1561" s="18"/>
      <c r="G1561" s="18"/>
      <c r="H1561" s="18"/>
      <c r="I1561" s="18"/>
    </row>
    <row r="1562" spans="2:9" x14ac:dyDescent="0.25">
      <c r="B1562" s="4"/>
      <c r="F1562" s="18"/>
      <c r="G1562" s="18"/>
      <c r="H1562" s="18"/>
      <c r="I1562" s="18"/>
    </row>
    <row r="1563" spans="2:9" x14ac:dyDescent="0.25">
      <c r="B1563" s="4"/>
      <c r="F1563" s="18"/>
      <c r="G1563" s="18"/>
      <c r="H1563" s="18"/>
      <c r="I1563" s="18"/>
    </row>
    <row r="1564" spans="2:9" x14ac:dyDescent="0.25">
      <c r="B1564" s="4"/>
      <c r="F1564" s="18"/>
      <c r="G1564" s="18"/>
      <c r="H1564" s="18"/>
      <c r="I1564" s="18"/>
    </row>
    <row r="1565" spans="2:9" x14ac:dyDescent="0.25">
      <c r="B1565" s="4"/>
      <c r="F1565" s="18"/>
      <c r="G1565" s="18"/>
      <c r="H1565" s="18"/>
      <c r="I1565" s="18"/>
    </row>
    <row r="1566" spans="2:9" x14ac:dyDescent="0.25">
      <c r="B1566" s="4"/>
      <c r="F1566" s="18"/>
      <c r="G1566" s="18"/>
      <c r="H1566" s="18"/>
      <c r="I1566" s="18"/>
    </row>
    <row r="1567" spans="2:9" x14ac:dyDescent="0.25">
      <c r="B1567" s="4"/>
      <c r="F1567" s="18"/>
      <c r="G1567" s="18"/>
      <c r="H1567" s="18"/>
      <c r="I1567" s="18"/>
    </row>
    <row r="1568" spans="2:9" x14ac:dyDescent="0.25">
      <c r="B1568" s="4"/>
      <c r="F1568" s="18"/>
      <c r="G1568" s="18"/>
      <c r="H1568" s="18"/>
      <c r="I1568" s="18"/>
    </row>
    <row r="1569" spans="2:9" x14ac:dyDescent="0.25">
      <c r="B1569" s="4"/>
      <c r="F1569" s="18"/>
      <c r="G1569" s="18"/>
      <c r="H1569" s="18"/>
      <c r="I1569" s="18"/>
    </row>
    <row r="1570" spans="2:9" x14ac:dyDescent="0.25">
      <c r="B1570" s="4"/>
      <c r="F1570" s="18"/>
      <c r="G1570" s="18"/>
      <c r="H1570" s="18"/>
      <c r="I1570" s="18"/>
    </row>
    <row r="1571" spans="2:9" x14ac:dyDescent="0.25">
      <c r="B1571" s="4"/>
      <c r="F1571" s="18"/>
      <c r="G1571" s="18"/>
      <c r="H1571" s="18"/>
      <c r="I1571" s="18"/>
    </row>
    <row r="1572" spans="2:9" x14ac:dyDescent="0.25">
      <c r="B1572" s="4"/>
      <c r="F1572" s="18"/>
      <c r="G1572" s="18"/>
      <c r="H1572" s="18"/>
      <c r="I1572" s="18"/>
    </row>
    <row r="1573" spans="2:9" x14ac:dyDescent="0.25">
      <c r="B1573" s="4"/>
      <c r="F1573" s="18"/>
      <c r="G1573" s="18"/>
      <c r="H1573" s="18"/>
      <c r="I1573" s="18"/>
    </row>
    <row r="1574" spans="2:9" x14ac:dyDescent="0.25">
      <c r="B1574" s="4"/>
      <c r="F1574" s="18"/>
      <c r="G1574" s="18"/>
      <c r="H1574" s="18"/>
      <c r="I1574" s="18"/>
    </row>
    <row r="1575" spans="2:9" x14ac:dyDescent="0.25">
      <c r="B1575" s="4"/>
      <c r="F1575" s="18"/>
      <c r="G1575" s="18"/>
      <c r="H1575" s="18"/>
      <c r="I1575" s="18"/>
    </row>
    <row r="1576" spans="2:9" x14ac:dyDescent="0.25">
      <c r="B1576" s="4"/>
      <c r="F1576" s="18"/>
      <c r="G1576" s="18"/>
      <c r="H1576" s="18"/>
      <c r="I1576" s="18"/>
    </row>
    <row r="1577" spans="2:9" x14ac:dyDescent="0.25">
      <c r="B1577" s="4"/>
      <c r="F1577" s="18"/>
      <c r="G1577" s="18"/>
      <c r="H1577" s="18"/>
      <c r="I1577" s="18"/>
    </row>
    <row r="1578" spans="2:9" x14ac:dyDescent="0.25">
      <c r="B1578" s="4"/>
      <c r="F1578" s="18"/>
      <c r="G1578" s="18"/>
      <c r="H1578" s="18"/>
      <c r="I1578" s="18"/>
    </row>
    <row r="1579" spans="2:9" x14ac:dyDescent="0.25">
      <c r="B1579" s="4"/>
      <c r="F1579" s="18"/>
      <c r="G1579" s="18"/>
      <c r="H1579" s="18"/>
      <c r="I1579" s="18"/>
    </row>
    <row r="1580" spans="2:9" x14ac:dyDescent="0.25">
      <c r="B1580" s="4"/>
      <c r="F1580" s="18"/>
      <c r="G1580" s="18"/>
      <c r="H1580" s="18"/>
      <c r="I1580" s="18"/>
    </row>
    <row r="1581" spans="2:9" x14ac:dyDescent="0.25">
      <c r="B1581" s="4"/>
      <c r="F1581" s="18"/>
      <c r="G1581" s="18"/>
      <c r="H1581" s="18"/>
      <c r="I1581" s="18"/>
    </row>
    <row r="1582" spans="2:9" x14ac:dyDescent="0.25">
      <c r="B1582" s="4"/>
      <c r="F1582" s="18"/>
      <c r="G1582" s="18"/>
      <c r="H1582" s="18"/>
      <c r="I1582" s="18"/>
    </row>
    <row r="1583" spans="2:9" x14ac:dyDescent="0.25">
      <c r="B1583" s="4"/>
      <c r="F1583" s="18"/>
      <c r="G1583" s="18"/>
      <c r="H1583" s="18"/>
      <c r="I1583" s="18"/>
    </row>
    <row r="1584" spans="2:9" x14ac:dyDescent="0.25">
      <c r="B1584" s="4"/>
      <c r="F1584" s="18"/>
      <c r="G1584" s="18"/>
      <c r="H1584" s="18"/>
      <c r="I1584" s="18"/>
    </row>
    <row r="1585" spans="2:9" x14ac:dyDescent="0.25">
      <c r="B1585" s="4"/>
      <c r="F1585" s="18"/>
      <c r="G1585" s="18"/>
      <c r="H1585" s="18"/>
      <c r="I1585" s="18"/>
    </row>
    <row r="1586" spans="2:9" x14ac:dyDescent="0.25">
      <c r="B1586" s="4"/>
      <c r="F1586" s="18"/>
      <c r="G1586" s="18"/>
      <c r="H1586" s="18"/>
      <c r="I1586" s="18"/>
    </row>
    <row r="1587" spans="2:9" x14ac:dyDescent="0.25">
      <c r="B1587" s="4"/>
      <c r="F1587" s="18"/>
      <c r="G1587" s="18"/>
      <c r="H1587" s="18"/>
      <c r="I1587" s="18"/>
    </row>
    <row r="1588" spans="2:9" x14ac:dyDescent="0.25">
      <c r="B1588" s="4"/>
      <c r="F1588" s="18"/>
      <c r="G1588" s="18"/>
      <c r="H1588" s="18"/>
      <c r="I1588" s="18"/>
    </row>
    <row r="1589" spans="2:9" x14ac:dyDescent="0.25">
      <c r="B1589" s="4"/>
      <c r="F1589" s="18"/>
      <c r="G1589" s="18"/>
      <c r="H1589" s="18"/>
      <c r="I1589" s="18"/>
    </row>
    <row r="1590" spans="2:9" x14ac:dyDescent="0.25">
      <c r="B1590" s="4"/>
      <c r="F1590" s="18"/>
      <c r="G1590" s="18"/>
      <c r="H1590" s="18"/>
      <c r="I1590" s="18"/>
    </row>
    <row r="1591" spans="2:9" x14ac:dyDescent="0.25">
      <c r="B1591" s="4"/>
      <c r="F1591" s="18"/>
      <c r="G1591" s="18"/>
      <c r="H1591" s="18"/>
      <c r="I1591" s="18"/>
    </row>
    <row r="1592" spans="2:9" x14ac:dyDescent="0.25">
      <c r="B1592" s="4"/>
      <c r="F1592" s="18"/>
      <c r="G1592" s="18"/>
      <c r="H1592" s="18"/>
      <c r="I1592" s="18"/>
    </row>
    <row r="1593" spans="2:9" x14ac:dyDescent="0.25">
      <c r="B1593" s="4"/>
      <c r="F1593" s="18"/>
      <c r="G1593" s="18"/>
      <c r="H1593" s="18"/>
      <c r="I1593" s="18"/>
    </row>
    <row r="1594" spans="2:9" x14ac:dyDescent="0.25">
      <c r="B1594" s="4"/>
      <c r="F1594" s="18"/>
      <c r="G1594" s="18"/>
      <c r="H1594" s="18"/>
      <c r="I1594" s="18"/>
    </row>
    <row r="1595" spans="2:9" x14ac:dyDescent="0.25">
      <c r="B1595" s="4"/>
      <c r="F1595" s="18"/>
      <c r="G1595" s="18"/>
      <c r="H1595" s="18"/>
      <c r="I1595" s="18"/>
    </row>
    <row r="1596" spans="2:9" x14ac:dyDescent="0.25">
      <c r="B1596" s="4"/>
      <c r="F1596" s="18"/>
      <c r="G1596" s="18"/>
      <c r="H1596" s="18"/>
      <c r="I1596" s="18"/>
    </row>
    <row r="1597" spans="2:9" x14ac:dyDescent="0.25">
      <c r="B1597" s="4"/>
      <c r="F1597" s="18"/>
      <c r="G1597" s="18"/>
      <c r="H1597" s="18"/>
      <c r="I1597" s="18"/>
    </row>
    <row r="1598" spans="2:9" x14ac:dyDescent="0.25">
      <c r="B1598" s="4"/>
      <c r="F1598" s="18"/>
      <c r="G1598" s="18"/>
      <c r="H1598" s="18"/>
      <c r="I1598" s="18"/>
    </row>
    <row r="1599" spans="2:9" x14ac:dyDescent="0.25">
      <c r="B1599" s="4"/>
      <c r="F1599" s="18"/>
      <c r="G1599" s="18"/>
      <c r="H1599" s="18"/>
      <c r="I1599" s="18"/>
    </row>
    <row r="1600" spans="2:9" x14ac:dyDescent="0.25">
      <c r="B1600" s="4"/>
      <c r="F1600" s="18"/>
      <c r="G1600" s="18"/>
      <c r="H1600" s="18"/>
      <c r="I1600" s="18"/>
    </row>
    <row r="1601" spans="2:9" x14ac:dyDescent="0.25">
      <c r="B1601" s="4"/>
      <c r="F1601" s="18"/>
      <c r="G1601" s="18"/>
      <c r="H1601" s="18"/>
      <c r="I1601" s="18"/>
    </row>
    <row r="1602" spans="2:9" x14ac:dyDescent="0.25">
      <c r="B1602" s="4"/>
      <c r="F1602" s="18"/>
      <c r="G1602" s="18"/>
      <c r="H1602" s="18"/>
      <c r="I1602" s="18"/>
    </row>
    <row r="1603" spans="2:9" x14ac:dyDescent="0.25">
      <c r="B1603" s="4"/>
      <c r="F1603" s="18"/>
      <c r="G1603" s="18"/>
      <c r="H1603" s="18"/>
      <c r="I1603" s="1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4282D-2617-4C18-854F-9A9A470DBB84}">
  <dimension ref="A1:L2115"/>
  <sheetViews>
    <sheetView workbookViewId="0">
      <pane ySplit="1" topLeftCell="A2" activePane="bottomLeft" state="frozen"/>
      <selection pane="bottomLeft" activeCell="G12" sqref="G12"/>
    </sheetView>
  </sheetViews>
  <sheetFormatPr baseColWidth="10" defaultRowHeight="15.75" x14ac:dyDescent="0.25"/>
  <cols>
    <col min="1" max="1" width="10.7109375" style="49" bestFit="1" customWidth="1"/>
    <col min="2" max="2" width="13.42578125" style="47" bestFit="1" customWidth="1"/>
    <col min="3" max="3" width="21.5703125" style="50" bestFit="1" customWidth="1"/>
    <col min="4" max="4" width="12.42578125" style="51" bestFit="1" customWidth="1"/>
    <col min="5" max="5" width="11.85546875" style="45" bestFit="1" customWidth="1"/>
    <col min="6" max="6" width="9.85546875" style="51" bestFit="1" customWidth="1"/>
    <col min="7" max="7" width="13.140625" style="46" bestFit="1" customWidth="1"/>
    <col min="8" max="8" width="13" style="46" bestFit="1" customWidth="1"/>
    <col min="9" max="9" width="13.42578125" style="46" bestFit="1" customWidth="1"/>
    <col min="10" max="10" width="9.42578125" style="47" bestFit="1" customWidth="1"/>
    <col min="11" max="12" width="12" style="47" bestFit="1" customWidth="1"/>
    <col min="13" max="13" width="19.85546875" style="48" bestFit="1" customWidth="1"/>
    <col min="14" max="14" width="12" style="48" bestFit="1" customWidth="1"/>
    <col min="15" max="15" width="19.85546875" style="48" bestFit="1" customWidth="1"/>
    <col min="16" max="16" width="11.28515625" style="48" bestFit="1" customWidth="1"/>
    <col min="17" max="16384" width="11.42578125" style="48"/>
  </cols>
  <sheetData>
    <row r="1" spans="1:12" s="33" customFormat="1" ht="38.25" customHeight="1" x14ac:dyDescent="0.25">
      <c r="A1" s="33" t="s">
        <v>663</v>
      </c>
      <c r="B1" s="34" t="s">
        <v>0</v>
      </c>
      <c r="C1" s="33" t="s">
        <v>2009</v>
      </c>
      <c r="D1" s="35" t="s">
        <v>526</v>
      </c>
      <c r="E1" s="36" t="s">
        <v>525</v>
      </c>
      <c r="F1" s="35" t="s">
        <v>530</v>
      </c>
      <c r="G1" s="37" t="s">
        <v>528</v>
      </c>
      <c r="H1" s="37" t="s">
        <v>527</v>
      </c>
      <c r="I1" s="37" t="s">
        <v>529</v>
      </c>
      <c r="J1" s="34" t="s">
        <v>531</v>
      </c>
    </row>
    <row r="2" spans="1:12" s="43" customFormat="1" ht="15" x14ac:dyDescent="0.25">
      <c r="A2" s="38" t="s">
        <v>656</v>
      </c>
      <c r="B2" s="39" t="s">
        <v>478</v>
      </c>
      <c r="C2" s="39" t="s">
        <v>1760</v>
      </c>
      <c r="D2" s="40">
        <v>1.6109</v>
      </c>
      <c r="E2" s="40">
        <v>1.7951999999999999</v>
      </c>
      <c r="F2" s="40"/>
      <c r="G2" s="41"/>
      <c r="H2" s="41"/>
      <c r="I2" s="41"/>
      <c r="J2" s="42" t="s">
        <v>532</v>
      </c>
    </row>
    <row r="3" spans="1:12" s="43" customFormat="1" ht="15" x14ac:dyDescent="0.25">
      <c r="A3" s="38" t="s">
        <v>589</v>
      </c>
      <c r="B3" s="39" t="s">
        <v>478</v>
      </c>
      <c r="C3" s="39" t="s">
        <v>1765</v>
      </c>
      <c r="D3" s="40">
        <v>1.6109</v>
      </c>
      <c r="E3" s="40">
        <v>1.6185</v>
      </c>
      <c r="F3" s="40"/>
      <c r="G3" s="41"/>
      <c r="H3" s="41"/>
      <c r="I3" s="41"/>
      <c r="J3" s="42" t="s">
        <v>532</v>
      </c>
    </row>
    <row r="4" spans="1:12" s="43" customFormat="1" ht="15" x14ac:dyDescent="0.25">
      <c r="A4" s="38" t="s">
        <v>657</v>
      </c>
      <c r="B4" s="39" t="s">
        <v>478</v>
      </c>
      <c r="C4" s="39" t="s">
        <v>1765</v>
      </c>
      <c r="D4" s="40">
        <v>1.6109</v>
      </c>
      <c r="E4" s="40">
        <v>1.3852</v>
      </c>
      <c r="F4" s="40"/>
      <c r="G4" s="41"/>
      <c r="H4" s="41"/>
      <c r="I4" s="41"/>
      <c r="J4" s="42" t="s">
        <v>532</v>
      </c>
    </row>
    <row r="5" spans="1:12" x14ac:dyDescent="0.25">
      <c r="A5" s="44">
        <v>2018</v>
      </c>
      <c r="B5" s="44" t="s">
        <v>478</v>
      </c>
      <c r="C5" s="44" t="s">
        <v>2002</v>
      </c>
      <c r="D5" s="45">
        <v>1.6109</v>
      </c>
      <c r="E5" s="45">
        <v>1.5722314779270632</v>
      </c>
      <c r="F5" s="45"/>
      <c r="J5" s="47" t="s">
        <v>533</v>
      </c>
      <c r="K5" s="48"/>
      <c r="L5" s="48"/>
    </row>
    <row r="6" spans="1:12" s="43" customFormat="1" ht="15" x14ac:dyDescent="0.25">
      <c r="A6" s="38" t="s">
        <v>656</v>
      </c>
      <c r="B6" s="39" t="s">
        <v>479</v>
      </c>
      <c r="C6" s="39" t="s">
        <v>1760</v>
      </c>
      <c r="D6" s="40">
        <v>1.27</v>
      </c>
      <c r="E6" s="40">
        <v>1.4336</v>
      </c>
      <c r="F6" s="40"/>
      <c r="G6" s="41"/>
      <c r="H6" s="41"/>
      <c r="I6" s="41"/>
      <c r="J6" s="42" t="s">
        <v>532</v>
      </c>
    </row>
    <row r="7" spans="1:12" s="43" customFormat="1" ht="15" x14ac:dyDescent="0.25">
      <c r="A7" s="38" t="s">
        <v>589</v>
      </c>
      <c r="B7" s="39" t="s">
        <v>479</v>
      </c>
      <c r="C7" s="39" t="s">
        <v>1765</v>
      </c>
      <c r="D7" s="40">
        <v>1.27</v>
      </c>
      <c r="E7" s="40">
        <v>1.3926000000000001</v>
      </c>
      <c r="F7" s="40"/>
      <c r="G7" s="41"/>
      <c r="H7" s="41"/>
      <c r="I7" s="41"/>
      <c r="J7" s="42" t="s">
        <v>532</v>
      </c>
    </row>
    <row r="8" spans="1:12" s="43" customFormat="1" ht="15" x14ac:dyDescent="0.25">
      <c r="A8" s="38" t="s">
        <v>657</v>
      </c>
      <c r="B8" s="39" t="s">
        <v>479</v>
      </c>
      <c r="C8" s="39" t="s">
        <v>1765</v>
      </c>
      <c r="D8" s="40">
        <v>1.27</v>
      </c>
      <c r="E8" s="40">
        <v>1.3966000000000001</v>
      </c>
      <c r="F8" s="40"/>
      <c r="G8" s="41"/>
      <c r="H8" s="41"/>
      <c r="I8" s="41"/>
      <c r="J8" s="42" t="s">
        <v>532</v>
      </c>
    </row>
    <row r="9" spans="1:12" x14ac:dyDescent="0.25">
      <c r="A9" s="44">
        <v>2018</v>
      </c>
      <c r="B9" s="44" t="s">
        <v>479</v>
      </c>
      <c r="C9" s="44" t="s">
        <v>2002</v>
      </c>
      <c r="D9" s="45">
        <v>1.27</v>
      </c>
      <c r="E9" s="45">
        <v>1.4039570057581576</v>
      </c>
      <c r="F9" s="45"/>
      <c r="J9" s="47" t="s">
        <v>533</v>
      </c>
      <c r="K9" s="48"/>
      <c r="L9" s="48"/>
    </row>
    <row r="10" spans="1:12" s="43" customFormat="1" ht="15" x14ac:dyDescent="0.25">
      <c r="A10" s="38" t="s">
        <v>656</v>
      </c>
      <c r="B10" s="39" t="s">
        <v>437</v>
      </c>
      <c r="C10" s="39" t="s">
        <v>1609</v>
      </c>
      <c r="D10" s="40">
        <v>1.4404999999999999</v>
      </c>
      <c r="E10" s="40">
        <v>1.6140000000000001</v>
      </c>
      <c r="F10" s="40"/>
      <c r="G10" s="41"/>
      <c r="H10" s="41"/>
      <c r="I10" s="41"/>
      <c r="J10" s="42" t="s">
        <v>532</v>
      </c>
    </row>
    <row r="11" spans="1:12" s="43" customFormat="1" ht="15" x14ac:dyDescent="0.25">
      <c r="A11" s="38" t="s">
        <v>589</v>
      </c>
      <c r="B11" s="39" t="s">
        <v>437</v>
      </c>
      <c r="C11" s="39" t="s">
        <v>875</v>
      </c>
      <c r="D11" s="40">
        <v>1.4404999999999999</v>
      </c>
      <c r="E11" s="40">
        <v>1.6140000000000001</v>
      </c>
      <c r="F11" s="40"/>
      <c r="G11" s="41"/>
      <c r="H11" s="41"/>
      <c r="I11" s="41"/>
      <c r="J11" s="42" t="s">
        <v>532</v>
      </c>
    </row>
    <row r="12" spans="1:12" s="43" customFormat="1" ht="15" x14ac:dyDescent="0.25">
      <c r="A12" s="38" t="s">
        <v>657</v>
      </c>
      <c r="B12" s="39" t="s">
        <v>437</v>
      </c>
      <c r="C12" s="39" t="s">
        <v>1771</v>
      </c>
      <c r="D12" s="40">
        <v>1.4404999999999999</v>
      </c>
      <c r="E12" s="40">
        <v>1.3909</v>
      </c>
      <c r="F12" s="40"/>
      <c r="G12" s="41"/>
      <c r="H12" s="41"/>
      <c r="I12" s="41"/>
      <c r="J12" s="42" t="s">
        <v>532</v>
      </c>
    </row>
    <row r="13" spans="1:12" s="43" customFormat="1" ht="15" x14ac:dyDescent="0.25">
      <c r="A13" s="38" t="s">
        <v>652</v>
      </c>
      <c r="B13" s="39" t="s">
        <v>437</v>
      </c>
      <c r="C13" s="39" t="s">
        <v>1779</v>
      </c>
      <c r="D13" s="40">
        <v>1.4404999999999999</v>
      </c>
      <c r="E13" s="40">
        <v>1.5061</v>
      </c>
      <c r="F13" s="40"/>
      <c r="G13" s="41"/>
      <c r="H13" s="41"/>
      <c r="I13" s="41"/>
      <c r="J13" s="42" t="s">
        <v>532</v>
      </c>
    </row>
    <row r="14" spans="1:12" x14ac:dyDescent="0.25">
      <c r="A14" s="44">
        <v>2018</v>
      </c>
      <c r="B14" s="44" t="s">
        <v>437</v>
      </c>
      <c r="C14" s="44" t="s">
        <v>2003</v>
      </c>
      <c r="D14" s="45">
        <v>1.4404999999999999</v>
      </c>
      <c r="E14" s="45">
        <v>1.4846692972755604</v>
      </c>
      <c r="F14" s="45"/>
      <c r="J14" s="47" t="s">
        <v>533</v>
      </c>
      <c r="K14" s="48"/>
      <c r="L14" s="48"/>
    </row>
    <row r="15" spans="1:12" s="43" customFormat="1" ht="15" x14ac:dyDescent="0.25">
      <c r="A15" s="38" t="s">
        <v>682</v>
      </c>
      <c r="B15" s="39" t="s">
        <v>458</v>
      </c>
      <c r="C15" s="39" t="s">
        <v>970</v>
      </c>
      <c r="D15" s="40">
        <v>2.0034999999999998</v>
      </c>
      <c r="E15" s="40">
        <v>2.5280999999999998</v>
      </c>
      <c r="F15" s="40">
        <v>6.35</v>
      </c>
      <c r="G15" s="41">
        <v>0.68448818897637798</v>
      </c>
      <c r="H15" s="41">
        <v>0.60187401574803201</v>
      </c>
      <c r="I15" s="41">
        <v>8.2614173228346494E-2</v>
      </c>
      <c r="J15" s="42" t="s">
        <v>532</v>
      </c>
    </row>
    <row r="16" spans="1:12" s="43" customFormat="1" ht="15" x14ac:dyDescent="0.25">
      <c r="A16" s="38" t="s">
        <v>605</v>
      </c>
      <c r="B16" s="39" t="s">
        <v>458</v>
      </c>
      <c r="C16" s="39" t="s">
        <v>977</v>
      </c>
      <c r="D16" s="40">
        <v>2.0034999999999998</v>
      </c>
      <c r="E16" s="40">
        <v>2.4731000000000001</v>
      </c>
      <c r="F16" s="40">
        <v>6.35</v>
      </c>
      <c r="G16" s="41">
        <v>0.68448818897637798</v>
      </c>
      <c r="H16" s="41">
        <v>0.610535433070866</v>
      </c>
      <c r="I16" s="41">
        <v>7.3952755905511897E-2</v>
      </c>
      <c r="J16" s="42" t="s">
        <v>532</v>
      </c>
    </row>
    <row r="17" spans="1:12" s="43" customFormat="1" ht="15" x14ac:dyDescent="0.25">
      <c r="A17" s="38" t="s">
        <v>613</v>
      </c>
      <c r="B17" s="39" t="s">
        <v>458</v>
      </c>
      <c r="C17" s="39" t="s">
        <v>984</v>
      </c>
      <c r="D17" s="40">
        <v>2.0034999999999998</v>
      </c>
      <c r="E17" s="40">
        <v>2.2663000000000002</v>
      </c>
      <c r="F17" s="40">
        <v>6.35</v>
      </c>
      <c r="G17" s="41">
        <v>0.68448818897637798</v>
      </c>
      <c r="H17" s="41">
        <v>0.64310236220472405</v>
      </c>
      <c r="I17" s="41">
        <v>4.1385826771653603E-2</v>
      </c>
      <c r="J17" s="42" t="s">
        <v>532</v>
      </c>
    </row>
    <row r="18" spans="1:12" s="43" customFormat="1" ht="15" x14ac:dyDescent="0.25">
      <c r="A18" s="38" t="s">
        <v>612</v>
      </c>
      <c r="B18" s="39" t="s">
        <v>458</v>
      </c>
      <c r="C18" s="39" t="s">
        <v>992</v>
      </c>
      <c r="D18" s="40">
        <v>2.0034999999999998</v>
      </c>
      <c r="E18" s="40">
        <v>2.4859</v>
      </c>
      <c r="F18" s="40">
        <v>6.35</v>
      </c>
      <c r="G18" s="41">
        <v>0.68448818897637798</v>
      </c>
      <c r="H18" s="41">
        <v>0.60851968503937004</v>
      </c>
      <c r="I18" s="41">
        <v>7.5968503937007895E-2</v>
      </c>
      <c r="J18" s="42" t="s">
        <v>532</v>
      </c>
    </row>
    <row r="19" spans="1:12" x14ac:dyDescent="0.25">
      <c r="A19" s="44">
        <v>2018</v>
      </c>
      <c r="B19" s="44" t="s">
        <v>458</v>
      </c>
      <c r="C19" s="44" t="s">
        <v>1915</v>
      </c>
      <c r="D19" s="45">
        <v>2.0034999999999998</v>
      </c>
      <c r="E19" s="45">
        <v>2.4479999488316562</v>
      </c>
      <c r="F19" s="45">
        <v>6.35</v>
      </c>
      <c r="G19" s="46">
        <v>0.68448818897637786</v>
      </c>
      <c r="H19" s="46">
        <v>0.61448819703438484</v>
      </c>
      <c r="I19" s="46">
        <v>6.9999991941993148E-2</v>
      </c>
      <c r="J19" s="47" t="s">
        <v>533</v>
      </c>
      <c r="K19" s="48"/>
      <c r="L19" s="48"/>
    </row>
    <row r="20" spans="1:12" s="43" customFormat="1" ht="15" x14ac:dyDescent="0.25">
      <c r="A20" s="38" t="s">
        <v>546</v>
      </c>
      <c r="B20" s="39" t="s">
        <v>226</v>
      </c>
      <c r="C20" s="39" t="s">
        <v>743</v>
      </c>
      <c r="D20" s="40">
        <v>1.6523000000000001</v>
      </c>
      <c r="E20" s="40">
        <v>1.6405000000000001</v>
      </c>
      <c r="F20" s="40">
        <v>4.3689999999999998</v>
      </c>
      <c r="G20" s="41">
        <v>0.62181277180132699</v>
      </c>
      <c r="H20" s="41">
        <v>0.62451361867704303</v>
      </c>
      <c r="I20" s="41">
        <v>-2.7008468757152601E-3</v>
      </c>
      <c r="J20" s="42" t="s">
        <v>532</v>
      </c>
    </row>
    <row r="21" spans="1:12" s="43" customFormat="1" ht="15" x14ac:dyDescent="0.25">
      <c r="A21" s="38" t="s">
        <v>669</v>
      </c>
      <c r="B21" s="39" t="s">
        <v>226</v>
      </c>
      <c r="C21" s="39" t="s">
        <v>749</v>
      </c>
      <c r="D21" s="40">
        <v>1.6523000000000001</v>
      </c>
      <c r="E21" s="40">
        <v>1.6547000000000001</v>
      </c>
      <c r="F21" s="40">
        <v>4.3689999999999998</v>
      </c>
      <c r="G21" s="41">
        <v>0.62181277180132699</v>
      </c>
      <c r="H21" s="41">
        <v>0.62126344701304603</v>
      </c>
      <c r="I21" s="41">
        <v>5.4932478828095799E-4</v>
      </c>
      <c r="J21" s="42" t="s">
        <v>532</v>
      </c>
    </row>
    <row r="22" spans="1:12" s="43" customFormat="1" ht="15" x14ac:dyDescent="0.25">
      <c r="A22" s="38" t="s">
        <v>608</v>
      </c>
      <c r="B22" s="39" t="s">
        <v>226</v>
      </c>
      <c r="C22" s="39" t="s">
        <v>947</v>
      </c>
      <c r="D22" s="40">
        <v>1.6523000000000001</v>
      </c>
      <c r="E22" s="40">
        <v>1.8167</v>
      </c>
      <c r="F22" s="40">
        <v>4.3689999999999998</v>
      </c>
      <c r="G22" s="41">
        <v>0.62181277180132699</v>
      </c>
      <c r="H22" s="41">
        <v>0.58418402380407397</v>
      </c>
      <c r="I22" s="41">
        <v>3.7628747997253201E-2</v>
      </c>
      <c r="J22" s="42" t="s">
        <v>532</v>
      </c>
    </row>
    <row r="23" spans="1:12" s="43" customFormat="1" ht="15" x14ac:dyDescent="0.25">
      <c r="A23" s="38" t="s">
        <v>679</v>
      </c>
      <c r="B23" s="39" t="s">
        <v>226</v>
      </c>
      <c r="C23" s="39" t="s">
        <v>951</v>
      </c>
      <c r="D23" s="40">
        <v>1.6523000000000001</v>
      </c>
      <c r="E23" s="40">
        <v>1.7986</v>
      </c>
      <c r="F23" s="40">
        <v>4.3689999999999998</v>
      </c>
      <c r="G23" s="41">
        <v>0.62181277180132699</v>
      </c>
      <c r="H23" s="41">
        <v>0.58832684824902703</v>
      </c>
      <c r="I23" s="41">
        <v>3.3485923552300199E-2</v>
      </c>
      <c r="J23" s="42" t="s">
        <v>532</v>
      </c>
    </row>
    <row r="24" spans="1:12" s="43" customFormat="1" ht="15" x14ac:dyDescent="0.25">
      <c r="A24" s="38" t="s">
        <v>571</v>
      </c>
      <c r="B24" s="39" t="s">
        <v>226</v>
      </c>
      <c r="C24" s="39" t="s">
        <v>1247</v>
      </c>
      <c r="D24" s="40">
        <v>1.6445000000000001</v>
      </c>
      <c r="E24" s="40">
        <v>1.4952000000000001</v>
      </c>
      <c r="F24" s="40">
        <v>4.3689999999999998</v>
      </c>
      <c r="G24" s="41">
        <v>0.62359807736324102</v>
      </c>
      <c r="H24" s="41">
        <v>0.65777065690089298</v>
      </c>
      <c r="I24" s="41">
        <v>-3.4172579537651598E-2</v>
      </c>
      <c r="J24" s="42" t="s">
        <v>532</v>
      </c>
    </row>
    <row r="25" spans="1:12" s="43" customFormat="1" ht="15" x14ac:dyDescent="0.25">
      <c r="A25" s="38" t="s">
        <v>701</v>
      </c>
      <c r="B25" s="39" t="s">
        <v>226</v>
      </c>
      <c r="C25" s="39" t="s">
        <v>1251</v>
      </c>
      <c r="D25" s="40">
        <v>1.6445000000000001</v>
      </c>
      <c r="E25" s="40">
        <v>1.6281000000000001</v>
      </c>
      <c r="F25" s="40">
        <v>4.3689999999999998</v>
      </c>
      <c r="G25" s="41">
        <v>0.62359807736324102</v>
      </c>
      <c r="H25" s="41">
        <v>0.62735179674982799</v>
      </c>
      <c r="I25" s="41">
        <v>-3.7537193865873099E-3</v>
      </c>
      <c r="J25" s="42" t="s">
        <v>532</v>
      </c>
    </row>
    <row r="26" spans="1:12" s="43" customFormat="1" ht="15" x14ac:dyDescent="0.25">
      <c r="A26" s="38" t="s">
        <v>631</v>
      </c>
      <c r="B26" s="39" t="s">
        <v>226</v>
      </c>
      <c r="C26" s="39" t="s">
        <v>1256</v>
      </c>
      <c r="D26" s="40">
        <v>1.6445000000000001</v>
      </c>
      <c r="E26" s="40">
        <v>1.7292000000000001</v>
      </c>
      <c r="F26" s="40">
        <v>4.3689999999999998</v>
      </c>
      <c r="G26" s="41">
        <v>0.62359807736324102</v>
      </c>
      <c r="H26" s="41">
        <v>0.60421149004348795</v>
      </c>
      <c r="I26" s="41">
        <v>1.9386587319752801E-2</v>
      </c>
      <c r="J26" s="42" t="s">
        <v>532</v>
      </c>
    </row>
    <row r="27" spans="1:12" s="43" customFormat="1" ht="15" x14ac:dyDescent="0.25">
      <c r="A27" s="38" t="s">
        <v>619</v>
      </c>
      <c r="B27" s="39" t="s">
        <v>226</v>
      </c>
      <c r="C27" s="39" t="s">
        <v>743</v>
      </c>
      <c r="D27" s="40">
        <v>1.6445000000000001</v>
      </c>
      <c r="E27" s="40">
        <v>1.6547000000000001</v>
      </c>
      <c r="F27" s="40">
        <v>4.3689999999999998</v>
      </c>
      <c r="G27" s="41">
        <v>0.62359807736324102</v>
      </c>
      <c r="H27" s="41">
        <v>0.62126344701304603</v>
      </c>
      <c r="I27" s="41">
        <v>2.3346303501945399E-3</v>
      </c>
      <c r="J27" s="42" t="s">
        <v>532</v>
      </c>
    </row>
    <row r="28" spans="1:12" s="43" customFormat="1" ht="15" x14ac:dyDescent="0.25">
      <c r="A28" s="38" t="s">
        <v>558</v>
      </c>
      <c r="B28" s="39" t="s">
        <v>226</v>
      </c>
      <c r="C28" s="39" t="s">
        <v>947</v>
      </c>
      <c r="D28" s="40">
        <v>1.6445000000000001</v>
      </c>
      <c r="E28" s="40">
        <v>1.8379000000000001</v>
      </c>
      <c r="F28" s="40">
        <v>4.3689999999999998</v>
      </c>
      <c r="G28" s="41">
        <v>0.62359807736324102</v>
      </c>
      <c r="H28" s="41">
        <v>0.57933165484092497</v>
      </c>
      <c r="I28" s="41">
        <v>4.4266422522316398E-2</v>
      </c>
      <c r="J28" s="42" t="s">
        <v>532</v>
      </c>
    </row>
    <row r="29" spans="1:12" s="43" customFormat="1" ht="15" x14ac:dyDescent="0.25">
      <c r="A29" s="38" t="s">
        <v>712</v>
      </c>
      <c r="B29" s="39" t="s">
        <v>226</v>
      </c>
      <c r="C29" s="39" t="s">
        <v>1497</v>
      </c>
      <c r="D29" s="40">
        <v>1.6445000000000001</v>
      </c>
      <c r="E29" s="40">
        <v>0.30430000000000001</v>
      </c>
      <c r="F29" s="40">
        <v>4.3689999999999998</v>
      </c>
      <c r="G29" s="41">
        <v>0.62359807736324102</v>
      </c>
      <c r="H29" s="41">
        <v>0.93035019455252899</v>
      </c>
      <c r="I29" s="41">
        <v>-0.30675211718928802</v>
      </c>
      <c r="J29" s="42" t="s">
        <v>532</v>
      </c>
    </row>
    <row r="30" spans="1:12" s="43" customFormat="1" ht="15" x14ac:dyDescent="0.25">
      <c r="A30" s="38" t="s">
        <v>548</v>
      </c>
      <c r="B30" s="39" t="s">
        <v>226</v>
      </c>
      <c r="C30" s="39" t="s">
        <v>1530</v>
      </c>
      <c r="D30" s="40">
        <v>1.6445000000000001</v>
      </c>
      <c r="E30" s="40">
        <v>0.30130000000000001</v>
      </c>
      <c r="F30" s="40">
        <v>4.3689999999999998</v>
      </c>
      <c r="G30" s="41">
        <v>0.62359807736324102</v>
      </c>
      <c r="H30" s="41">
        <v>0.93103685053787999</v>
      </c>
      <c r="I30" s="41">
        <v>-0.30743877317463902</v>
      </c>
      <c r="J30" s="42" t="s">
        <v>532</v>
      </c>
    </row>
    <row r="31" spans="1:12" x14ac:dyDescent="0.25">
      <c r="A31" s="44">
        <v>2018</v>
      </c>
      <c r="B31" s="44" t="s">
        <v>226</v>
      </c>
      <c r="C31" s="44" t="s">
        <v>1823</v>
      </c>
      <c r="D31" s="45">
        <v>1.6478469507714915</v>
      </c>
      <c r="E31" s="45">
        <v>1.5712158923919575</v>
      </c>
      <c r="F31" s="45">
        <v>4.3689999999999989</v>
      </c>
      <c r="G31" s="46">
        <v>0.62283200943660055</v>
      </c>
      <c r="H31" s="46">
        <v>0.64037173440330564</v>
      </c>
      <c r="I31" s="46">
        <v>-1.7539724966704938E-2</v>
      </c>
      <c r="J31" s="47" t="s">
        <v>533</v>
      </c>
      <c r="K31" s="48"/>
      <c r="L31" s="48"/>
    </row>
    <row r="32" spans="1:12" s="43" customFormat="1" ht="15" x14ac:dyDescent="0.25">
      <c r="A32" s="38" t="s">
        <v>558</v>
      </c>
      <c r="B32" s="39" t="s">
        <v>182</v>
      </c>
      <c r="C32" s="39" t="s">
        <v>988</v>
      </c>
      <c r="D32" s="40">
        <v>1.8178000000000001</v>
      </c>
      <c r="E32" s="40">
        <v>2.1012</v>
      </c>
      <c r="F32" s="40">
        <v>5.5</v>
      </c>
      <c r="G32" s="41">
        <v>0.66949090909090903</v>
      </c>
      <c r="H32" s="41">
        <v>0.61795757575757604</v>
      </c>
      <c r="I32" s="41">
        <v>5.1533333333333299E-2</v>
      </c>
      <c r="J32" s="42" t="s">
        <v>532</v>
      </c>
    </row>
    <row r="33" spans="1:12" s="43" customFormat="1" ht="15" x14ac:dyDescent="0.25">
      <c r="A33" s="38" t="s">
        <v>579</v>
      </c>
      <c r="B33" s="39" t="s">
        <v>182</v>
      </c>
      <c r="C33" s="39" t="s">
        <v>1481</v>
      </c>
      <c r="D33" s="40">
        <v>1.8178000000000001</v>
      </c>
      <c r="E33" s="40">
        <v>2.2688999999999999</v>
      </c>
      <c r="F33" s="40">
        <v>5.5</v>
      </c>
      <c r="G33" s="41">
        <v>0.66949090909090903</v>
      </c>
      <c r="H33" s="41">
        <v>0.58746969696969698</v>
      </c>
      <c r="I33" s="41">
        <v>8.2021212121211995E-2</v>
      </c>
      <c r="J33" s="42" t="s">
        <v>532</v>
      </c>
    </row>
    <row r="34" spans="1:12" x14ac:dyDescent="0.25">
      <c r="A34" s="44">
        <v>2018</v>
      </c>
      <c r="B34" s="44" t="s">
        <v>182</v>
      </c>
      <c r="C34" s="44" t="s">
        <v>1949</v>
      </c>
      <c r="D34" s="45">
        <v>1.8178000000000001</v>
      </c>
      <c r="E34" s="45">
        <v>2.1547054652880355</v>
      </c>
      <c r="F34" s="45">
        <v>5.5</v>
      </c>
      <c r="G34" s="46">
        <v>0.66949090909090903</v>
      </c>
      <c r="H34" s="46">
        <v>0.60823027617385073</v>
      </c>
      <c r="I34" s="46">
        <v>6.12606329170583E-2</v>
      </c>
      <c r="J34" s="47" t="s">
        <v>533</v>
      </c>
      <c r="K34" s="48"/>
      <c r="L34" s="48"/>
    </row>
    <row r="35" spans="1:12" s="43" customFormat="1" ht="15" x14ac:dyDescent="0.25">
      <c r="A35" s="38" t="s">
        <v>544</v>
      </c>
      <c r="B35" s="39" t="s">
        <v>391</v>
      </c>
      <c r="C35" s="39" t="s">
        <v>1734</v>
      </c>
      <c r="D35" s="40">
        <v>1.9184000000000001</v>
      </c>
      <c r="E35" s="40">
        <v>1.2890999999999999</v>
      </c>
      <c r="F35" s="40">
        <v>6.9</v>
      </c>
      <c r="G35" s="41">
        <v>0.72197584541062798</v>
      </c>
      <c r="H35" s="41">
        <v>0.81317391304347797</v>
      </c>
      <c r="I35" s="41">
        <v>-9.1198067632850197E-2</v>
      </c>
      <c r="J35" s="42" t="s">
        <v>532</v>
      </c>
    </row>
    <row r="36" spans="1:12" x14ac:dyDescent="0.25">
      <c r="A36" s="44">
        <v>2018</v>
      </c>
      <c r="B36" s="44" t="s">
        <v>391</v>
      </c>
      <c r="C36" s="44" t="s">
        <v>1734</v>
      </c>
      <c r="D36" s="45">
        <v>1.9184000000000001</v>
      </c>
      <c r="E36" s="45">
        <v>1.2890999999999999</v>
      </c>
      <c r="F36" s="45">
        <v>6.9</v>
      </c>
      <c r="G36" s="46">
        <v>0.7219758454106282</v>
      </c>
      <c r="H36" s="46">
        <v>0.8131739130434783</v>
      </c>
      <c r="I36" s="46">
        <v>-9.1198067632850197E-2</v>
      </c>
      <c r="J36" s="47" t="s">
        <v>533</v>
      </c>
      <c r="K36" s="48"/>
      <c r="L36" s="48"/>
    </row>
    <row r="37" spans="1:12" s="43" customFormat="1" ht="15" x14ac:dyDescent="0.25">
      <c r="A37" s="38" t="s">
        <v>554</v>
      </c>
      <c r="B37" s="39" t="s">
        <v>417</v>
      </c>
      <c r="C37" s="39" t="s">
        <v>1728</v>
      </c>
      <c r="D37" s="40">
        <v>1.9898</v>
      </c>
      <c r="E37" s="40">
        <v>2.3098999999999998</v>
      </c>
      <c r="F37" s="40">
        <v>6.24</v>
      </c>
      <c r="G37" s="41">
        <v>0.68111645299145296</v>
      </c>
      <c r="H37" s="41">
        <v>0.62982371794871805</v>
      </c>
      <c r="I37" s="41">
        <v>5.1292735042735002E-2</v>
      </c>
      <c r="J37" s="42" t="s">
        <v>532</v>
      </c>
    </row>
    <row r="38" spans="1:12" x14ac:dyDescent="0.25">
      <c r="A38" s="44">
        <v>2018</v>
      </c>
      <c r="B38" s="44" t="s">
        <v>417</v>
      </c>
      <c r="C38" s="44" t="s">
        <v>1728</v>
      </c>
      <c r="D38" s="45">
        <v>1.9898</v>
      </c>
      <c r="E38" s="45">
        <v>2.3098999999999998</v>
      </c>
      <c r="F38" s="45">
        <v>6.24</v>
      </c>
      <c r="G38" s="46">
        <v>0.68111645299145296</v>
      </c>
      <c r="H38" s="46">
        <v>0.62982371794871794</v>
      </c>
      <c r="I38" s="46">
        <v>5.1292735042735009E-2</v>
      </c>
      <c r="J38" s="47" t="s">
        <v>533</v>
      </c>
      <c r="K38" s="48"/>
      <c r="L38" s="48"/>
    </row>
    <row r="39" spans="1:12" s="43" customFormat="1" ht="15" x14ac:dyDescent="0.25">
      <c r="A39" s="38" t="s">
        <v>534</v>
      </c>
      <c r="B39" s="39" t="s">
        <v>512</v>
      </c>
      <c r="C39" s="39" t="s">
        <v>1566</v>
      </c>
      <c r="D39" s="40">
        <v>1.6888000000000001</v>
      </c>
      <c r="E39" s="40">
        <v>1.7746999999999999</v>
      </c>
      <c r="F39" s="40">
        <v>6.72</v>
      </c>
      <c r="G39" s="41">
        <v>0.74869047619047602</v>
      </c>
      <c r="H39" s="41">
        <v>0.73590773809523802</v>
      </c>
      <c r="I39" s="41">
        <v>1.2782738095238199E-2</v>
      </c>
      <c r="J39" s="42" t="s">
        <v>532</v>
      </c>
    </row>
    <row r="40" spans="1:12" x14ac:dyDescent="0.25">
      <c r="A40" s="44">
        <v>2018</v>
      </c>
      <c r="B40" s="44" t="s">
        <v>512</v>
      </c>
      <c r="C40" s="44" t="s">
        <v>1566</v>
      </c>
      <c r="D40" s="45">
        <v>1.6888000000000001</v>
      </c>
      <c r="E40" s="45">
        <v>1.7747000000000002</v>
      </c>
      <c r="F40" s="45">
        <v>6.72</v>
      </c>
      <c r="G40" s="46">
        <v>0.74869047619047613</v>
      </c>
      <c r="H40" s="46">
        <v>0.73590773809523813</v>
      </c>
      <c r="I40" s="46">
        <v>1.2782738095238222E-2</v>
      </c>
      <c r="J40" s="47" t="s">
        <v>533</v>
      </c>
      <c r="K40" s="48"/>
      <c r="L40" s="48"/>
    </row>
    <row r="41" spans="1:12" s="43" customFormat="1" ht="15" x14ac:dyDescent="0.25">
      <c r="A41" s="38" t="s">
        <v>589</v>
      </c>
      <c r="B41" s="39" t="s">
        <v>514</v>
      </c>
      <c r="C41" s="39" t="s">
        <v>1766</v>
      </c>
      <c r="D41" s="40">
        <v>1.895</v>
      </c>
      <c r="E41" s="40">
        <v>2.0861999999999998</v>
      </c>
      <c r="F41" s="40">
        <v>6.14</v>
      </c>
      <c r="G41" s="41">
        <v>0.69136807817589596</v>
      </c>
      <c r="H41" s="41">
        <v>0.660228013029316</v>
      </c>
      <c r="I41" s="41">
        <v>3.1140065146579601E-2</v>
      </c>
      <c r="J41" s="42" t="s">
        <v>532</v>
      </c>
    </row>
    <row r="42" spans="1:12" s="43" customFormat="1" ht="15" x14ac:dyDescent="0.25">
      <c r="A42" s="38" t="s">
        <v>657</v>
      </c>
      <c r="B42" s="39" t="s">
        <v>514</v>
      </c>
      <c r="C42" s="39" t="s">
        <v>1772</v>
      </c>
      <c r="D42" s="40">
        <v>1.895</v>
      </c>
      <c r="E42" s="40">
        <v>2.1316999999999999</v>
      </c>
      <c r="F42" s="40">
        <v>6.14</v>
      </c>
      <c r="G42" s="41">
        <v>0.69136807817589596</v>
      </c>
      <c r="H42" s="41">
        <v>0.65281758957654701</v>
      </c>
      <c r="I42" s="41">
        <v>3.8550488599348301E-2</v>
      </c>
      <c r="J42" s="42" t="s">
        <v>532</v>
      </c>
    </row>
    <row r="43" spans="1:12" s="43" customFormat="1" ht="15" x14ac:dyDescent="0.25">
      <c r="A43" s="38" t="s">
        <v>660</v>
      </c>
      <c r="B43" s="39" t="s">
        <v>514</v>
      </c>
      <c r="C43" s="39" t="s">
        <v>988</v>
      </c>
      <c r="D43" s="40">
        <v>1.895</v>
      </c>
      <c r="E43" s="40">
        <v>0.93899999999999995</v>
      </c>
      <c r="F43" s="40">
        <v>6.14</v>
      </c>
      <c r="G43" s="41">
        <v>0.69136807817589596</v>
      </c>
      <c r="H43" s="41">
        <v>0.84706840390879501</v>
      </c>
      <c r="I43" s="41">
        <v>-0.15570032573289899</v>
      </c>
      <c r="J43" s="42" t="s">
        <v>532</v>
      </c>
    </row>
    <row r="44" spans="1:12" x14ac:dyDescent="0.25">
      <c r="A44" s="44">
        <v>2018</v>
      </c>
      <c r="B44" s="44" t="s">
        <v>514</v>
      </c>
      <c r="C44" s="44" t="s">
        <v>2004</v>
      </c>
      <c r="D44" s="45">
        <v>1.895</v>
      </c>
      <c r="E44" s="45">
        <v>1.842744410723318</v>
      </c>
      <c r="F44" s="45">
        <v>6.14</v>
      </c>
      <c r="G44" s="46">
        <v>0.69136807817589574</v>
      </c>
      <c r="H44" s="46">
        <v>0.69987876046851505</v>
      </c>
      <c r="I44" s="46">
        <v>-8.5106822926193926E-3</v>
      </c>
      <c r="J44" s="47" t="s">
        <v>533</v>
      </c>
      <c r="K44" s="48"/>
      <c r="L44" s="48"/>
    </row>
    <row r="45" spans="1:12" s="43" customFormat="1" ht="15" x14ac:dyDescent="0.25">
      <c r="A45" s="38" t="s">
        <v>712</v>
      </c>
      <c r="B45" s="39" t="s">
        <v>303</v>
      </c>
      <c r="C45" s="39" t="s">
        <v>1494</v>
      </c>
      <c r="D45" s="40">
        <v>0.2157</v>
      </c>
      <c r="E45" s="40">
        <v>0.38429999999999997</v>
      </c>
      <c r="F45" s="40">
        <v>0.66200000000000003</v>
      </c>
      <c r="G45" s="41">
        <v>0.67416918429003003</v>
      </c>
      <c r="H45" s="41">
        <v>0.41948640483383698</v>
      </c>
      <c r="I45" s="41">
        <v>0.254682779456193</v>
      </c>
      <c r="J45" s="42" t="s">
        <v>532</v>
      </c>
    </row>
    <row r="46" spans="1:12" s="43" customFormat="1" ht="15" x14ac:dyDescent="0.25">
      <c r="A46" s="38" t="s">
        <v>638</v>
      </c>
      <c r="B46" s="39" t="s">
        <v>303</v>
      </c>
      <c r="C46" s="39" t="s">
        <v>1498</v>
      </c>
      <c r="D46" s="40">
        <v>0.2157</v>
      </c>
      <c r="E46" s="40">
        <v>0.223</v>
      </c>
      <c r="F46" s="40">
        <v>0.66200000000000003</v>
      </c>
      <c r="G46" s="41">
        <v>0.67416918429003003</v>
      </c>
      <c r="H46" s="41">
        <v>0.66314199395770401</v>
      </c>
      <c r="I46" s="41">
        <v>1.10271903323262E-2</v>
      </c>
      <c r="J46" s="42" t="s">
        <v>532</v>
      </c>
    </row>
    <row r="47" spans="1:12" s="43" customFormat="1" ht="15" x14ac:dyDescent="0.25">
      <c r="A47" s="38" t="s">
        <v>548</v>
      </c>
      <c r="B47" s="39" t="s">
        <v>303</v>
      </c>
      <c r="C47" s="39" t="s">
        <v>1521</v>
      </c>
      <c r="D47" s="40">
        <v>0.2157</v>
      </c>
      <c r="E47" s="40">
        <v>0.24929999999999999</v>
      </c>
      <c r="F47" s="40">
        <v>0.66200000000000003</v>
      </c>
      <c r="G47" s="41">
        <v>0.67416918429003003</v>
      </c>
      <c r="H47" s="41">
        <v>0.62341389728096697</v>
      </c>
      <c r="I47" s="41">
        <v>5.0755287009063399E-2</v>
      </c>
      <c r="J47" s="42" t="s">
        <v>532</v>
      </c>
    </row>
    <row r="48" spans="1:12" x14ac:dyDescent="0.25">
      <c r="A48" s="44">
        <v>2018</v>
      </c>
      <c r="B48" s="44" t="s">
        <v>303</v>
      </c>
      <c r="C48" s="44" t="s">
        <v>1957</v>
      </c>
      <c r="D48" s="45">
        <v>0.2157</v>
      </c>
      <c r="E48" s="45">
        <v>0.26490342337523398</v>
      </c>
      <c r="F48" s="45">
        <v>0.66200000000000003</v>
      </c>
      <c r="G48" s="46">
        <v>0.67416918429003025</v>
      </c>
      <c r="H48" s="46">
        <v>0.59984377133650457</v>
      </c>
      <c r="I48" s="46">
        <v>7.4325412953525669E-2</v>
      </c>
      <c r="J48" s="47" t="s">
        <v>533</v>
      </c>
      <c r="K48" s="48"/>
      <c r="L48" s="48"/>
    </row>
    <row r="49" spans="1:12" s="43" customFormat="1" ht="15" x14ac:dyDescent="0.25">
      <c r="A49" s="38" t="s">
        <v>535</v>
      </c>
      <c r="B49" s="39" t="s">
        <v>304</v>
      </c>
      <c r="C49" s="39" t="s">
        <v>1486</v>
      </c>
      <c r="D49" s="40">
        <v>0.21190000000000001</v>
      </c>
      <c r="E49" s="40">
        <v>0.28239999999999998</v>
      </c>
      <c r="F49" s="40">
        <v>0.66200000000000003</v>
      </c>
      <c r="G49" s="41">
        <v>0.67990936555891202</v>
      </c>
      <c r="H49" s="41">
        <v>0.57337613293051404</v>
      </c>
      <c r="I49" s="41">
        <v>0.106533232628399</v>
      </c>
      <c r="J49" s="42" t="s">
        <v>532</v>
      </c>
    </row>
    <row r="50" spans="1:12" s="43" customFormat="1" ht="15" x14ac:dyDescent="0.25">
      <c r="A50" s="38" t="s">
        <v>636</v>
      </c>
      <c r="B50" s="39" t="s">
        <v>304</v>
      </c>
      <c r="C50" s="39" t="s">
        <v>1512</v>
      </c>
      <c r="D50" s="40">
        <v>0.21190000000000001</v>
      </c>
      <c r="E50" s="40">
        <v>0.2432</v>
      </c>
      <c r="F50" s="40">
        <v>0.66200000000000003</v>
      </c>
      <c r="G50" s="41">
        <v>0.67990936555891202</v>
      </c>
      <c r="H50" s="41">
        <v>0.63262839879154098</v>
      </c>
      <c r="I50" s="41">
        <v>4.7280966767371597E-2</v>
      </c>
      <c r="J50" s="42" t="s">
        <v>532</v>
      </c>
    </row>
    <row r="51" spans="1:12" s="43" customFormat="1" ht="15" x14ac:dyDescent="0.25">
      <c r="A51" s="38" t="s">
        <v>548</v>
      </c>
      <c r="B51" s="39" t="s">
        <v>304</v>
      </c>
      <c r="C51" s="39" t="s">
        <v>1064</v>
      </c>
      <c r="D51" s="40">
        <v>0.21190000000000001</v>
      </c>
      <c r="E51" s="40">
        <v>0.26429999999999998</v>
      </c>
      <c r="F51" s="40">
        <v>0.66200000000000003</v>
      </c>
      <c r="G51" s="41">
        <v>0.67990936555891202</v>
      </c>
      <c r="H51" s="41">
        <v>0.600755287009064</v>
      </c>
      <c r="I51" s="41">
        <v>7.9154078549849002E-2</v>
      </c>
      <c r="J51" s="42" t="s">
        <v>532</v>
      </c>
    </row>
    <row r="52" spans="1:12" s="43" customFormat="1" ht="15" x14ac:dyDescent="0.25">
      <c r="A52" s="38" t="s">
        <v>610</v>
      </c>
      <c r="B52" s="39" t="s">
        <v>304</v>
      </c>
      <c r="C52" s="39" t="s">
        <v>1537</v>
      </c>
      <c r="D52" s="40">
        <v>0.21190000000000001</v>
      </c>
      <c r="E52" s="40">
        <v>0.24829999999999999</v>
      </c>
      <c r="F52" s="40">
        <v>0.66200000000000003</v>
      </c>
      <c r="G52" s="41">
        <v>0.67990936555891202</v>
      </c>
      <c r="H52" s="41">
        <v>0.62492447129909401</v>
      </c>
      <c r="I52" s="41">
        <v>5.4984894259818798E-2</v>
      </c>
      <c r="J52" s="42" t="s">
        <v>532</v>
      </c>
    </row>
    <row r="53" spans="1:12" s="43" customFormat="1" ht="15" x14ac:dyDescent="0.25">
      <c r="A53" s="38" t="s">
        <v>597</v>
      </c>
      <c r="B53" s="39" t="s">
        <v>304</v>
      </c>
      <c r="C53" s="39" t="s">
        <v>1543</v>
      </c>
      <c r="D53" s="40">
        <v>0.21190000000000001</v>
      </c>
      <c r="E53" s="40"/>
      <c r="F53" s="40">
        <v>0.66200000000000003</v>
      </c>
      <c r="G53" s="41">
        <v>0.67990936555891202</v>
      </c>
      <c r="H53" s="41"/>
      <c r="I53" s="41"/>
      <c r="J53" s="42" t="s">
        <v>532</v>
      </c>
    </row>
    <row r="54" spans="1:12" s="43" customFormat="1" ht="15" x14ac:dyDescent="0.25">
      <c r="A54" s="38" t="s">
        <v>599</v>
      </c>
      <c r="B54" s="39" t="s">
        <v>304</v>
      </c>
      <c r="C54" s="39" t="s">
        <v>1549</v>
      </c>
      <c r="D54" s="40">
        <v>0.21190000000000001</v>
      </c>
      <c r="E54" s="40">
        <v>0.25440000000000002</v>
      </c>
      <c r="F54" s="40">
        <v>0.66200000000000003</v>
      </c>
      <c r="G54" s="41">
        <v>0.67990936555891202</v>
      </c>
      <c r="H54" s="41">
        <v>0.61570996978852</v>
      </c>
      <c r="I54" s="41">
        <v>6.4199395770392798E-2</v>
      </c>
      <c r="J54" s="42" t="s">
        <v>532</v>
      </c>
    </row>
    <row r="55" spans="1:12" x14ac:dyDescent="0.25">
      <c r="A55" s="44">
        <v>2018</v>
      </c>
      <c r="B55" s="44" t="s">
        <v>304</v>
      </c>
      <c r="C55" s="44" t="s">
        <v>1953</v>
      </c>
      <c r="D55" s="45">
        <v>0.21190000000000001</v>
      </c>
      <c r="E55" s="45">
        <v>0.25059544599768901</v>
      </c>
      <c r="F55" s="45">
        <v>0.66200000000000003</v>
      </c>
      <c r="G55" s="46">
        <v>0.67990936555891235</v>
      </c>
      <c r="H55" s="46">
        <v>0.61665844476142573</v>
      </c>
      <c r="I55" s="46">
        <v>5.999029707944286E-2</v>
      </c>
      <c r="J55" s="47" t="s">
        <v>533</v>
      </c>
      <c r="K55" s="48"/>
      <c r="L55" s="48"/>
    </row>
    <row r="56" spans="1:12" s="43" customFormat="1" ht="15" x14ac:dyDescent="0.25">
      <c r="A56" s="38" t="s">
        <v>548</v>
      </c>
      <c r="B56" s="39" t="s">
        <v>305</v>
      </c>
      <c r="C56" s="39" t="s">
        <v>1522</v>
      </c>
      <c r="D56" s="40">
        <v>0.20899999999999999</v>
      </c>
      <c r="E56" s="40">
        <v>0.25609999999999999</v>
      </c>
      <c r="F56" s="40">
        <v>0.66200000000000003</v>
      </c>
      <c r="G56" s="41">
        <v>0.68429003021148005</v>
      </c>
      <c r="H56" s="41">
        <v>0.61314199395770397</v>
      </c>
      <c r="I56" s="41">
        <v>7.1148036253776401E-2</v>
      </c>
      <c r="J56" s="42" t="s">
        <v>532</v>
      </c>
    </row>
    <row r="57" spans="1:12" s="43" customFormat="1" ht="15" x14ac:dyDescent="0.25">
      <c r="A57" s="38" t="s">
        <v>597</v>
      </c>
      <c r="B57" s="39" t="s">
        <v>305</v>
      </c>
      <c r="C57" s="39" t="s">
        <v>1118</v>
      </c>
      <c r="D57" s="40">
        <v>0.20899999999999999</v>
      </c>
      <c r="E57" s="40">
        <v>0.22850000000000001</v>
      </c>
      <c r="F57" s="40">
        <v>0.66200000000000003</v>
      </c>
      <c r="G57" s="41">
        <v>0.68429003021148005</v>
      </c>
      <c r="H57" s="41">
        <v>0.654833836858006</v>
      </c>
      <c r="I57" s="41">
        <v>2.9456193353474401E-2</v>
      </c>
      <c r="J57" s="42" t="s">
        <v>532</v>
      </c>
    </row>
    <row r="58" spans="1:12" s="43" customFormat="1" ht="15" x14ac:dyDescent="0.25">
      <c r="A58" s="38" t="s">
        <v>599</v>
      </c>
      <c r="B58" s="39" t="s">
        <v>305</v>
      </c>
      <c r="C58" s="39" t="s">
        <v>1550</v>
      </c>
      <c r="D58" s="40">
        <v>0.20899999999999999</v>
      </c>
      <c r="E58" s="40">
        <v>0.23730000000000001</v>
      </c>
      <c r="F58" s="40">
        <v>0.66200000000000003</v>
      </c>
      <c r="G58" s="41">
        <v>0.68429003021148005</v>
      </c>
      <c r="H58" s="41">
        <v>0.64154078549849003</v>
      </c>
      <c r="I58" s="41">
        <v>4.2749244712990901E-2</v>
      </c>
      <c r="J58" s="42" t="s">
        <v>532</v>
      </c>
    </row>
    <row r="59" spans="1:12" x14ac:dyDescent="0.25">
      <c r="A59" s="44">
        <v>2018</v>
      </c>
      <c r="B59" s="44" t="s">
        <v>305</v>
      </c>
      <c r="C59" s="44" t="s">
        <v>1961</v>
      </c>
      <c r="D59" s="45">
        <v>0.20900000000000002</v>
      </c>
      <c r="E59" s="45">
        <v>0.23819415898111551</v>
      </c>
      <c r="F59" s="45">
        <v>0.66200000000000003</v>
      </c>
      <c r="G59" s="46">
        <v>0.68429003021148038</v>
      </c>
      <c r="H59" s="46">
        <v>0.6401900921735415</v>
      </c>
      <c r="I59" s="46">
        <v>4.4099938037938838E-2</v>
      </c>
      <c r="J59" s="47" t="s">
        <v>533</v>
      </c>
      <c r="K59" s="48"/>
      <c r="L59" s="48"/>
    </row>
    <row r="60" spans="1:12" s="43" customFormat="1" ht="15" x14ac:dyDescent="0.25">
      <c r="A60" s="38" t="s">
        <v>660</v>
      </c>
      <c r="B60" s="39" t="s">
        <v>306</v>
      </c>
      <c r="C60" s="39" t="s">
        <v>524</v>
      </c>
      <c r="D60" s="40">
        <v>0.2356</v>
      </c>
      <c r="E60" s="40"/>
      <c r="F60" s="40"/>
      <c r="G60" s="41"/>
      <c r="H60" s="41"/>
      <c r="I60" s="41"/>
      <c r="J60" s="42" t="s">
        <v>532</v>
      </c>
    </row>
    <row r="61" spans="1:12" x14ac:dyDescent="0.25">
      <c r="A61" s="44">
        <v>2018</v>
      </c>
      <c r="B61" s="44" t="s">
        <v>306</v>
      </c>
      <c r="C61" s="44" t="s">
        <v>524</v>
      </c>
      <c r="D61" s="45"/>
      <c r="F61" s="45"/>
      <c r="J61" s="47" t="s">
        <v>533</v>
      </c>
      <c r="K61" s="48"/>
      <c r="L61" s="48"/>
    </row>
    <row r="62" spans="1:12" s="43" customFormat="1" ht="15" x14ac:dyDescent="0.25">
      <c r="A62" s="38" t="s">
        <v>646</v>
      </c>
      <c r="B62" s="39" t="s">
        <v>309</v>
      </c>
      <c r="C62" s="39" t="s">
        <v>1693</v>
      </c>
      <c r="D62" s="40">
        <v>1.4753000000000001</v>
      </c>
      <c r="E62" s="40">
        <v>1.5798000000000001</v>
      </c>
      <c r="F62" s="40">
        <v>4.1479999999999997</v>
      </c>
      <c r="G62" s="41">
        <v>0.64433461909353895</v>
      </c>
      <c r="H62" s="41">
        <v>0.61914175506268099</v>
      </c>
      <c r="I62" s="41">
        <v>2.5192864030858301E-2</v>
      </c>
      <c r="J62" s="42" t="s">
        <v>532</v>
      </c>
    </row>
    <row r="63" spans="1:12" x14ac:dyDescent="0.25">
      <c r="A63" s="44">
        <v>2018</v>
      </c>
      <c r="B63" s="44" t="s">
        <v>309</v>
      </c>
      <c r="C63" s="44" t="s">
        <v>1693</v>
      </c>
      <c r="D63" s="45">
        <v>1.4753000000000001</v>
      </c>
      <c r="E63" s="45">
        <v>1.5798000000000001</v>
      </c>
      <c r="F63" s="45">
        <v>4.1479999999999997</v>
      </c>
      <c r="G63" s="46">
        <v>0.64433461909353906</v>
      </c>
      <c r="H63" s="46">
        <v>0.61914175506268077</v>
      </c>
      <c r="I63" s="46">
        <v>2.5192864030858297E-2</v>
      </c>
      <c r="J63" s="47" t="s">
        <v>533</v>
      </c>
      <c r="K63" s="48"/>
      <c r="L63" s="48"/>
    </row>
    <row r="64" spans="1:12" s="43" customFormat="1" ht="15" x14ac:dyDescent="0.25">
      <c r="A64" s="38" t="s">
        <v>653</v>
      </c>
      <c r="B64" s="39" t="s">
        <v>310</v>
      </c>
      <c r="C64" s="39" t="s">
        <v>1700</v>
      </c>
      <c r="D64" s="40">
        <v>1.4444999999999999</v>
      </c>
      <c r="E64" s="40">
        <v>1.4991000000000001</v>
      </c>
      <c r="F64" s="40">
        <v>4.1479999999999997</v>
      </c>
      <c r="G64" s="41">
        <v>0.65175988428158205</v>
      </c>
      <c r="H64" s="41">
        <v>0.63859691417550601</v>
      </c>
      <c r="I64" s="41">
        <v>1.31629701060754E-2</v>
      </c>
      <c r="J64" s="42" t="s">
        <v>532</v>
      </c>
    </row>
    <row r="65" spans="1:12" x14ac:dyDescent="0.25">
      <c r="A65" s="44">
        <v>2018</v>
      </c>
      <c r="B65" s="44" t="s">
        <v>310</v>
      </c>
      <c r="C65" s="44" t="s">
        <v>1700</v>
      </c>
      <c r="D65" s="45">
        <v>1.4444999999999999</v>
      </c>
      <c r="E65" s="45">
        <v>1.4991000000000001</v>
      </c>
      <c r="F65" s="45">
        <v>4.1479999999999997</v>
      </c>
      <c r="G65" s="46">
        <v>0.65175988428158149</v>
      </c>
      <c r="H65" s="46">
        <v>0.63859691417550613</v>
      </c>
      <c r="I65" s="46">
        <v>1.3162970106075369E-2</v>
      </c>
      <c r="J65" s="47" t="s">
        <v>533</v>
      </c>
      <c r="K65" s="48"/>
      <c r="L65" s="48"/>
    </row>
    <row r="66" spans="1:12" s="43" customFormat="1" ht="15" x14ac:dyDescent="0.25">
      <c r="A66" s="38" t="s">
        <v>575</v>
      </c>
      <c r="B66" s="39" t="s">
        <v>311</v>
      </c>
      <c r="C66" s="39" t="s">
        <v>1706</v>
      </c>
      <c r="D66" s="40">
        <v>1.4737</v>
      </c>
      <c r="E66" s="40">
        <v>1.4450000000000001</v>
      </c>
      <c r="F66" s="40">
        <v>4.1479999999999997</v>
      </c>
      <c r="G66" s="41">
        <v>0.64472034715525595</v>
      </c>
      <c r="H66" s="41">
        <v>0.65163934426229497</v>
      </c>
      <c r="I66" s="41">
        <v>-6.9189971070394698E-3</v>
      </c>
      <c r="J66" s="42" t="s">
        <v>532</v>
      </c>
    </row>
    <row r="67" spans="1:12" s="43" customFormat="1" ht="15" x14ac:dyDescent="0.25">
      <c r="A67" s="38" t="s">
        <v>661</v>
      </c>
      <c r="B67" s="39" t="s">
        <v>311</v>
      </c>
      <c r="C67" s="39" t="s">
        <v>1784</v>
      </c>
      <c r="D67" s="40">
        <v>1.4737</v>
      </c>
      <c r="E67" s="40">
        <v>1.5457000000000001</v>
      </c>
      <c r="F67" s="40">
        <v>4.1479999999999997</v>
      </c>
      <c r="G67" s="41">
        <v>0.64472034715525595</v>
      </c>
      <c r="H67" s="41">
        <v>0.62736258437801395</v>
      </c>
      <c r="I67" s="41">
        <v>1.7357762777242099E-2</v>
      </c>
      <c r="J67" s="42" t="s">
        <v>532</v>
      </c>
    </row>
    <row r="68" spans="1:12" s="43" customFormat="1" ht="15" x14ac:dyDescent="0.25">
      <c r="A68" s="38" t="s">
        <v>644</v>
      </c>
      <c r="B68" s="39" t="s">
        <v>311</v>
      </c>
      <c r="C68" s="39" t="s">
        <v>1790</v>
      </c>
      <c r="D68" s="40">
        <v>1.4737</v>
      </c>
      <c r="E68" s="40">
        <v>1.7115</v>
      </c>
      <c r="F68" s="40">
        <v>4.1479999999999997</v>
      </c>
      <c r="G68" s="41">
        <v>0.64472034715525595</v>
      </c>
      <c r="H68" s="41">
        <v>0.587391513982642</v>
      </c>
      <c r="I68" s="41">
        <v>5.7328833172613301E-2</v>
      </c>
      <c r="J68" s="42" t="s">
        <v>532</v>
      </c>
    </row>
    <row r="69" spans="1:12" x14ac:dyDescent="0.25">
      <c r="A69" s="44">
        <v>2018</v>
      </c>
      <c r="B69" s="44" t="s">
        <v>311</v>
      </c>
      <c r="C69" s="44" t="s">
        <v>1991</v>
      </c>
      <c r="D69" s="45">
        <v>1.4737</v>
      </c>
      <c r="E69" s="45">
        <v>1.5411177353342429</v>
      </c>
      <c r="F69" s="45">
        <v>4.1479999999999997</v>
      </c>
      <c r="G69" s="46">
        <v>0.6447203471552555</v>
      </c>
      <c r="H69" s="46">
        <v>0.62846727692038495</v>
      </c>
      <c r="I69" s="46">
        <v>1.6253070234870541E-2</v>
      </c>
      <c r="J69" s="47" t="s">
        <v>533</v>
      </c>
      <c r="K69" s="48"/>
      <c r="L69" s="48"/>
    </row>
    <row r="70" spans="1:12" s="43" customFormat="1" ht="15" x14ac:dyDescent="0.25">
      <c r="A70" s="38" t="s">
        <v>593</v>
      </c>
      <c r="B70" s="39" t="s">
        <v>96</v>
      </c>
      <c r="C70" s="39" t="s">
        <v>860</v>
      </c>
      <c r="D70" s="40">
        <v>2.1810999999999998</v>
      </c>
      <c r="E70" s="40">
        <v>2.5059999999999998</v>
      </c>
      <c r="F70" s="40">
        <v>6.242</v>
      </c>
      <c r="G70" s="41">
        <v>0.65058207839367699</v>
      </c>
      <c r="H70" s="41">
        <v>0.59852878350955896</v>
      </c>
      <c r="I70" s="41">
        <v>5.2053294884118403E-2</v>
      </c>
      <c r="J70" s="42" t="s">
        <v>532</v>
      </c>
    </row>
    <row r="71" spans="1:12" s="43" customFormat="1" ht="15" x14ac:dyDescent="0.25">
      <c r="A71" s="38" t="s">
        <v>591</v>
      </c>
      <c r="B71" s="39" t="s">
        <v>96</v>
      </c>
      <c r="C71" s="39" t="s">
        <v>890</v>
      </c>
      <c r="D71" s="40">
        <v>2.1810999999999998</v>
      </c>
      <c r="E71" s="40">
        <v>2.3574999999999999</v>
      </c>
      <c r="F71" s="40">
        <v>6.242</v>
      </c>
      <c r="G71" s="41">
        <v>0.65058207839367699</v>
      </c>
      <c r="H71" s="41">
        <v>0.62231656520346001</v>
      </c>
      <c r="I71" s="41">
        <v>2.82655131902168E-2</v>
      </c>
      <c r="J71" s="42" t="s">
        <v>532</v>
      </c>
    </row>
    <row r="72" spans="1:12" x14ac:dyDescent="0.25">
      <c r="A72" s="44">
        <v>2018</v>
      </c>
      <c r="B72" s="44" t="s">
        <v>96</v>
      </c>
      <c r="C72" s="44" t="s">
        <v>1871</v>
      </c>
      <c r="D72" s="45">
        <v>2.1810999999999998</v>
      </c>
      <c r="E72" s="45">
        <v>2.4345554156171278</v>
      </c>
      <c r="F72" s="45">
        <v>6.2420000000000009</v>
      </c>
      <c r="G72" s="46">
        <v>0.65058207839367721</v>
      </c>
      <c r="H72" s="46">
        <v>0.60997328301468534</v>
      </c>
      <c r="I72" s="46">
        <v>4.0608795378991897E-2</v>
      </c>
      <c r="J72" s="47" t="s">
        <v>533</v>
      </c>
      <c r="K72" s="48"/>
      <c r="L72" s="48"/>
    </row>
    <row r="73" spans="1:12" s="43" customFormat="1" ht="15" x14ac:dyDescent="0.25">
      <c r="A73" s="38" t="s">
        <v>593</v>
      </c>
      <c r="B73" s="39" t="s">
        <v>97</v>
      </c>
      <c r="C73" s="39" t="s">
        <v>861</v>
      </c>
      <c r="D73" s="40">
        <v>4.7484999999999999</v>
      </c>
      <c r="E73" s="40">
        <v>6.0316999999999998</v>
      </c>
      <c r="F73" s="40">
        <v>12.539</v>
      </c>
      <c r="G73" s="41">
        <v>0.62130419757024802</v>
      </c>
      <c r="H73" s="41">
        <v>0.518960842172422</v>
      </c>
      <c r="I73" s="41">
        <v>0.10234335539782501</v>
      </c>
      <c r="J73" s="42" t="s">
        <v>532</v>
      </c>
    </row>
    <row r="74" spans="1:12" s="43" customFormat="1" ht="15" x14ac:dyDescent="0.25">
      <c r="A74" s="38" t="s">
        <v>591</v>
      </c>
      <c r="B74" s="39" t="s">
        <v>97</v>
      </c>
      <c r="C74" s="39" t="s">
        <v>891</v>
      </c>
      <c r="D74" s="40">
        <v>4.7484999999999999</v>
      </c>
      <c r="E74" s="40">
        <v>5.4341999999999997</v>
      </c>
      <c r="F74" s="40">
        <v>12.539</v>
      </c>
      <c r="G74" s="41">
        <v>0.62130419757024802</v>
      </c>
      <c r="H74" s="41">
        <v>0.566617486774596</v>
      </c>
      <c r="I74" s="41">
        <v>5.4686710795650899E-2</v>
      </c>
      <c r="J74" s="42" t="s">
        <v>532</v>
      </c>
    </row>
    <row r="75" spans="1:12" s="43" customFormat="1" ht="15" x14ac:dyDescent="0.25">
      <c r="A75" s="38" t="s">
        <v>536</v>
      </c>
      <c r="B75" s="39" t="s">
        <v>97</v>
      </c>
      <c r="C75" s="39" t="s">
        <v>1386</v>
      </c>
      <c r="D75" s="40">
        <v>5.6894</v>
      </c>
      <c r="E75" s="40">
        <v>6.0688000000000004</v>
      </c>
      <c r="F75" s="40">
        <v>12.965999999999999</v>
      </c>
      <c r="G75" s="41">
        <v>0.56120623168286299</v>
      </c>
      <c r="H75" s="41">
        <v>0.53194251632474698</v>
      </c>
      <c r="I75" s="41">
        <v>2.9263715358116098E-2</v>
      </c>
      <c r="J75" s="42" t="s">
        <v>532</v>
      </c>
    </row>
    <row r="76" spans="1:12" x14ac:dyDescent="0.25">
      <c r="A76" s="44">
        <v>2018</v>
      </c>
      <c r="B76" s="44" t="s">
        <v>97</v>
      </c>
      <c r="C76" s="44" t="s">
        <v>1648</v>
      </c>
      <c r="D76" s="45">
        <v>4.8548517287234043</v>
      </c>
      <c r="E76" s="45">
        <v>5.9977551861702132</v>
      </c>
      <c r="F76" s="45">
        <v>12.587264627659575</v>
      </c>
      <c r="G76" s="46">
        <v>0.6145112094047851</v>
      </c>
      <c r="H76" s="46">
        <v>0.52347009914562947</v>
      </c>
      <c r="I76" s="46">
        <v>9.1041110259155691E-2</v>
      </c>
      <c r="J76" s="47" t="s">
        <v>533</v>
      </c>
      <c r="K76" s="48"/>
      <c r="L76" s="48"/>
    </row>
    <row r="77" spans="1:12" s="43" customFormat="1" ht="15" x14ac:dyDescent="0.25">
      <c r="A77" s="38" t="s">
        <v>559</v>
      </c>
      <c r="B77" s="39" t="s">
        <v>98</v>
      </c>
      <c r="C77" s="39" t="s">
        <v>823</v>
      </c>
      <c r="D77" s="40">
        <v>0.64739999999999998</v>
      </c>
      <c r="E77" s="40">
        <v>0.63729999999999998</v>
      </c>
      <c r="F77" s="40">
        <v>2.173</v>
      </c>
      <c r="G77" s="41">
        <v>0.70207086976530098</v>
      </c>
      <c r="H77" s="41">
        <v>0.70671882190519997</v>
      </c>
      <c r="I77" s="41">
        <v>-4.64795213989877E-3</v>
      </c>
      <c r="J77" s="42" t="s">
        <v>532</v>
      </c>
    </row>
    <row r="78" spans="1:12" s="43" customFormat="1" ht="15" x14ac:dyDescent="0.25">
      <c r="A78" s="38" t="s">
        <v>588</v>
      </c>
      <c r="B78" s="39" t="s">
        <v>98</v>
      </c>
      <c r="C78" s="39" t="s">
        <v>847</v>
      </c>
      <c r="D78" s="40">
        <v>0.64739999999999998</v>
      </c>
      <c r="E78" s="40">
        <v>0.71660000000000001</v>
      </c>
      <c r="F78" s="40">
        <v>2.173</v>
      </c>
      <c r="G78" s="41">
        <v>0.70207086976530098</v>
      </c>
      <c r="H78" s="41">
        <v>0.67022549470777704</v>
      </c>
      <c r="I78" s="41">
        <v>3.1845375057524203E-2</v>
      </c>
      <c r="J78" s="42" t="s">
        <v>532</v>
      </c>
    </row>
    <row r="79" spans="1:12" s="43" customFormat="1" ht="15" x14ac:dyDescent="0.25">
      <c r="A79" s="38" t="s">
        <v>689</v>
      </c>
      <c r="B79" s="39" t="s">
        <v>98</v>
      </c>
      <c r="C79" s="39" t="s">
        <v>1118</v>
      </c>
      <c r="D79" s="40">
        <v>0.64739999999999998</v>
      </c>
      <c r="E79" s="40">
        <v>0.7026</v>
      </c>
      <c r="F79" s="40">
        <v>2.173</v>
      </c>
      <c r="G79" s="41">
        <v>0.70207086976530098</v>
      </c>
      <c r="H79" s="41">
        <v>0.67666820064427102</v>
      </c>
      <c r="I79" s="41">
        <v>2.5402669121030699E-2</v>
      </c>
      <c r="J79" s="42" t="s">
        <v>532</v>
      </c>
    </row>
    <row r="80" spans="1:12" s="43" customFormat="1" ht="15" x14ac:dyDescent="0.25">
      <c r="A80" s="38" t="s">
        <v>690</v>
      </c>
      <c r="B80" s="39" t="s">
        <v>98</v>
      </c>
      <c r="C80" s="39" t="s">
        <v>1124</v>
      </c>
      <c r="D80" s="40">
        <v>0.64739999999999998</v>
      </c>
      <c r="E80" s="40">
        <v>0.75190000000000001</v>
      </c>
      <c r="F80" s="40">
        <v>2.173</v>
      </c>
      <c r="G80" s="41">
        <v>0.70207086976530098</v>
      </c>
      <c r="H80" s="41">
        <v>0.65398067188219</v>
      </c>
      <c r="I80" s="41">
        <v>4.8090197883110898E-2</v>
      </c>
      <c r="J80" s="42" t="s">
        <v>532</v>
      </c>
    </row>
    <row r="81" spans="1:12" s="43" customFormat="1" ht="15" x14ac:dyDescent="0.25">
      <c r="A81" s="38" t="s">
        <v>703</v>
      </c>
      <c r="B81" s="39" t="s">
        <v>98</v>
      </c>
      <c r="C81" s="39" t="s">
        <v>1288</v>
      </c>
      <c r="D81" s="40">
        <v>0.63849999999999996</v>
      </c>
      <c r="E81" s="40">
        <v>0.78759999999999997</v>
      </c>
      <c r="F81" s="40">
        <v>2.173</v>
      </c>
      <c r="G81" s="41">
        <v>0.70616658996778603</v>
      </c>
      <c r="H81" s="41">
        <v>0.63755177174413302</v>
      </c>
      <c r="I81" s="41">
        <v>6.8614818223653895E-2</v>
      </c>
      <c r="J81" s="42" t="s">
        <v>532</v>
      </c>
    </row>
    <row r="82" spans="1:12" s="43" customFormat="1" ht="15" x14ac:dyDescent="0.25">
      <c r="A82" s="38" t="s">
        <v>704</v>
      </c>
      <c r="B82" s="39" t="s">
        <v>98</v>
      </c>
      <c r="C82" s="39" t="s">
        <v>1293</v>
      </c>
      <c r="D82" s="40">
        <v>0.63849999999999996</v>
      </c>
      <c r="E82" s="40">
        <v>0.69289999999999996</v>
      </c>
      <c r="F82" s="40">
        <v>2.173</v>
      </c>
      <c r="G82" s="41">
        <v>0.70616658996778603</v>
      </c>
      <c r="H82" s="41">
        <v>0.68113207547169796</v>
      </c>
      <c r="I82" s="41">
        <v>2.50345144960883E-2</v>
      </c>
      <c r="J82" s="42" t="s">
        <v>532</v>
      </c>
    </row>
    <row r="83" spans="1:12" s="43" customFormat="1" ht="15" x14ac:dyDescent="0.25">
      <c r="A83" s="38" t="s">
        <v>580</v>
      </c>
      <c r="B83" s="39" t="s">
        <v>98</v>
      </c>
      <c r="C83" s="39" t="s">
        <v>1456</v>
      </c>
      <c r="D83" s="40">
        <v>0.63849999999999996</v>
      </c>
      <c r="E83" s="40">
        <v>0.66790000000000005</v>
      </c>
      <c r="F83" s="40">
        <v>2.2229999999999999</v>
      </c>
      <c r="G83" s="41">
        <v>0.71277552856500204</v>
      </c>
      <c r="H83" s="41">
        <v>0.69955015744489402</v>
      </c>
      <c r="I83" s="41">
        <v>1.32253711201078E-2</v>
      </c>
      <c r="J83" s="42" t="s">
        <v>532</v>
      </c>
    </row>
    <row r="84" spans="1:12" x14ac:dyDescent="0.25">
      <c r="A84" s="44">
        <v>2018</v>
      </c>
      <c r="B84" s="44" t="s">
        <v>98</v>
      </c>
      <c r="C84" s="44" t="s">
        <v>1856</v>
      </c>
      <c r="D84" s="45">
        <v>0.64316944444444446</v>
      </c>
      <c r="E84" s="45">
        <v>0.71488171660424471</v>
      </c>
      <c r="F84" s="45">
        <v>2.1807621722846444</v>
      </c>
      <c r="G84" s="46">
        <v>0.70504373740782311</v>
      </c>
      <c r="H84" s="46">
        <v>0.67208947392386675</v>
      </c>
      <c r="I84" s="46">
        <v>3.2954263483956497E-2</v>
      </c>
      <c r="J84" s="47" t="s">
        <v>533</v>
      </c>
      <c r="K84" s="48"/>
      <c r="L84" s="48"/>
    </row>
    <row r="85" spans="1:12" s="43" customFormat="1" ht="15" x14ac:dyDescent="0.25">
      <c r="A85" s="38" t="s">
        <v>667</v>
      </c>
      <c r="B85" s="39" t="s">
        <v>99</v>
      </c>
      <c r="C85" s="39" t="s">
        <v>726</v>
      </c>
      <c r="D85" s="40">
        <v>2.6633</v>
      </c>
      <c r="E85" s="40">
        <v>2.6326999999999998</v>
      </c>
      <c r="F85" s="40">
        <v>5.3490000000000002</v>
      </c>
      <c r="G85" s="41">
        <v>0.50209384931762902</v>
      </c>
      <c r="H85" s="41">
        <v>0.50781454477472399</v>
      </c>
      <c r="I85" s="41">
        <v>-5.72069545709497E-3</v>
      </c>
      <c r="J85" s="42" t="s">
        <v>532</v>
      </c>
    </row>
    <row r="86" spans="1:12" s="43" customFormat="1" ht="15" x14ac:dyDescent="0.25">
      <c r="A86" s="38" t="s">
        <v>591</v>
      </c>
      <c r="B86" s="39" t="s">
        <v>99</v>
      </c>
      <c r="C86" s="39" t="s">
        <v>892</v>
      </c>
      <c r="D86" s="40">
        <v>2.6633</v>
      </c>
      <c r="E86" s="40">
        <v>2.5649000000000002</v>
      </c>
      <c r="F86" s="40">
        <v>5.3490000000000002</v>
      </c>
      <c r="G86" s="41">
        <v>0.50209384931762902</v>
      </c>
      <c r="H86" s="41">
        <v>0.52048981117965998</v>
      </c>
      <c r="I86" s="41">
        <v>-1.8395961862030401E-2</v>
      </c>
      <c r="J86" s="42" t="s">
        <v>532</v>
      </c>
    </row>
    <row r="87" spans="1:12" s="43" customFormat="1" ht="15" x14ac:dyDescent="0.25">
      <c r="A87" s="38" t="s">
        <v>601</v>
      </c>
      <c r="B87" s="39" t="s">
        <v>99</v>
      </c>
      <c r="C87" s="39" t="s">
        <v>735</v>
      </c>
      <c r="D87" s="40">
        <v>2.6633</v>
      </c>
      <c r="E87" s="40">
        <v>2.625</v>
      </c>
      <c r="F87" s="40">
        <v>5.3490000000000002</v>
      </c>
      <c r="G87" s="41">
        <v>0.50209384931762902</v>
      </c>
      <c r="H87" s="41">
        <v>0.50925406618059399</v>
      </c>
      <c r="I87" s="41">
        <v>-7.1602168629651998E-3</v>
      </c>
      <c r="J87" s="42" t="s">
        <v>532</v>
      </c>
    </row>
    <row r="88" spans="1:12" s="43" customFormat="1" ht="15" x14ac:dyDescent="0.25">
      <c r="A88" s="38" t="s">
        <v>622</v>
      </c>
      <c r="B88" s="39" t="s">
        <v>99</v>
      </c>
      <c r="C88" s="39" t="s">
        <v>1129</v>
      </c>
      <c r="D88" s="40">
        <v>2.6633</v>
      </c>
      <c r="E88" s="40">
        <v>2.6642999999999999</v>
      </c>
      <c r="F88" s="40">
        <v>5.3490000000000002</v>
      </c>
      <c r="G88" s="41">
        <v>0.50209384931762902</v>
      </c>
      <c r="H88" s="41">
        <v>0.50190689848569803</v>
      </c>
      <c r="I88" s="41">
        <v>1.8695083193109901E-4</v>
      </c>
      <c r="J88" s="42" t="s">
        <v>532</v>
      </c>
    </row>
    <row r="89" spans="1:12" s="43" customFormat="1" ht="15" x14ac:dyDescent="0.25">
      <c r="A89" s="38" t="s">
        <v>691</v>
      </c>
      <c r="B89" s="39" t="s">
        <v>99</v>
      </c>
      <c r="C89" s="39" t="s">
        <v>1133</v>
      </c>
      <c r="D89" s="40">
        <v>2.6633</v>
      </c>
      <c r="E89" s="40">
        <v>2.7081</v>
      </c>
      <c r="F89" s="40">
        <v>5.3490000000000002</v>
      </c>
      <c r="G89" s="41">
        <v>0.50209384931762902</v>
      </c>
      <c r="H89" s="41">
        <v>0.49371845204711201</v>
      </c>
      <c r="I89" s="41">
        <v>8.3753972705177294E-3</v>
      </c>
      <c r="J89" s="42" t="s">
        <v>532</v>
      </c>
    </row>
    <row r="90" spans="1:12" s="43" customFormat="1" ht="15" x14ac:dyDescent="0.25">
      <c r="A90" s="38" t="s">
        <v>699</v>
      </c>
      <c r="B90" s="39" t="s">
        <v>99</v>
      </c>
      <c r="C90" s="39" t="s">
        <v>1223</v>
      </c>
      <c r="D90" s="40">
        <v>2.5642</v>
      </c>
      <c r="E90" s="40">
        <v>2.5937999999999999</v>
      </c>
      <c r="F90" s="40">
        <v>5.3490000000000002</v>
      </c>
      <c r="G90" s="41">
        <v>0.52062067676201196</v>
      </c>
      <c r="H90" s="41">
        <v>0.51508693213684797</v>
      </c>
      <c r="I90" s="41">
        <v>5.53374462516354E-3</v>
      </c>
      <c r="J90" s="42" t="s">
        <v>532</v>
      </c>
    </row>
    <row r="91" spans="1:12" s="43" customFormat="1" ht="15" x14ac:dyDescent="0.25">
      <c r="A91" s="38" t="s">
        <v>573</v>
      </c>
      <c r="B91" s="39" t="s">
        <v>99</v>
      </c>
      <c r="C91" s="39" t="s">
        <v>1334</v>
      </c>
      <c r="D91" s="40">
        <v>2.5642</v>
      </c>
      <c r="E91" s="40">
        <v>2.5518000000000001</v>
      </c>
      <c r="F91" s="40">
        <v>5.3490000000000002</v>
      </c>
      <c r="G91" s="41">
        <v>0.52062067676201196</v>
      </c>
      <c r="H91" s="41">
        <v>0.522938867077958</v>
      </c>
      <c r="I91" s="41">
        <v>-2.3181903159468198E-3</v>
      </c>
      <c r="J91" s="42" t="s">
        <v>532</v>
      </c>
    </row>
    <row r="92" spans="1:12" s="43" customFormat="1" ht="15" x14ac:dyDescent="0.25">
      <c r="A92" s="38" t="s">
        <v>710</v>
      </c>
      <c r="B92" s="39" t="s">
        <v>99</v>
      </c>
      <c r="C92" s="39" t="s">
        <v>1340</v>
      </c>
      <c r="D92" s="40">
        <v>2.5642</v>
      </c>
      <c r="E92" s="40">
        <v>2.5495000000000001</v>
      </c>
      <c r="F92" s="40">
        <v>5.3490000000000002</v>
      </c>
      <c r="G92" s="41">
        <v>0.52062067676201196</v>
      </c>
      <c r="H92" s="41">
        <v>0.52336885399139998</v>
      </c>
      <c r="I92" s="41">
        <v>-2.7481772293885798E-3</v>
      </c>
      <c r="J92" s="42" t="s">
        <v>532</v>
      </c>
    </row>
    <row r="93" spans="1:12" s="43" customFormat="1" ht="15" x14ac:dyDescent="0.25">
      <c r="A93" s="38" t="s">
        <v>711</v>
      </c>
      <c r="B93" s="39" t="s">
        <v>99</v>
      </c>
      <c r="C93" s="39" t="s">
        <v>1370</v>
      </c>
      <c r="D93" s="40">
        <v>2.5642</v>
      </c>
      <c r="E93" s="40">
        <v>2.6949999999999998</v>
      </c>
      <c r="F93" s="40">
        <v>5.3940000000000001</v>
      </c>
      <c r="G93" s="41">
        <v>0.52461994809047097</v>
      </c>
      <c r="H93" s="41">
        <v>0.50037078235076005</v>
      </c>
      <c r="I93" s="41">
        <v>2.4249165739710699E-2</v>
      </c>
      <c r="J93" s="42" t="s">
        <v>532</v>
      </c>
    </row>
    <row r="94" spans="1:12" s="43" customFormat="1" ht="15" x14ac:dyDescent="0.25">
      <c r="A94" s="38" t="s">
        <v>563</v>
      </c>
      <c r="B94" s="39" t="s">
        <v>99</v>
      </c>
      <c r="C94" s="39" t="s">
        <v>1461</v>
      </c>
      <c r="D94" s="40">
        <v>2.5642</v>
      </c>
      <c r="E94" s="40">
        <v>2.5428999999999999</v>
      </c>
      <c r="F94" s="40">
        <v>5.3940000000000001</v>
      </c>
      <c r="G94" s="41">
        <v>0.52461994809047097</v>
      </c>
      <c r="H94" s="41">
        <v>0.52856878012606601</v>
      </c>
      <c r="I94" s="41">
        <v>-3.9488320355951503E-3</v>
      </c>
      <c r="J94" s="42" t="s">
        <v>532</v>
      </c>
    </row>
    <row r="95" spans="1:12" s="43" customFormat="1" ht="15" x14ac:dyDescent="0.25">
      <c r="A95" s="38" t="s">
        <v>638</v>
      </c>
      <c r="B95" s="39" t="s">
        <v>99</v>
      </c>
      <c r="C95" s="39" t="s">
        <v>812</v>
      </c>
      <c r="D95" s="40">
        <v>2.5642</v>
      </c>
      <c r="E95" s="40">
        <v>2.8651</v>
      </c>
      <c r="F95" s="40">
        <v>5.3940000000000001</v>
      </c>
      <c r="G95" s="41">
        <v>0.52461994809047097</v>
      </c>
      <c r="H95" s="41">
        <v>0.468835743418613</v>
      </c>
      <c r="I95" s="41">
        <v>5.5784204671857601E-2</v>
      </c>
      <c r="J95" s="42" t="s">
        <v>532</v>
      </c>
    </row>
    <row r="96" spans="1:12" s="43" customFormat="1" ht="15" x14ac:dyDescent="0.25">
      <c r="A96" s="38" t="s">
        <v>541</v>
      </c>
      <c r="B96" s="39" t="s">
        <v>99</v>
      </c>
      <c r="C96" s="39" t="s">
        <v>1502</v>
      </c>
      <c r="D96" s="40">
        <v>2.5642</v>
      </c>
      <c r="E96" s="40">
        <v>2.5996999999999999</v>
      </c>
      <c r="F96" s="40">
        <v>5.3940000000000001</v>
      </c>
      <c r="G96" s="41">
        <v>0.52461994809047097</v>
      </c>
      <c r="H96" s="41">
        <v>0.51803856136447901</v>
      </c>
      <c r="I96" s="41">
        <v>6.5813867259917301E-3</v>
      </c>
      <c r="J96" s="42" t="s">
        <v>532</v>
      </c>
    </row>
    <row r="97" spans="1:12" x14ac:dyDescent="0.25">
      <c r="A97" s="44">
        <v>2018</v>
      </c>
      <c r="B97" s="44" t="s">
        <v>99</v>
      </c>
      <c r="C97" s="44" t="s">
        <v>1814</v>
      </c>
      <c r="D97" s="45">
        <v>2.611580395543657</v>
      </c>
      <c r="E97" s="45">
        <v>2.6266400854996115</v>
      </c>
      <c r="F97" s="45">
        <v>5.360111063131531</v>
      </c>
      <c r="G97" s="46">
        <v>0.51275034253590956</v>
      </c>
      <c r="H97" s="46">
        <v>0.50998023214473864</v>
      </c>
      <c r="I97" s="46">
        <v>2.7701103911709395E-3</v>
      </c>
      <c r="J97" s="47" t="s">
        <v>533</v>
      </c>
      <c r="K97" s="48"/>
      <c r="L97" s="48"/>
    </row>
    <row r="98" spans="1:12" s="43" customFormat="1" ht="15" x14ac:dyDescent="0.25">
      <c r="A98" s="38" t="s">
        <v>562</v>
      </c>
      <c r="B98" s="39" t="s">
        <v>100</v>
      </c>
      <c r="C98" s="39" t="s">
        <v>771</v>
      </c>
      <c r="D98" s="40">
        <v>3.3584000000000001</v>
      </c>
      <c r="E98" s="40">
        <v>3.2690000000000001</v>
      </c>
      <c r="F98" s="40">
        <v>7.6280000000000001</v>
      </c>
      <c r="G98" s="41">
        <v>0.55972732039853201</v>
      </c>
      <c r="H98" s="41">
        <v>0.57144729942317796</v>
      </c>
      <c r="I98" s="41">
        <v>-1.17199790246459E-2</v>
      </c>
      <c r="J98" s="42" t="s">
        <v>532</v>
      </c>
    </row>
    <row r="99" spans="1:12" s="43" customFormat="1" ht="15" x14ac:dyDescent="0.25">
      <c r="A99" s="38" t="s">
        <v>622</v>
      </c>
      <c r="B99" s="39" t="s">
        <v>100</v>
      </c>
      <c r="C99" s="39" t="s">
        <v>1130</v>
      </c>
      <c r="D99" s="40">
        <v>3.3584000000000001</v>
      </c>
      <c r="E99" s="40">
        <v>3.2898000000000001</v>
      </c>
      <c r="F99" s="40">
        <v>7.6280000000000001</v>
      </c>
      <c r="G99" s="41">
        <v>0.55972732039853201</v>
      </c>
      <c r="H99" s="41">
        <v>0.568720503408495</v>
      </c>
      <c r="I99" s="41">
        <v>-8.9931830099633202E-3</v>
      </c>
      <c r="J99" s="42" t="s">
        <v>532</v>
      </c>
    </row>
    <row r="100" spans="1:12" s="43" customFormat="1" ht="15" x14ac:dyDescent="0.25">
      <c r="A100" s="38" t="s">
        <v>564</v>
      </c>
      <c r="B100" s="39" t="s">
        <v>100</v>
      </c>
      <c r="C100" s="39" t="s">
        <v>1448</v>
      </c>
      <c r="D100" s="40">
        <v>3.2242000000000002</v>
      </c>
      <c r="E100" s="40">
        <v>2.8454999999999999</v>
      </c>
      <c r="F100" s="40">
        <v>7.6870000000000003</v>
      </c>
      <c r="G100" s="41">
        <v>0.58056458956680101</v>
      </c>
      <c r="H100" s="41">
        <v>0.62982958241186404</v>
      </c>
      <c r="I100" s="41">
        <v>-4.9264992845062999E-2</v>
      </c>
      <c r="J100" s="42" t="s">
        <v>532</v>
      </c>
    </row>
    <row r="101" spans="1:12" s="43" customFormat="1" ht="15" x14ac:dyDescent="0.25">
      <c r="A101" s="38" t="s">
        <v>563</v>
      </c>
      <c r="B101" s="39" t="s">
        <v>100</v>
      </c>
      <c r="C101" s="39" t="s">
        <v>1386</v>
      </c>
      <c r="D101" s="40">
        <v>3.2242000000000002</v>
      </c>
      <c r="E101" s="40">
        <v>3.3593999999999999</v>
      </c>
      <c r="F101" s="40">
        <v>7.6870000000000003</v>
      </c>
      <c r="G101" s="41">
        <v>0.58056458956680101</v>
      </c>
      <c r="H101" s="41">
        <v>0.56297645375309002</v>
      </c>
      <c r="I101" s="41">
        <v>1.7588135813711402E-2</v>
      </c>
      <c r="J101" s="42" t="s">
        <v>532</v>
      </c>
    </row>
    <row r="102" spans="1:12" x14ac:dyDescent="0.25">
      <c r="A102" s="44">
        <v>2018</v>
      </c>
      <c r="B102" s="44" t="s">
        <v>100</v>
      </c>
      <c r="C102" s="44" t="s">
        <v>1838</v>
      </c>
      <c r="D102" s="45">
        <v>3.3386513146734522</v>
      </c>
      <c r="E102" s="45">
        <v>3.234032994062765</v>
      </c>
      <c r="F102" s="45">
        <v>7.6366823579304501</v>
      </c>
      <c r="G102" s="46">
        <v>0.56279370394449857</v>
      </c>
      <c r="H102" s="46">
        <v>0.57647130852003148</v>
      </c>
      <c r="I102" s="46">
        <v>-1.3677604575532966E-2</v>
      </c>
      <c r="J102" s="47" t="s">
        <v>533</v>
      </c>
      <c r="K102" s="48"/>
      <c r="L102" s="48"/>
    </row>
    <row r="103" spans="1:12" s="43" customFormat="1" ht="15" x14ac:dyDescent="0.25">
      <c r="A103" s="38" t="s">
        <v>666</v>
      </c>
      <c r="B103" s="39" t="s">
        <v>101</v>
      </c>
      <c r="C103" s="39" t="s">
        <v>720</v>
      </c>
      <c r="D103" s="40">
        <v>0.74429999999999996</v>
      </c>
      <c r="E103" s="40">
        <v>0.69720000000000004</v>
      </c>
      <c r="F103" s="40">
        <v>1.821</v>
      </c>
      <c r="G103" s="41">
        <v>0.59126853377265198</v>
      </c>
      <c r="H103" s="41">
        <v>0.61713344316309704</v>
      </c>
      <c r="I103" s="41">
        <v>-2.58649093904448E-2</v>
      </c>
      <c r="J103" s="42" t="s">
        <v>532</v>
      </c>
    </row>
    <row r="104" spans="1:12" s="43" customFormat="1" ht="15" x14ac:dyDescent="0.25">
      <c r="A104" s="38" t="s">
        <v>593</v>
      </c>
      <c r="B104" s="39" t="s">
        <v>101</v>
      </c>
      <c r="C104" s="39" t="s">
        <v>862</v>
      </c>
      <c r="D104" s="40">
        <v>0.74429999999999996</v>
      </c>
      <c r="E104" s="40">
        <v>0.73209999999999997</v>
      </c>
      <c r="F104" s="40">
        <v>1.821</v>
      </c>
      <c r="G104" s="41">
        <v>0.59126853377265198</v>
      </c>
      <c r="H104" s="41">
        <v>0.59796814936847897</v>
      </c>
      <c r="I104" s="41">
        <v>-6.6996155958265503E-3</v>
      </c>
      <c r="J104" s="42" t="s">
        <v>532</v>
      </c>
    </row>
    <row r="105" spans="1:12" s="43" customFormat="1" ht="15" x14ac:dyDescent="0.25">
      <c r="A105" s="38" t="s">
        <v>594</v>
      </c>
      <c r="B105" s="39" t="s">
        <v>101</v>
      </c>
      <c r="C105" s="39" t="s">
        <v>870</v>
      </c>
      <c r="D105" s="40">
        <v>0.74429999999999996</v>
      </c>
      <c r="E105" s="40">
        <v>0.72199999999999998</v>
      </c>
      <c r="F105" s="40">
        <v>1.821</v>
      </c>
      <c r="G105" s="41">
        <v>0.59126853377265198</v>
      </c>
      <c r="H105" s="41">
        <v>0.60351455244371199</v>
      </c>
      <c r="I105" s="41">
        <v>-1.2246018671059899E-2</v>
      </c>
      <c r="J105" s="42" t="s">
        <v>532</v>
      </c>
    </row>
    <row r="106" spans="1:12" s="43" customFormat="1" ht="15" x14ac:dyDescent="0.25">
      <c r="A106" s="38" t="s">
        <v>581</v>
      </c>
      <c r="B106" s="39" t="s">
        <v>101</v>
      </c>
      <c r="C106" s="39" t="s">
        <v>881</v>
      </c>
      <c r="D106" s="40">
        <v>0.74429999999999996</v>
      </c>
      <c r="E106" s="40">
        <v>0.71870000000000001</v>
      </c>
      <c r="F106" s="40">
        <v>1.821</v>
      </c>
      <c r="G106" s="41">
        <v>0.59126853377265198</v>
      </c>
      <c r="H106" s="41">
        <v>0.60532674354750104</v>
      </c>
      <c r="I106" s="41">
        <v>-1.40582097748491E-2</v>
      </c>
      <c r="J106" s="42" t="s">
        <v>532</v>
      </c>
    </row>
    <row r="107" spans="1:12" s="43" customFormat="1" ht="15" x14ac:dyDescent="0.25">
      <c r="A107" s="38" t="s">
        <v>688</v>
      </c>
      <c r="B107" s="39" t="s">
        <v>101</v>
      </c>
      <c r="C107" s="39" t="s">
        <v>1108</v>
      </c>
      <c r="D107" s="40">
        <v>0.74429999999999996</v>
      </c>
      <c r="E107" s="40">
        <v>0.72889999999999999</v>
      </c>
      <c r="F107" s="40">
        <v>1.821</v>
      </c>
      <c r="G107" s="41">
        <v>0.59126853377265198</v>
      </c>
      <c r="H107" s="41">
        <v>0.59972542559033504</v>
      </c>
      <c r="I107" s="41">
        <v>-8.4568918176826102E-3</v>
      </c>
      <c r="J107" s="42" t="s">
        <v>532</v>
      </c>
    </row>
    <row r="108" spans="1:12" s="43" customFormat="1" ht="15" x14ac:dyDescent="0.25">
      <c r="A108" s="38" t="s">
        <v>537</v>
      </c>
      <c r="B108" s="39" t="s">
        <v>101</v>
      </c>
      <c r="C108" s="39" t="s">
        <v>1113</v>
      </c>
      <c r="D108" s="40">
        <v>0.74429999999999996</v>
      </c>
      <c r="E108" s="40">
        <v>0.63029999999999997</v>
      </c>
      <c r="F108" s="40">
        <v>1.821</v>
      </c>
      <c r="G108" s="41">
        <v>0.59126853377265198</v>
      </c>
      <c r="H108" s="41">
        <v>0.65387149917627696</v>
      </c>
      <c r="I108" s="41">
        <v>-6.2602965403624505E-2</v>
      </c>
      <c r="J108" s="42" t="s">
        <v>532</v>
      </c>
    </row>
    <row r="109" spans="1:12" s="43" customFormat="1" ht="15" x14ac:dyDescent="0.25">
      <c r="A109" s="38" t="s">
        <v>698</v>
      </c>
      <c r="B109" s="39" t="s">
        <v>101</v>
      </c>
      <c r="C109" s="39" t="s">
        <v>1207</v>
      </c>
      <c r="D109" s="40">
        <v>0.71699999999999997</v>
      </c>
      <c r="E109" s="40">
        <v>0.71220000000000006</v>
      </c>
      <c r="F109" s="40">
        <v>1.821</v>
      </c>
      <c r="G109" s="41">
        <v>0.60626029654036195</v>
      </c>
      <c r="H109" s="41">
        <v>0.60889621087314705</v>
      </c>
      <c r="I109" s="41">
        <v>-2.6359143327840998E-3</v>
      </c>
      <c r="J109" s="42" t="s">
        <v>532</v>
      </c>
    </row>
    <row r="110" spans="1:12" s="43" customFormat="1" ht="15" x14ac:dyDescent="0.25">
      <c r="A110" s="38" t="s">
        <v>625</v>
      </c>
      <c r="B110" s="39" t="s">
        <v>101</v>
      </c>
      <c r="C110" s="39" t="s">
        <v>1212</v>
      </c>
      <c r="D110" s="40">
        <v>0.71699999999999997</v>
      </c>
      <c r="E110" s="40">
        <v>0.74770000000000003</v>
      </c>
      <c r="F110" s="40">
        <v>1.821</v>
      </c>
      <c r="G110" s="41">
        <v>0.60626029654036195</v>
      </c>
      <c r="H110" s="41">
        <v>0.58940142778693005</v>
      </c>
      <c r="I110" s="41">
        <v>1.6858868753432201E-2</v>
      </c>
      <c r="J110" s="42" t="s">
        <v>532</v>
      </c>
    </row>
    <row r="111" spans="1:12" s="43" customFormat="1" ht="15" x14ac:dyDescent="0.25">
      <c r="A111" s="38" t="s">
        <v>549</v>
      </c>
      <c r="B111" s="39" t="s">
        <v>101</v>
      </c>
      <c r="C111" s="39" t="s">
        <v>1219</v>
      </c>
      <c r="D111" s="40">
        <v>0.71699999999999997</v>
      </c>
      <c r="E111" s="40">
        <v>0.74</v>
      </c>
      <c r="F111" s="40">
        <v>1.821</v>
      </c>
      <c r="G111" s="41">
        <v>0.60626029654036195</v>
      </c>
      <c r="H111" s="41">
        <v>0.59362987369577203</v>
      </c>
      <c r="I111" s="41">
        <v>1.2630422844590899E-2</v>
      </c>
      <c r="J111" s="42" t="s">
        <v>532</v>
      </c>
    </row>
    <row r="112" spans="1:12" s="43" customFormat="1" ht="15" x14ac:dyDescent="0.25">
      <c r="A112" s="38" t="s">
        <v>568</v>
      </c>
      <c r="B112" s="39" t="s">
        <v>101</v>
      </c>
      <c r="C112" s="39" t="s">
        <v>1325</v>
      </c>
      <c r="D112" s="40">
        <v>0.71699999999999997</v>
      </c>
      <c r="E112" s="40">
        <v>0.72319999999999995</v>
      </c>
      <c r="F112" s="40">
        <v>1.821</v>
      </c>
      <c r="G112" s="41">
        <v>0.60626029654036195</v>
      </c>
      <c r="H112" s="41">
        <v>0.60285557386051603</v>
      </c>
      <c r="I112" s="41">
        <v>3.40472267984637E-3</v>
      </c>
      <c r="J112" s="42" t="s">
        <v>532</v>
      </c>
    </row>
    <row r="113" spans="1:12" s="43" customFormat="1" ht="15" x14ac:dyDescent="0.25">
      <c r="A113" s="38" t="s">
        <v>709</v>
      </c>
      <c r="B113" s="39" t="s">
        <v>101</v>
      </c>
      <c r="C113" s="39" t="s">
        <v>1329</v>
      </c>
      <c r="D113" s="40">
        <v>0.71699999999999997</v>
      </c>
      <c r="E113" s="40">
        <v>0.71409999999999996</v>
      </c>
      <c r="F113" s="40">
        <v>1.821</v>
      </c>
      <c r="G113" s="41">
        <v>0.60626029654036195</v>
      </c>
      <c r="H113" s="41">
        <v>0.60785282811642005</v>
      </c>
      <c r="I113" s="41">
        <v>-1.5925315760570999E-3</v>
      </c>
      <c r="J113" s="42" t="s">
        <v>532</v>
      </c>
    </row>
    <row r="114" spans="1:12" s="43" customFormat="1" ht="15" x14ac:dyDescent="0.25">
      <c r="A114" s="38" t="s">
        <v>573</v>
      </c>
      <c r="B114" s="39" t="s">
        <v>101</v>
      </c>
      <c r="C114" s="39" t="s">
        <v>1335</v>
      </c>
      <c r="D114" s="40">
        <v>0.71699999999999997</v>
      </c>
      <c r="E114" s="40">
        <v>0.71650000000000003</v>
      </c>
      <c r="F114" s="40">
        <v>1.821</v>
      </c>
      <c r="G114" s="41">
        <v>0.60626029654036195</v>
      </c>
      <c r="H114" s="41">
        <v>0.60653487095002701</v>
      </c>
      <c r="I114" s="41">
        <v>-2.7457440966482998E-4</v>
      </c>
      <c r="J114" s="42" t="s">
        <v>532</v>
      </c>
    </row>
    <row r="115" spans="1:12" s="43" customFormat="1" ht="15" x14ac:dyDescent="0.25">
      <c r="A115" s="38" t="s">
        <v>539</v>
      </c>
      <c r="B115" s="39" t="s">
        <v>101</v>
      </c>
      <c r="C115" s="39" t="s">
        <v>1373</v>
      </c>
      <c r="D115" s="40">
        <v>0.71699999999999997</v>
      </c>
      <c r="E115" s="40">
        <v>0.70440000000000003</v>
      </c>
      <c r="F115" s="40">
        <v>1.835</v>
      </c>
      <c r="G115" s="41">
        <v>0.60926430517711205</v>
      </c>
      <c r="H115" s="41">
        <v>0.61613079019073602</v>
      </c>
      <c r="I115" s="41">
        <v>-6.8664850136239703E-3</v>
      </c>
      <c r="J115" s="42" t="s">
        <v>532</v>
      </c>
    </row>
    <row r="116" spans="1:12" x14ac:dyDescent="0.25">
      <c r="A116" s="44">
        <v>2018</v>
      </c>
      <c r="B116" s="44" t="s">
        <v>101</v>
      </c>
      <c r="C116" s="44" t="s">
        <v>1812</v>
      </c>
      <c r="D116" s="45">
        <v>0.73050666534270015</v>
      </c>
      <c r="E116" s="45">
        <v>0.71468534865824296</v>
      </c>
      <c r="F116" s="45">
        <v>1.8221566169351837</v>
      </c>
      <c r="G116" s="46">
        <v>0.59909130487595408</v>
      </c>
      <c r="H116" s="46">
        <v>0.60777520097238769</v>
      </c>
      <c r="I116" s="46">
        <v>-8.683896096433566E-3</v>
      </c>
      <c r="J116" s="47" t="s">
        <v>533</v>
      </c>
      <c r="K116" s="48"/>
      <c r="L116" s="48"/>
    </row>
    <row r="117" spans="1:12" s="43" customFormat="1" ht="15" x14ac:dyDescent="0.25">
      <c r="A117" s="38" t="s">
        <v>669</v>
      </c>
      <c r="B117" s="39" t="s">
        <v>102</v>
      </c>
      <c r="C117" s="39" t="s">
        <v>745</v>
      </c>
      <c r="D117" s="40">
        <v>1.87</v>
      </c>
      <c r="E117" s="40">
        <v>2.2829000000000002</v>
      </c>
      <c r="F117" s="40">
        <v>5.9690000000000003</v>
      </c>
      <c r="G117" s="41">
        <v>0.68671469257832096</v>
      </c>
      <c r="H117" s="41">
        <v>0.61754062657061504</v>
      </c>
      <c r="I117" s="41">
        <v>6.9174066007706494E-2</v>
      </c>
      <c r="J117" s="42" t="s">
        <v>532</v>
      </c>
    </row>
    <row r="118" spans="1:12" s="43" customFormat="1" ht="15" x14ac:dyDescent="0.25">
      <c r="A118" s="38" t="s">
        <v>673</v>
      </c>
      <c r="B118" s="39" t="s">
        <v>102</v>
      </c>
      <c r="C118" s="39" t="s">
        <v>843</v>
      </c>
      <c r="D118" s="40">
        <v>1.855</v>
      </c>
      <c r="E118" s="40">
        <v>1.7296</v>
      </c>
      <c r="F118" s="40">
        <v>5.9690000000000003</v>
      </c>
      <c r="G118" s="41">
        <v>0.689227676327693</v>
      </c>
      <c r="H118" s="41">
        <v>0.71023622047244095</v>
      </c>
      <c r="I118" s="41">
        <v>-2.10085441447476E-2</v>
      </c>
      <c r="J118" s="42" t="s">
        <v>532</v>
      </c>
    </row>
    <row r="119" spans="1:12" s="43" customFormat="1" ht="15" x14ac:dyDescent="0.25">
      <c r="A119" s="38" t="s">
        <v>686</v>
      </c>
      <c r="B119" s="39" t="s">
        <v>102</v>
      </c>
      <c r="C119" s="39" t="s">
        <v>1090</v>
      </c>
      <c r="D119" s="40">
        <v>1.87</v>
      </c>
      <c r="E119" s="40">
        <v>2.0588000000000002</v>
      </c>
      <c r="F119" s="40">
        <v>5.9690000000000003</v>
      </c>
      <c r="G119" s="41">
        <v>0.68671469257832096</v>
      </c>
      <c r="H119" s="41">
        <v>0.65508460378622901</v>
      </c>
      <c r="I119" s="41">
        <v>3.1630088792092503E-2</v>
      </c>
      <c r="J119" s="42" t="s">
        <v>532</v>
      </c>
    </row>
    <row r="120" spans="1:12" s="43" customFormat="1" ht="15" x14ac:dyDescent="0.25">
      <c r="A120" s="38" t="s">
        <v>632</v>
      </c>
      <c r="B120" s="39" t="s">
        <v>102</v>
      </c>
      <c r="C120" s="39" t="s">
        <v>1268</v>
      </c>
      <c r="D120" s="40">
        <v>2.1629</v>
      </c>
      <c r="E120" s="40">
        <v>2.0876999999999999</v>
      </c>
      <c r="F120" s="40">
        <v>5.9690000000000003</v>
      </c>
      <c r="G120" s="41">
        <v>0.63764449656558897</v>
      </c>
      <c r="H120" s="41">
        <v>0.65024292176243903</v>
      </c>
      <c r="I120" s="41">
        <v>-1.25984251968504E-2</v>
      </c>
      <c r="J120" s="42" t="s">
        <v>532</v>
      </c>
    </row>
    <row r="121" spans="1:12" s="43" customFormat="1" ht="15" x14ac:dyDescent="0.25">
      <c r="A121" s="38" t="s">
        <v>634</v>
      </c>
      <c r="B121" s="39" t="s">
        <v>102</v>
      </c>
      <c r="C121" s="39" t="s">
        <v>1407</v>
      </c>
      <c r="D121" s="40">
        <v>2.1629</v>
      </c>
      <c r="E121" s="40">
        <v>2.3767999999999998</v>
      </c>
      <c r="F121" s="40">
        <v>6.1340000000000003</v>
      </c>
      <c r="G121" s="41">
        <v>0.64739158787088402</v>
      </c>
      <c r="H121" s="41">
        <v>0.61252037821975902</v>
      </c>
      <c r="I121" s="41">
        <v>3.48712096511248E-2</v>
      </c>
      <c r="J121" s="42" t="s">
        <v>532</v>
      </c>
    </row>
    <row r="122" spans="1:12" s="43" customFormat="1" ht="15" x14ac:dyDescent="0.25">
      <c r="A122" s="38" t="s">
        <v>548</v>
      </c>
      <c r="B122" s="39" t="s">
        <v>102</v>
      </c>
      <c r="C122" s="39" t="s">
        <v>1497</v>
      </c>
      <c r="D122" s="40">
        <v>2.1629</v>
      </c>
      <c r="E122" s="40">
        <v>2.2584</v>
      </c>
      <c r="F122" s="40">
        <v>6.1340000000000003</v>
      </c>
      <c r="G122" s="41">
        <v>0.64739158787088402</v>
      </c>
      <c r="H122" s="41">
        <v>0.63182262797522004</v>
      </c>
      <c r="I122" s="41">
        <v>1.55689598956634E-2</v>
      </c>
      <c r="J122" s="42" t="s">
        <v>532</v>
      </c>
    </row>
    <row r="123" spans="1:12" x14ac:dyDescent="0.25">
      <c r="A123" s="44">
        <v>2018</v>
      </c>
      <c r="B123" s="44" t="s">
        <v>102</v>
      </c>
      <c r="C123" s="44" t="s">
        <v>1824</v>
      </c>
      <c r="D123" s="45">
        <v>1.9891131627056673</v>
      </c>
      <c r="E123" s="45">
        <v>2.0438112659963434</v>
      </c>
      <c r="F123" s="45">
        <v>6.0001071755027429</v>
      </c>
      <c r="G123" s="46">
        <v>0.66859699933894734</v>
      </c>
      <c r="H123" s="46">
        <v>0.65957747812135492</v>
      </c>
      <c r="I123" s="46">
        <v>9.0195212175924935E-3</v>
      </c>
      <c r="J123" s="47" t="s">
        <v>533</v>
      </c>
      <c r="K123" s="48"/>
      <c r="L123" s="48"/>
    </row>
    <row r="124" spans="1:12" s="43" customFormat="1" ht="15" x14ac:dyDescent="0.25">
      <c r="A124" s="38" t="s">
        <v>667</v>
      </c>
      <c r="B124" s="39" t="s">
        <v>103</v>
      </c>
      <c r="C124" s="39" t="s">
        <v>727</v>
      </c>
      <c r="D124" s="40">
        <v>1.4774</v>
      </c>
      <c r="E124" s="40">
        <v>1.7692000000000001</v>
      </c>
      <c r="F124" s="40">
        <v>4.8170000000000002</v>
      </c>
      <c r="G124" s="41">
        <v>0.69330496159435295</v>
      </c>
      <c r="H124" s="41">
        <v>0.63271745899937704</v>
      </c>
      <c r="I124" s="41">
        <v>6.0587502594976098E-2</v>
      </c>
      <c r="J124" s="42" t="s">
        <v>532</v>
      </c>
    </row>
    <row r="125" spans="1:12" s="43" customFormat="1" ht="15" x14ac:dyDescent="0.25">
      <c r="A125" s="38" t="s">
        <v>672</v>
      </c>
      <c r="B125" s="39" t="s">
        <v>103</v>
      </c>
      <c r="C125" s="39" t="s">
        <v>805</v>
      </c>
      <c r="D125" s="40">
        <v>1.4774</v>
      </c>
      <c r="E125" s="40">
        <v>1.8097000000000001</v>
      </c>
      <c r="F125" s="40">
        <v>4.8170000000000002</v>
      </c>
      <c r="G125" s="41">
        <v>0.69330496159435295</v>
      </c>
      <c r="H125" s="41">
        <v>0.62430973635042597</v>
      </c>
      <c r="I125" s="41">
        <v>6.8995225243927802E-2</v>
      </c>
      <c r="J125" s="42" t="s">
        <v>532</v>
      </c>
    </row>
    <row r="126" spans="1:12" s="43" customFormat="1" ht="15" x14ac:dyDescent="0.25">
      <c r="A126" s="38" t="s">
        <v>576</v>
      </c>
      <c r="B126" s="39" t="s">
        <v>103</v>
      </c>
      <c r="C126" s="39" t="s">
        <v>812</v>
      </c>
      <c r="D126" s="40">
        <v>1.4774</v>
      </c>
      <c r="E126" s="40">
        <v>1.6812</v>
      </c>
      <c r="F126" s="40">
        <v>4.8170000000000002</v>
      </c>
      <c r="G126" s="41">
        <v>0.69330496159435295</v>
      </c>
      <c r="H126" s="41">
        <v>0.650986090927964</v>
      </c>
      <c r="I126" s="41">
        <v>4.2318870666389799E-2</v>
      </c>
      <c r="J126" s="42" t="s">
        <v>532</v>
      </c>
    </row>
    <row r="127" spans="1:12" s="43" customFormat="1" ht="15" x14ac:dyDescent="0.25">
      <c r="A127" s="38" t="s">
        <v>612</v>
      </c>
      <c r="B127" s="39" t="s">
        <v>103</v>
      </c>
      <c r="C127" s="39" t="s">
        <v>985</v>
      </c>
      <c r="D127" s="40">
        <v>1.4774</v>
      </c>
      <c r="E127" s="40">
        <v>1.7756000000000001</v>
      </c>
      <c r="F127" s="40">
        <v>4.8170000000000002</v>
      </c>
      <c r="G127" s="41">
        <v>0.69330496159435295</v>
      </c>
      <c r="H127" s="41">
        <v>0.63137845131824799</v>
      </c>
      <c r="I127" s="41">
        <v>6.1926510276105302E-2</v>
      </c>
      <c r="J127" s="42" t="s">
        <v>532</v>
      </c>
    </row>
    <row r="128" spans="1:12" s="43" customFormat="1" ht="15" x14ac:dyDescent="0.25">
      <c r="A128" s="38" t="s">
        <v>683</v>
      </c>
      <c r="B128" s="39" t="s">
        <v>103</v>
      </c>
      <c r="C128" s="39" t="s">
        <v>1058</v>
      </c>
      <c r="D128" s="40">
        <v>1.4774</v>
      </c>
      <c r="E128" s="40">
        <v>1.915</v>
      </c>
      <c r="F128" s="40">
        <v>4.8170000000000002</v>
      </c>
      <c r="G128" s="41">
        <v>0.69330496159435295</v>
      </c>
      <c r="H128" s="41">
        <v>0.60243927755864601</v>
      </c>
      <c r="I128" s="41">
        <v>9.0865684035706801E-2</v>
      </c>
      <c r="J128" s="42" t="s">
        <v>532</v>
      </c>
    </row>
    <row r="129" spans="1:12" s="43" customFormat="1" ht="15" x14ac:dyDescent="0.25">
      <c r="A129" s="38" t="s">
        <v>578</v>
      </c>
      <c r="B129" s="39" t="s">
        <v>103</v>
      </c>
      <c r="C129" s="39" t="s">
        <v>1162</v>
      </c>
      <c r="D129" s="40">
        <v>1.6316999999999999</v>
      </c>
      <c r="E129" s="40">
        <v>1.7155</v>
      </c>
      <c r="F129" s="40">
        <v>4.8170000000000002</v>
      </c>
      <c r="G129" s="41">
        <v>0.66125873641962496</v>
      </c>
      <c r="H129" s="41">
        <v>0.64386547643761705</v>
      </c>
      <c r="I129" s="41">
        <v>1.7393259982008101E-2</v>
      </c>
      <c r="J129" s="42" t="s">
        <v>532</v>
      </c>
    </row>
    <row r="130" spans="1:12" s="43" customFormat="1" ht="15" x14ac:dyDescent="0.25">
      <c r="A130" s="38" t="s">
        <v>624</v>
      </c>
      <c r="B130" s="39" t="s">
        <v>103</v>
      </c>
      <c r="C130" s="39" t="s">
        <v>1173</v>
      </c>
      <c r="D130" s="40">
        <v>1.6316999999999999</v>
      </c>
      <c r="E130" s="40">
        <v>1.8607</v>
      </c>
      <c r="F130" s="40">
        <v>4.8170000000000002</v>
      </c>
      <c r="G130" s="41">
        <v>0.66125873641962496</v>
      </c>
      <c r="H130" s="41">
        <v>0.61372223375544999</v>
      </c>
      <c r="I130" s="41">
        <v>4.7536502664175501E-2</v>
      </c>
      <c r="J130" s="42" t="s">
        <v>532</v>
      </c>
    </row>
    <row r="131" spans="1:12" s="43" customFormat="1" ht="15" x14ac:dyDescent="0.25">
      <c r="A131" s="38" t="s">
        <v>629</v>
      </c>
      <c r="B131" s="39" t="s">
        <v>103</v>
      </c>
      <c r="C131" s="39" t="s">
        <v>1083</v>
      </c>
      <c r="D131" s="40">
        <v>1.6316999999999999</v>
      </c>
      <c r="E131" s="40">
        <v>2.2999000000000001</v>
      </c>
      <c r="F131" s="40">
        <v>4.8170000000000002</v>
      </c>
      <c r="G131" s="41">
        <v>0.66125873641962496</v>
      </c>
      <c r="H131" s="41">
        <v>0.52253477268009096</v>
      </c>
      <c r="I131" s="41">
        <v>0.138723963739534</v>
      </c>
      <c r="J131" s="42" t="s">
        <v>532</v>
      </c>
    </row>
    <row r="132" spans="1:12" s="43" customFormat="1" ht="15" x14ac:dyDescent="0.25">
      <c r="A132" s="38" t="s">
        <v>700</v>
      </c>
      <c r="B132" s="39" t="s">
        <v>103</v>
      </c>
      <c r="C132" s="39" t="s">
        <v>1233</v>
      </c>
      <c r="D132" s="40">
        <v>1.6316999999999999</v>
      </c>
      <c r="E132" s="40">
        <v>1.8628</v>
      </c>
      <c r="F132" s="40">
        <v>4.8170000000000002</v>
      </c>
      <c r="G132" s="41">
        <v>0.66125873641962496</v>
      </c>
      <c r="H132" s="41">
        <v>0.61329319770258095</v>
      </c>
      <c r="I132" s="41">
        <v>4.7965538717043801E-2</v>
      </c>
      <c r="J132" s="42" t="s">
        <v>532</v>
      </c>
    </row>
    <row r="133" spans="1:12" s="43" customFormat="1" ht="15" x14ac:dyDescent="0.25">
      <c r="A133" s="38" t="s">
        <v>571</v>
      </c>
      <c r="B133" s="39" t="s">
        <v>103</v>
      </c>
      <c r="C133" s="39" t="s">
        <v>1243</v>
      </c>
      <c r="D133" s="40">
        <v>1.6316999999999999</v>
      </c>
      <c r="E133" s="40">
        <v>1.7802</v>
      </c>
      <c r="F133" s="40">
        <v>4.8170000000000002</v>
      </c>
      <c r="G133" s="41">
        <v>0.66125873641962496</v>
      </c>
      <c r="H133" s="41">
        <v>0.630437339976472</v>
      </c>
      <c r="I133" s="41">
        <v>3.0821396443152699E-2</v>
      </c>
      <c r="J133" s="42" t="s">
        <v>532</v>
      </c>
    </row>
    <row r="134" spans="1:12" s="43" customFormat="1" ht="15" x14ac:dyDescent="0.25">
      <c r="A134" s="38" t="s">
        <v>701</v>
      </c>
      <c r="B134" s="39" t="s">
        <v>103</v>
      </c>
      <c r="C134" s="39" t="s">
        <v>1248</v>
      </c>
      <c r="D134" s="40">
        <v>1.6316999999999999</v>
      </c>
      <c r="E134" s="40">
        <v>1.8603000000000001</v>
      </c>
      <c r="F134" s="40">
        <v>4.8170000000000002</v>
      </c>
      <c r="G134" s="41">
        <v>0.66125873641962496</v>
      </c>
      <c r="H134" s="41">
        <v>0.61379489308698398</v>
      </c>
      <c r="I134" s="41">
        <v>4.7463843332641399E-2</v>
      </c>
      <c r="J134" s="42" t="s">
        <v>532</v>
      </c>
    </row>
    <row r="135" spans="1:12" s="43" customFormat="1" ht="15" x14ac:dyDescent="0.25">
      <c r="A135" s="38" t="s">
        <v>631</v>
      </c>
      <c r="B135" s="39" t="s">
        <v>103</v>
      </c>
      <c r="C135" s="39" t="s">
        <v>1252</v>
      </c>
      <c r="D135" s="40">
        <v>1.6316999999999999</v>
      </c>
      <c r="E135" s="40">
        <v>1.7585999999999999</v>
      </c>
      <c r="F135" s="40">
        <v>4.8170000000000002</v>
      </c>
      <c r="G135" s="41">
        <v>0.66125873641962496</v>
      </c>
      <c r="H135" s="41">
        <v>0.63492491869074796</v>
      </c>
      <c r="I135" s="41">
        <v>2.6333817728876899E-2</v>
      </c>
      <c r="J135" s="42" t="s">
        <v>532</v>
      </c>
    </row>
    <row r="136" spans="1:12" s="43" customFormat="1" ht="15" x14ac:dyDescent="0.25">
      <c r="A136" s="38" t="s">
        <v>630</v>
      </c>
      <c r="B136" s="39" t="s">
        <v>103</v>
      </c>
      <c r="C136" s="39" t="s">
        <v>1257</v>
      </c>
      <c r="D136" s="40">
        <v>1.6316999999999999</v>
      </c>
      <c r="E136" s="40">
        <v>1.6969000000000001</v>
      </c>
      <c r="F136" s="40">
        <v>4.8170000000000002</v>
      </c>
      <c r="G136" s="41">
        <v>0.66125873641962496</v>
      </c>
      <c r="H136" s="41">
        <v>0.64771988097709499</v>
      </c>
      <c r="I136" s="41">
        <v>1.3538855442529901E-2</v>
      </c>
      <c r="J136" s="42" t="s">
        <v>532</v>
      </c>
    </row>
    <row r="137" spans="1:12" s="43" customFormat="1" ht="15" x14ac:dyDescent="0.25">
      <c r="A137" s="38" t="s">
        <v>564</v>
      </c>
      <c r="B137" s="39" t="s">
        <v>103</v>
      </c>
      <c r="C137" s="39" t="s">
        <v>1449</v>
      </c>
      <c r="D137" s="40">
        <v>1.6316999999999999</v>
      </c>
      <c r="E137" s="40">
        <v>1.7916000000000001</v>
      </c>
      <c r="F137" s="40">
        <v>4.95</v>
      </c>
      <c r="G137" s="41">
        <v>0.67036026936026905</v>
      </c>
      <c r="H137" s="41">
        <v>0.638063973063973</v>
      </c>
      <c r="I137" s="41">
        <v>3.2296296296296399E-2</v>
      </c>
      <c r="J137" s="42" t="s">
        <v>532</v>
      </c>
    </row>
    <row r="138" spans="1:12" s="43" customFormat="1" ht="15" x14ac:dyDescent="0.25">
      <c r="A138" s="38" t="s">
        <v>580</v>
      </c>
      <c r="B138" s="39" t="s">
        <v>103</v>
      </c>
      <c r="C138" s="39" t="s">
        <v>1247</v>
      </c>
      <c r="D138" s="40">
        <v>1.6316999999999999</v>
      </c>
      <c r="E138" s="40">
        <v>1.6292</v>
      </c>
      <c r="F138" s="40">
        <v>4.95</v>
      </c>
      <c r="G138" s="41">
        <v>0.67036026936026905</v>
      </c>
      <c r="H138" s="41">
        <v>0.67087542087542096</v>
      </c>
      <c r="I138" s="41">
        <v>-5.1515151515157996E-4</v>
      </c>
      <c r="J138" s="42" t="s">
        <v>532</v>
      </c>
    </row>
    <row r="139" spans="1:12" s="43" customFormat="1" ht="15" x14ac:dyDescent="0.25">
      <c r="A139" s="38" t="s">
        <v>563</v>
      </c>
      <c r="B139" s="39" t="s">
        <v>103</v>
      </c>
      <c r="C139" s="39" t="s">
        <v>1462</v>
      </c>
      <c r="D139" s="40">
        <v>1.6316999999999999</v>
      </c>
      <c r="E139" s="40">
        <v>1.6835</v>
      </c>
      <c r="F139" s="40">
        <v>4.95</v>
      </c>
      <c r="G139" s="41">
        <v>0.67036026936026905</v>
      </c>
      <c r="H139" s="41">
        <v>0.65989898989898998</v>
      </c>
      <c r="I139" s="41">
        <v>1.0461279461279499E-2</v>
      </c>
      <c r="J139" s="42" t="s">
        <v>532</v>
      </c>
    </row>
    <row r="140" spans="1:12" s="43" customFormat="1" ht="15" x14ac:dyDescent="0.25">
      <c r="A140" s="38" t="s">
        <v>542</v>
      </c>
      <c r="B140" s="39" t="s">
        <v>103</v>
      </c>
      <c r="C140" s="39" t="s">
        <v>1466</v>
      </c>
      <c r="D140" s="40">
        <v>1.6316999999999999</v>
      </c>
      <c r="E140" s="40">
        <v>1.5920000000000001</v>
      </c>
      <c r="F140" s="40">
        <v>4.95</v>
      </c>
      <c r="G140" s="41">
        <v>0.67036026936026905</v>
      </c>
      <c r="H140" s="41">
        <v>0.67839057239057199</v>
      </c>
      <c r="I140" s="41">
        <v>-8.0303030303029398E-3</v>
      </c>
      <c r="J140" s="42" t="s">
        <v>532</v>
      </c>
    </row>
    <row r="141" spans="1:12" x14ac:dyDescent="0.25">
      <c r="A141" s="44">
        <v>2018</v>
      </c>
      <c r="B141" s="44" t="s">
        <v>103</v>
      </c>
      <c r="C141" s="44" t="s">
        <v>1815</v>
      </c>
      <c r="D141" s="45">
        <v>1.5975445814674476</v>
      </c>
      <c r="E141" s="45">
        <v>1.7666264278332759</v>
      </c>
      <c r="F141" s="45">
        <v>4.8457716155700998</v>
      </c>
      <c r="G141" s="46">
        <v>0.67032131547026397</v>
      </c>
      <c r="H141" s="46">
        <v>0.63527537960308367</v>
      </c>
      <c r="I141" s="46">
        <v>3.5045935867180383E-2</v>
      </c>
      <c r="J141" s="47" t="s">
        <v>533</v>
      </c>
      <c r="K141" s="48"/>
      <c r="L141" s="48"/>
    </row>
    <row r="142" spans="1:12" s="43" customFormat="1" ht="15" x14ac:dyDescent="0.25">
      <c r="A142" s="38" t="s">
        <v>680</v>
      </c>
      <c r="B142" s="39" t="s">
        <v>104</v>
      </c>
      <c r="C142" s="39" t="s">
        <v>954</v>
      </c>
      <c r="D142" s="40">
        <v>6.2031999999999998</v>
      </c>
      <c r="E142" s="40">
        <v>6.6936</v>
      </c>
      <c r="F142" s="40">
        <v>21.289000000000001</v>
      </c>
      <c r="G142" s="41">
        <v>0.70861947484616505</v>
      </c>
      <c r="H142" s="41">
        <v>0.68558410446709594</v>
      </c>
      <c r="I142" s="41">
        <v>2.3035370379069001E-2</v>
      </c>
      <c r="J142" s="42" t="s">
        <v>532</v>
      </c>
    </row>
    <row r="143" spans="1:12" s="43" customFormat="1" ht="15" x14ac:dyDescent="0.25">
      <c r="A143" s="38" t="s">
        <v>695</v>
      </c>
      <c r="B143" s="39" t="s">
        <v>104</v>
      </c>
      <c r="C143" s="39" t="s">
        <v>1179</v>
      </c>
      <c r="D143" s="40">
        <v>7.2111999999999998</v>
      </c>
      <c r="E143" s="40">
        <v>7.1852</v>
      </c>
      <c r="F143" s="40">
        <v>21.289000000000001</v>
      </c>
      <c r="G143" s="41">
        <v>0.66127107896096604</v>
      </c>
      <c r="H143" s="41">
        <v>0.66249236695006797</v>
      </c>
      <c r="I143" s="41">
        <v>-1.2212879891022601E-3</v>
      </c>
      <c r="J143" s="42" t="s">
        <v>532</v>
      </c>
    </row>
    <row r="144" spans="1:12" s="43" customFormat="1" ht="15" x14ac:dyDescent="0.25">
      <c r="A144" s="38" t="s">
        <v>556</v>
      </c>
      <c r="B144" s="39" t="s">
        <v>104</v>
      </c>
      <c r="C144" s="39" t="s">
        <v>1376</v>
      </c>
      <c r="D144" s="40">
        <v>7.2111999999999998</v>
      </c>
      <c r="E144" s="40">
        <v>8.6130999999999993</v>
      </c>
      <c r="F144" s="40">
        <v>21.815000000000001</v>
      </c>
      <c r="G144" s="41">
        <v>0.66943845977538396</v>
      </c>
      <c r="H144" s="41">
        <v>0.60517533807013502</v>
      </c>
      <c r="I144" s="41">
        <v>6.4263121705248699E-2</v>
      </c>
      <c r="J144" s="42" t="s">
        <v>532</v>
      </c>
    </row>
    <row r="145" spans="1:12" x14ac:dyDescent="0.25">
      <c r="A145" s="44">
        <v>2018</v>
      </c>
      <c r="B145" s="44" t="s">
        <v>104</v>
      </c>
      <c r="C145" s="44" t="s">
        <v>1908</v>
      </c>
      <c r="D145" s="45">
        <v>6.9826062902335853</v>
      </c>
      <c r="E145" s="45">
        <v>7.4419174912635651</v>
      </c>
      <c r="F145" s="45">
        <v>21.424635828581941</v>
      </c>
      <c r="G145" s="46">
        <v>0.67411478689333004</v>
      </c>
      <c r="H145" s="46">
        <v>0.65294916994231178</v>
      </c>
      <c r="I145" s="46">
        <v>2.1165616951018255E-2</v>
      </c>
      <c r="J145" s="47" t="s">
        <v>533</v>
      </c>
      <c r="K145" s="48"/>
      <c r="L145" s="48"/>
    </row>
    <row r="146" spans="1:12" s="43" customFormat="1" ht="15" x14ac:dyDescent="0.25">
      <c r="A146" s="38" t="s">
        <v>562</v>
      </c>
      <c r="B146" s="39" t="s">
        <v>105</v>
      </c>
      <c r="C146" s="39" t="s">
        <v>772</v>
      </c>
      <c r="D146" s="40">
        <v>9.2725000000000009</v>
      </c>
      <c r="E146" s="40">
        <v>8.8362999999999996</v>
      </c>
      <c r="F146" s="40">
        <v>22.228999999999999</v>
      </c>
      <c r="G146" s="41">
        <v>0.58286472625849095</v>
      </c>
      <c r="H146" s="41">
        <v>0.60248774123892201</v>
      </c>
      <c r="I146" s="41">
        <v>-1.9623014980431099E-2</v>
      </c>
      <c r="J146" s="42" t="s">
        <v>532</v>
      </c>
    </row>
    <row r="147" spans="1:12" s="43" customFormat="1" ht="15" x14ac:dyDescent="0.25">
      <c r="A147" s="38" t="s">
        <v>687</v>
      </c>
      <c r="B147" s="39" t="s">
        <v>105</v>
      </c>
      <c r="C147" s="39" t="s">
        <v>1102</v>
      </c>
      <c r="D147" s="40">
        <v>9.2725000000000009</v>
      </c>
      <c r="E147" s="40">
        <v>9.0579000000000001</v>
      </c>
      <c r="F147" s="40">
        <v>22.228999999999999</v>
      </c>
      <c r="G147" s="41">
        <v>0.58286472625849095</v>
      </c>
      <c r="H147" s="41">
        <v>0.59251878177156003</v>
      </c>
      <c r="I147" s="41">
        <v>-9.6540555130686396E-3</v>
      </c>
      <c r="J147" s="42" t="s">
        <v>532</v>
      </c>
    </row>
    <row r="148" spans="1:12" s="43" customFormat="1" ht="15" x14ac:dyDescent="0.25">
      <c r="A148" s="38" t="s">
        <v>698</v>
      </c>
      <c r="B148" s="39" t="s">
        <v>105</v>
      </c>
      <c r="C148" s="39" t="s">
        <v>1208</v>
      </c>
      <c r="D148" s="40">
        <v>8.8350000000000009</v>
      </c>
      <c r="E148" s="40">
        <v>8.9487000000000005</v>
      </c>
      <c r="F148" s="40">
        <v>22.228999999999999</v>
      </c>
      <c r="G148" s="41">
        <v>0.60254622340186204</v>
      </c>
      <c r="H148" s="41">
        <v>0.59743128345854501</v>
      </c>
      <c r="I148" s="41">
        <v>5.1149399433172401E-3</v>
      </c>
      <c r="J148" s="42" t="s">
        <v>532</v>
      </c>
    </row>
    <row r="149" spans="1:12" s="43" customFormat="1" ht="15" x14ac:dyDescent="0.25">
      <c r="A149" s="38" t="s">
        <v>564</v>
      </c>
      <c r="B149" s="39" t="s">
        <v>105</v>
      </c>
      <c r="C149" s="39" t="s">
        <v>1450</v>
      </c>
      <c r="D149" s="40">
        <v>8.8350000000000009</v>
      </c>
      <c r="E149" s="40">
        <v>7.6128999999999998</v>
      </c>
      <c r="F149" s="40">
        <v>22.416</v>
      </c>
      <c r="G149" s="41">
        <v>0.60586188436830801</v>
      </c>
      <c r="H149" s="41">
        <v>0.66038097787294803</v>
      </c>
      <c r="I149" s="41">
        <v>-5.4519093504639599E-2</v>
      </c>
      <c r="J149" s="42" t="s">
        <v>532</v>
      </c>
    </row>
    <row r="150" spans="1:12" x14ac:dyDescent="0.25">
      <c r="A150" s="44">
        <v>2018</v>
      </c>
      <c r="B150" s="44" t="s">
        <v>105</v>
      </c>
      <c r="C150" s="44" t="s">
        <v>1839</v>
      </c>
      <c r="D150" s="45">
        <v>9.0675261225642494</v>
      </c>
      <c r="E150" s="45">
        <v>8.692751567353854</v>
      </c>
      <c r="F150" s="45">
        <v>22.264435470206156</v>
      </c>
      <c r="G150" s="46">
        <v>0.59271403782848209</v>
      </c>
      <c r="H150" s="46">
        <v>0.60948684117082075</v>
      </c>
      <c r="I150" s="46">
        <v>-1.6772803342338563E-2</v>
      </c>
      <c r="J150" s="47" t="s">
        <v>533</v>
      </c>
      <c r="K150" s="48"/>
      <c r="L150" s="48"/>
    </row>
    <row r="151" spans="1:12" s="43" customFormat="1" ht="15" x14ac:dyDescent="0.25">
      <c r="A151" s="38" t="s">
        <v>588</v>
      </c>
      <c r="B151" s="39" t="s">
        <v>114</v>
      </c>
      <c r="C151" s="39" t="s">
        <v>848</v>
      </c>
      <c r="D151" s="40">
        <v>1.9074</v>
      </c>
      <c r="E151" s="40">
        <v>1.7323</v>
      </c>
      <c r="F151" s="40">
        <v>5.9749999999999996</v>
      </c>
      <c r="G151" s="41">
        <v>0.680769874476987</v>
      </c>
      <c r="H151" s="41">
        <v>0.71007531380753097</v>
      </c>
      <c r="I151" s="41">
        <v>-2.93054393305439E-2</v>
      </c>
      <c r="J151" s="42" t="s">
        <v>532</v>
      </c>
    </row>
    <row r="152" spans="1:12" s="43" customFormat="1" ht="15" x14ac:dyDescent="0.25">
      <c r="A152" s="38" t="s">
        <v>686</v>
      </c>
      <c r="B152" s="39" t="s">
        <v>114</v>
      </c>
      <c r="C152" s="39" t="s">
        <v>1091</v>
      </c>
      <c r="D152" s="40">
        <v>1.9074</v>
      </c>
      <c r="E152" s="40">
        <v>1.9349000000000001</v>
      </c>
      <c r="F152" s="40">
        <v>5.9749999999999996</v>
      </c>
      <c r="G152" s="41">
        <v>0.680769874476987</v>
      </c>
      <c r="H152" s="41">
        <v>0.67616736401673605</v>
      </c>
      <c r="I152" s="41">
        <v>4.6025104602510601E-3</v>
      </c>
      <c r="J152" s="42" t="s">
        <v>532</v>
      </c>
    </row>
    <row r="153" spans="1:12" s="43" customFormat="1" ht="15" x14ac:dyDescent="0.25">
      <c r="A153" s="38" t="s">
        <v>624</v>
      </c>
      <c r="B153" s="39" t="s">
        <v>114</v>
      </c>
      <c r="C153" s="39" t="s">
        <v>1174</v>
      </c>
      <c r="D153" s="40">
        <v>1.9188000000000001</v>
      </c>
      <c r="E153" s="40">
        <v>1.9699</v>
      </c>
      <c r="F153" s="40">
        <v>5.9749999999999996</v>
      </c>
      <c r="G153" s="41">
        <v>0.678861924686192</v>
      </c>
      <c r="H153" s="41">
        <v>0.67030962343096201</v>
      </c>
      <c r="I153" s="41">
        <v>8.5523012552300992E-3</v>
      </c>
      <c r="J153" s="42" t="s">
        <v>532</v>
      </c>
    </row>
    <row r="154" spans="1:12" s="43" customFormat="1" ht="15" x14ac:dyDescent="0.25">
      <c r="A154" s="38" t="s">
        <v>585</v>
      </c>
      <c r="B154" s="39" t="s">
        <v>114</v>
      </c>
      <c r="C154" s="39" t="s">
        <v>1262</v>
      </c>
      <c r="D154" s="40">
        <v>1.9188000000000001</v>
      </c>
      <c r="E154" s="40">
        <v>2.1173999999999999</v>
      </c>
      <c r="F154" s="40">
        <v>5.9749999999999996</v>
      </c>
      <c r="G154" s="41">
        <v>0.678861924686192</v>
      </c>
      <c r="H154" s="41">
        <v>0.64562343096234298</v>
      </c>
      <c r="I154" s="41">
        <v>3.3238493723849398E-2</v>
      </c>
      <c r="J154" s="42" t="s">
        <v>532</v>
      </c>
    </row>
    <row r="155" spans="1:12" s="43" customFormat="1" ht="15" x14ac:dyDescent="0.25">
      <c r="A155" s="38" t="s">
        <v>572</v>
      </c>
      <c r="B155" s="39" t="s">
        <v>114</v>
      </c>
      <c r="C155" s="39" t="s">
        <v>994</v>
      </c>
      <c r="D155" s="40">
        <v>1.9188000000000001</v>
      </c>
      <c r="E155" s="40">
        <v>2.3062</v>
      </c>
      <c r="F155" s="40">
        <v>5.9749999999999996</v>
      </c>
      <c r="G155" s="41">
        <v>0.678861924686192</v>
      </c>
      <c r="H155" s="41">
        <v>0.61402510460251003</v>
      </c>
      <c r="I155" s="41">
        <v>6.4836820083681995E-2</v>
      </c>
      <c r="J155" s="42" t="s">
        <v>532</v>
      </c>
    </row>
    <row r="156" spans="1:12" s="43" customFormat="1" ht="15" x14ac:dyDescent="0.25">
      <c r="A156" s="38" t="s">
        <v>706</v>
      </c>
      <c r="B156" s="39" t="s">
        <v>114</v>
      </c>
      <c r="C156" s="39" t="s">
        <v>1306</v>
      </c>
      <c r="D156" s="40">
        <v>1.9188000000000001</v>
      </c>
      <c r="E156" s="40">
        <v>2.403</v>
      </c>
      <c r="F156" s="40">
        <v>5.9749999999999996</v>
      </c>
      <c r="G156" s="41">
        <v>0.678861924686192</v>
      </c>
      <c r="H156" s="41">
        <v>0.59782426778242703</v>
      </c>
      <c r="I156" s="41">
        <v>8.1037656903765798E-2</v>
      </c>
      <c r="J156" s="42" t="s">
        <v>532</v>
      </c>
    </row>
    <row r="157" spans="1:12" s="43" customFormat="1" ht="15" x14ac:dyDescent="0.25">
      <c r="A157" s="38" t="s">
        <v>634</v>
      </c>
      <c r="B157" s="39" t="s">
        <v>114</v>
      </c>
      <c r="C157" s="39" t="s">
        <v>1408</v>
      </c>
      <c r="D157" s="40">
        <v>1.9188000000000001</v>
      </c>
      <c r="E157" s="40">
        <v>2.5886999999999998</v>
      </c>
      <c r="F157" s="40">
        <v>6.1319999999999997</v>
      </c>
      <c r="G157" s="41">
        <v>0.68708414872798396</v>
      </c>
      <c r="H157" s="41">
        <v>0.577837573385519</v>
      </c>
      <c r="I157" s="41">
        <v>0.109246575342466</v>
      </c>
      <c r="J157" s="42" t="s">
        <v>532</v>
      </c>
    </row>
    <row r="158" spans="1:12" s="43" customFormat="1" ht="15" x14ac:dyDescent="0.25">
      <c r="A158" s="38" t="s">
        <v>583</v>
      </c>
      <c r="B158" s="39" t="s">
        <v>114</v>
      </c>
      <c r="C158" s="39" t="s">
        <v>1416</v>
      </c>
      <c r="D158" s="40">
        <v>1.9188000000000001</v>
      </c>
      <c r="E158" s="40">
        <v>2.1968000000000001</v>
      </c>
      <c r="F158" s="40">
        <v>6.1319999999999997</v>
      </c>
      <c r="G158" s="41">
        <v>0.68708414872798396</v>
      </c>
      <c r="H158" s="41">
        <v>0.64174820613176797</v>
      </c>
      <c r="I158" s="41">
        <v>4.5335942596216497E-2</v>
      </c>
      <c r="J158" s="42" t="s">
        <v>532</v>
      </c>
    </row>
    <row r="159" spans="1:12" s="43" customFormat="1" ht="15" x14ac:dyDescent="0.25">
      <c r="A159" s="38" t="s">
        <v>580</v>
      </c>
      <c r="B159" s="39" t="s">
        <v>114</v>
      </c>
      <c r="C159" s="39" t="s">
        <v>1457</v>
      </c>
      <c r="D159" s="40">
        <v>1.9188000000000001</v>
      </c>
      <c r="E159" s="40">
        <v>2.2738999999999998</v>
      </c>
      <c r="F159" s="40">
        <v>6.1319999999999997</v>
      </c>
      <c r="G159" s="41">
        <v>0.68708414872798396</v>
      </c>
      <c r="H159" s="41">
        <v>0.62917482061317698</v>
      </c>
      <c r="I159" s="41">
        <v>5.79093281148075E-2</v>
      </c>
      <c r="J159" s="42" t="s">
        <v>532</v>
      </c>
    </row>
    <row r="160" spans="1:12" s="43" customFormat="1" ht="15" x14ac:dyDescent="0.25">
      <c r="A160" s="38" t="s">
        <v>639</v>
      </c>
      <c r="B160" s="39" t="s">
        <v>114</v>
      </c>
      <c r="C160" s="39" t="s">
        <v>1504</v>
      </c>
      <c r="D160" s="40">
        <v>1.9188000000000001</v>
      </c>
      <c r="E160" s="40">
        <v>2.1955</v>
      </c>
      <c r="F160" s="40">
        <v>6.1319999999999997</v>
      </c>
      <c r="G160" s="41">
        <v>0.68708414872798396</v>
      </c>
      <c r="H160" s="41">
        <v>0.64196020874103099</v>
      </c>
      <c r="I160" s="41">
        <v>4.5123939986953597E-2</v>
      </c>
      <c r="J160" s="42" t="s">
        <v>532</v>
      </c>
    </row>
    <row r="161" spans="1:12" s="43" customFormat="1" ht="15" x14ac:dyDescent="0.25">
      <c r="A161" s="38" t="s">
        <v>555</v>
      </c>
      <c r="B161" s="39" t="s">
        <v>114</v>
      </c>
      <c r="C161" s="39" t="s">
        <v>1508</v>
      </c>
      <c r="D161" s="40">
        <v>1.9188000000000001</v>
      </c>
      <c r="E161" s="40">
        <v>2.0167999999999999</v>
      </c>
      <c r="F161" s="40">
        <v>6.1319999999999997</v>
      </c>
      <c r="G161" s="41">
        <v>0.68708414872798396</v>
      </c>
      <c r="H161" s="41">
        <v>0.67110241356816702</v>
      </c>
      <c r="I161" s="41">
        <v>1.5981735159817299E-2</v>
      </c>
      <c r="J161" s="42" t="s">
        <v>532</v>
      </c>
    </row>
    <row r="162" spans="1:12" x14ac:dyDescent="0.25">
      <c r="A162" s="44">
        <v>2018</v>
      </c>
      <c r="B162" s="44" t="s">
        <v>114</v>
      </c>
      <c r="C162" s="44" t="s">
        <v>1865</v>
      </c>
      <c r="D162" s="45">
        <v>1.916156189710611</v>
      </c>
      <c r="E162" s="45">
        <v>2.0990814710610932</v>
      </c>
      <c r="F162" s="45">
        <v>6.0248828376205781</v>
      </c>
      <c r="G162" s="46">
        <v>0.68191681019034256</v>
      </c>
      <c r="H162" s="46">
        <v>0.65175051105571979</v>
      </c>
      <c r="I162" s="46">
        <v>3.0166299134622605E-2</v>
      </c>
      <c r="J162" s="47" t="s">
        <v>533</v>
      </c>
      <c r="K162" s="48"/>
      <c r="L162" s="48"/>
    </row>
    <row r="163" spans="1:12" s="43" customFormat="1" ht="15" x14ac:dyDescent="0.25">
      <c r="A163" s="38" t="s">
        <v>554</v>
      </c>
      <c r="B163" s="39" t="s">
        <v>314</v>
      </c>
      <c r="C163" s="39" t="s">
        <v>1725</v>
      </c>
      <c r="D163" s="40">
        <v>2.4216000000000002</v>
      </c>
      <c r="E163" s="40">
        <v>2.4386999999999999</v>
      </c>
      <c r="F163" s="40">
        <v>6.8380000000000001</v>
      </c>
      <c r="G163" s="41">
        <v>0.64586136297162899</v>
      </c>
      <c r="H163" s="41">
        <v>0.64336063176367397</v>
      </c>
      <c r="I163" s="41">
        <v>2.5007312079553499E-3</v>
      </c>
      <c r="J163" s="42" t="s">
        <v>532</v>
      </c>
    </row>
    <row r="164" spans="1:12" s="43" customFormat="1" ht="15" x14ac:dyDescent="0.25">
      <c r="A164" s="38" t="s">
        <v>544</v>
      </c>
      <c r="B164" s="39" t="s">
        <v>314</v>
      </c>
      <c r="C164" s="39" t="s">
        <v>1730</v>
      </c>
      <c r="D164" s="40">
        <v>2.4216000000000002</v>
      </c>
      <c r="E164" s="40">
        <v>2.2583000000000002</v>
      </c>
      <c r="F164" s="40">
        <v>6.8380000000000001</v>
      </c>
      <c r="G164" s="41">
        <v>0.64586136297162899</v>
      </c>
      <c r="H164" s="41">
        <v>0.66974261479964903</v>
      </c>
      <c r="I164" s="41">
        <v>-2.3881251828019999E-2</v>
      </c>
      <c r="J164" s="42" t="s">
        <v>532</v>
      </c>
    </row>
    <row r="165" spans="1:12" x14ac:dyDescent="0.25">
      <c r="A165" s="44">
        <v>2018</v>
      </c>
      <c r="B165" s="44" t="s">
        <v>314</v>
      </c>
      <c r="C165" s="44" t="s">
        <v>1994</v>
      </c>
      <c r="D165" s="45">
        <v>2.4216000000000002</v>
      </c>
      <c r="E165" s="45">
        <v>2.4126105283455455</v>
      </c>
      <c r="F165" s="45">
        <v>6.838000000000001</v>
      </c>
      <c r="G165" s="46">
        <v>0.64586136297162899</v>
      </c>
      <c r="H165" s="46">
        <v>0.64717599760960143</v>
      </c>
      <c r="I165" s="46">
        <v>-1.3146346379724408E-3</v>
      </c>
      <c r="J165" s="47" t="s">
        <v>533</v>
      </c>
      <c r="K165" s="48"/>
      <c r="L165" s="48"/>
    </row>
    <row r="166" spans="1:12" s="43" customFormat="1" ht="15" x14ac:dyDescent="0.25">
      <c r="A166" s="38" t="s">
        <v>544</v>
      </c>
      <c r="B166" s="39" t="s">
        <v>115</v>
      </c>
      <c r="C166" s="39" t="s">
        <v>1731</v>
      </c>
      <c r="D166" s="40">
        <v>3.3944000000000001</v>
      </c>
      <c r="E166" s="40">
        <v>3.1919</v>
      </c>
      <c r="F166" s="40">
        <v>9.34</v>
      </c>
      <c r="G166" s="41">
        <v>0.636579229122056</v>
      </c>
      <c r="H166" s="41">
        <v>0.65825481798715202</v>
      </c>
      <c r="I166" s="41">
        <v>-2.16755888650964E-2</v>
      </c>
      <c r="J166" s="42" t="s">
        <v>532</v>
      </c>
    </row>
    <row r="167" spans="1:12" x14ac:dyDescent="0.25">
      <c r="A167" s="44">
        <v>2018</v>
      </c>
      <c r="B167" s="44" t="s">
        <v>115</v>
      </c>
      <c r="C167" s="44" t="s">
        <v>1731</v>
      </c>
      <c r="D167" s="45">
        <v>3.3944000000000001</v>
      </c>
      <c r="E167" s="45">
        <v>3.1919</v>
      </c>
      <c r="F167" s="45">
        <v>9.34</v>
      </c>
      <c r="G167" s="46">
        <v>0.63657922912205567</v>
      </c>
      <c r="H167" s="46">
        <v>0.65825481798715202</v>
      </c>
      <c r="I167" s="46">
        <v>-2.1675588865096355E-2</v>
      </c>
      <c r="J167" s="47" t="s">
        <v>533</v>
      </c>
      <c r="K167" s="48"/>
      <c r="L167" s="48"/>
    </row>
    <row r="168" spans="1:12" s="43" customFormat="1" ht="15" x14ac:dyDescent="0.25">
      <c r="A168" s="38" t="s">
        <v>565</v>
      </c>
      <c r="B168" s="39" t="s">
        <v>124</v>
      </c>
      <c r="C168" s="39" t="s">
        <v>790</v>
      </c>
      <c r="D168" s="40">
        <v>1.2571000000000001</v>
      </c>
      <c r="E168" s="40">
        <v>1.1916</v>
      </c>
      <c r="F168" s="40">
        <v>5.4</v>
      </c>
      <c r="G168" s="41">
        <v>0.76720370370370405</v>
      </c>
      <c r="H168" s="41">
        <v>0.77933333333333299</v>
      </c>
      <c r="I168" s="41">
        <v>-1.21296296296297E-2</v>
      </c>
      <c r="J168" s="42" t="s">
        <v>532</v>
      </c>
    </row>
    <row r="169" spans="1:12" s="43" customFormat="1" ht="15" x14ac:dyDescent="0.25">
      <c r="A169" s="38" t="s">
        <v>572</v>
      </c>
      <c r="B169" s="39" t="s">
        <v>124</v>
      </c>
      <c r="C169" s="39" t="s">
        <v>796</v>
      </c>
      <c r="D169" s="40">
        <v>1.2888999999999999</v>
      </c>
      <c r="E169" s="40">
        <v>1.2565999999999999</v>
      </c>
      <c r="F169" s="40">
        <v>5.4</v>
      </c>
      <c r="G169" s="41">
        <v>0.761311728395062</v>
      </c>
      <c r="H169" s="41">
        <v>0.76729938271604903</v>
      </c>
      <c r="I169" s="41">
        <v>-5.9876543209876898E-3</v>
      </c>
      <c r="J169" s="42" t="s">
        <v>532</v>
      </c>
    </row>
    <row r="170" spans="1:12" x14ac:dyDescent="0.25">
      <c r="A170" s="44">
        <v>2018</v>
      </c>
      <c r="B170" s="44" t="s">
        <v>124</v>
      </c>
      <c r="C170" s="44" t="s">
        <v>991</v>
      </c>
      <c r="D170" s="45">
        <v>1.2643685714285715</v>
      </c>
      <c r="E170" s="45">
        <v>1.2064571428571429</v>
      </c>
      <c r="F170" s="45">
        <v>5.3999999999999995</v>
      </c>
      <c r="G170" s="46">
        <v>0.76585696649029988</v>
      </c>
      <c r="H170" s="46">
        <v>0.77658271604938267</v>
      </c>
      <c r="I170" s="46">
        <v>-1.0725749559082965E-2</v>
      </c>
      <c r="J170" s="47" t="s">
        <v>533</v>
      </c>
      <c r="K170" s="48"/>
      <c r="L170" s="48"/>
    </row>
    <row r="171" spans="1:12" s="43" customFormat="1" ht="15" x14ac:dyDescent="0.25">
      <c r="A171" s="38" t="s">
        <v>565</v>
      </c>
      <c r="B171" s="39" t="s">
        <v>125</v>
      </c>
      <c r="C171" s="39" t="s">
        <v>791</v>
      </c>
      <c r="D171" s="40">
        <v>1.7374000000000001</v>
      </c>
      <c r="E171" s="40">
        <v>1.6908000000000001</v>
      </c>
      <c r="F171" s="40">
        <v>7.4560000000000004</v>
      </c>
      <c r="G171" s="41">
        <v>0.766979613733906</v>
      </c>
      <c r="H171" s="41">
        <v>0.77322961373390597</v>
      </c>
      <c r="I171" s="41">
        <v>-6.2499999999999804E-3</v>
      </c>
      <c r="J171" s="42" t="s">
        <v>532</v>
      </c>
    </row>
    <row r="172" spans="1:12" s="43" customFormat="1" ht="15" x14ac:dyDescent="0.25">
      <c r="A172" s="38" t="s">
        <v>572</v>
      </c>
      <c r="B172" s="39" t="s">
        <v>125</v>
      </c>
      <c r="C172" s="39" t="s">
        <v>978</v>
      </c>
      <c r="D172" s="40">
        <v>1.7899</v>
      </c>
      <c r="E172" s="40">
        <v>1.9108000000000001</v>
      </c>
      <c r="F172" s="40">
        <v>7.4560000000000004</v>
      </c>
      <c r="G172" s="41">
        <v>0.75993830472102997</v>
      </c>
      <c r="H172" s="41">
        <v>0.74372317596566495</v>
      </c>
      <c r="I172" s="41">
        <v>1.62151287553647E-2</v>
      </c>
      <c r="J172" s="42" t="s">
        <v>532</v>
      </c>
    </row>
    <row r="173" spans="1:12" s="43" customFormat="1" ht="15" x14ac:dyDescent="0.25">
      <c r="A173" s="38" t="s">
        <v>558</v>
      </c>
      <c r="B173" s="39" t="s">
        <v>125</v>
      </c>
      <c r="C173" s="39" t="s">
        <v>891</v>
      </c>
      <c r="D173" s="40">
        <v>1.7899</v>
      </c>
      <c r="E173" s="40">
        <v>1.87</v>
      </c>
      <c r="F173" s="40">
        <v>7.6230000000000002</v>
      </c>
      <c r="G173" s="41">
        <v>0.76519742883379205</v>
      </c>
      <c r="H173" s="41">
        <v>0.75468975468975397</v>
      </c>
      <c r="I173" s="41">
        <v>1.0507674144037899E-2</v>
      </c>
      <c r="J173" s="42" t="s">
        <v>532</v>
      </c>
    </row>
    <row r="174" spans="1:12" x14ac:dyDescent="0.25">
      <c r="A174" s="44">
        <v>2018</v>
      </c>
      <c r="B174" s="44" t="s">
        <v>125</v>
      </c>
      <c r="C174" s="44" t="s">
        <v>1848</v>
      </c>
      <c r="D174" s="45">
        <v>1.7633826883910388</v>
      </c>
      <c r="E174" s="45">
        <v>1.7956912423625255</v>
      </c>
      <c r="F174" s="45">
        <v>7.4723258655804479</v>
      </c>
      <c r="G174" s="46">
        <v>0.76400894136584818</v>
      </c>
      <c r="H174" s="46">
        <v>0.75969872045707043</v>
      </c>
      <c r="I174" s="46">
        <v>4.3102209087778724E-3</v>
      </c>
      <c r="J174" s="47" t="s">
        <v>533</v>
      </c>
      <c r="K174" s="48"/>
      <c r="L174" s="48"/>
    </row>
    <row r="175" spans="1:12" s="43" customFormat="1" ht="15" x14ac:dyDescent="0.25">
      <c r="A175" s="38" t="s">
        <v>565</v>
      </c>
      <c r="B175" s="39" t="s">
        <v>126</v>
      </c>
      <c r="C175" s="39" t="s">
        <v>792</v>
      </c>
      <c r="D175" s="40">
        <v>2.4900000000000002</v>
      </c>
      <c r="E175" s="40">
        <v>2.3881999999999999</v>
      </c>
      <c r="F175" s="40">
        <v>9.8320000000000007</v>
      </c>
      <c r="G175" s="41">
        <v>0.746745321399512</v>
      </c>
      <c r="H175" s="41">
        <v>0.75709926769731495</v>
      </c>
      <c r="I175" s="41">
        <v>-1.03539462978032E-2</v>
      </c>
      <c r="J175" s="42" t="s">
        <v>532</v>
      </c>
    </row>
    <row r="176" spans="1:12" s="43" customFormat="1" ht="15" x14ac:dyDescent="0.25">
      <c r="A176" s="38" t="s">
        <v>572</v>
      </c>
      <c r="B176" s="39" t="s">
        <v>126</v>
      </c>
      <c r="C176" s="39" t="s">
        <v>837</v>
      </c>
      <c r="D176" s="40">
        <v>2.5653000000000001</v>
      </c>
      <c r="E176" s="40">
        <v>2.9245999999999999</v>
      </c>
      <c r="F176" s="40">
        <v>9.8320000000000007</v>
      </c>
      <c r="G176" s="41">
        <v>0.73908665581773803</v>
      </c>
      <c r="H176" s="41">
        <v>0.70254271765663201</v>
      </c>
      <c r="I176" s="41">
        <v>3.6543938161106501E-2</v>
      </c>
      <c r="J176" s="42" t="s">
        <v>532</v>
      </c>
    </row>
    <row r="177" spans="1:12" s="43" customFormat="1" ht="15" x14ac:dyDescent="0.25">
      <c r="A177" s="38" t="s">
        <v>558</v>
      </c>
      <c r="B177" s="39" t="s">
        <v>126</v>
      </c>
      <c r="C177" s="39" t="s">
        <v>1442</v>
      </c>
      <c r="D177" s="40">
        <v>2.5653000000000001</v>
      </c>
      <c r="E177" s="40">
        <v>2.6150000000000002</v>
      </c>
      <c r="F177" s="40">
        <v>10.067</v>
      </c>
      <c r="G177" s="41">
        <v>0.74517731200953596</v>
      </c>
      <c r="H177" s="41">
        <v>0.74024038939107994</v>
      </c>
      <c r="I177" s="41">
        <v>4.9369226184563502E-3</v>
      </c>
      <c r="J177" s="42" t="s">
        <v>532</v>
      </c>
    </row>
    <row r="178" spans="1:12" x14ac:dyDescent="0.25">
      <c r="A178" s="44">
        <v>2018</v>
      </c>
      <c r="B178" s="44" t="s">
        <v>126</v>
      </c>
      <c r="C178" s="44" t="s">
        <v>1141</v>
      </c>
      <c r="D178" s="45">
        <v>2.5616759358288772</v>
      </c>
      <c r="E178" s="45">
        <v>2.7696459893048129</v>
      </c>
      <c r="F178" s="45">
        <v>9.930021390374332</v>
      </c>
      <c r="G178" s="46">
        <v>0.7419957423054182</v>
      </c>
      <c r="H178" s="46">
        <v>0.72089259651039139</v>
      </c>
      <c r="I178" s="46">
        <v>2.1103145795026805E-2</v>
      </c>
      <c r="J178" s="47" t="s">
        <v>533</v>
      </c>
      <c r="K178" s="48"/>
      <c r="L178" s="48"/>
    </row>
    <row r="179" spans="1:12" s="43" customFormat="1" ht="15" x14ac:dyDescent="0.25">
      <c r="A179" s="38" t="s">
        <v>565</v>
      </c>
      <c r="B179" s="39" t="s">
        <v>127</v>
      </c>
      <c r="C179" s="39" t="s">
        <v>793</v>
      </c>
      <c r="D179" s="40">
        <v>0.80189999999999995</v>
      </c>
      <c r="E179" s="40">
        <v>0.84240000000000004</v>
      </c>
      <c r="F179" s="40">
        <v>2.1349999999999998</v>
      </c>
      <c r="G179" s="41">
        <v>0.624383294301327</v>
      </c>
      <c r="H179" s="41">
        <v>0.60543325526932101</v>
      </c>
      <c r="I179" s="41">
        <v>1.8950039032006299E-2</v>
      </c>
      <c r="J179" s="42" t="s">
        <v>532</v>
      </c>
    </row>
    <row r="180" spans="1:12" s="43" customFormat="1" ht="15" x14ac:dyDescent="0.25">
      <c r="A180" s="38" t="s">
        <v>573</v>
      </c>
      <c r="B180" s="39" t="s">
        <v>127</v>
      </c>
      <c r="C180" s="39" t="s">
        <v>785</v>
      </c>
      <c r="D180" s="40">
        <v>0.81430000000000002</v>
      </c>
      <c r="E180" s="40">
        <v>0.877</v>
      </c>
      <c r="F180" s="40">
        <v>2.1349999999999998</v>
      </c>
      <c r="G180" s="41">
        <v>0.61861046057767399</v>
      </c>
      <c r="H180" s="41">
        <v>0.58921545667447295</v>
      </c>
      <c r="I180" s="41">
        <v>2.9395003903200701E-2</v>
      </c>
      <c r="J180" s="42" t="s">
        <v>532</v>
      </c>
    </row>
    <row r="181" spans="1:12" x14ac:dyDescent="0.25">
      <c r="A181" s="44">
        <v>2018</v>
      </c>
      <c r="B181" s="44" t="s">
        <v>127</v>
      </c>
      <c r="C181" s="44" t="s">
        <v>1683</v>
      </c>
      <c r="D181" s="45">
        <v>0.80941709844559573</v>
      </c>
      <c r="E181" s="45">
        <v>0.86337512953367879</v>
      </c>
      <c r="F181" s="45">
        <v>2.1349999999999998</v>
      </c>
      <c r="G181" s="46">
        <v>0.62088370080045951</v>
      </c>
      <c r="H181" s="46">
        <v>0.5956017400589726</v>
      </c>
      <c r="I181" s="46">
        <v>2.5281960741486857E-2</v>
      </c>
      <c r="J181" s="47" t="s">
        <v>533</v>
      </c>
      <c r="K181" s="48"/>
      <c r="L181" s="48"/>
    </row>
    <row r="182" spans="1:12" s="43" customFormat="1" ht="15" x14ac:dyDescent="0.25">
      <c r="A182" s="38" t="s">
        <v>557</v>
      </c>
      <c r="B182" s="39" t="s">
        <v>128</v>
      </c>
      <c r="C182" s="39" t="s">
        <v>761</v>
      </c>
      <c r="D182" s="40">
        <v>0.224</v>
      </c>
      <c r="E182" s="40">
        <v>0.25159999999999999</v>
      </c>
      <c r="F182" s="40">
        <v>0.57199999999999995</v>
      </c>
      <c r="G182" s="41">
        <v>0.608391608391608</v>
      </c>
      <c r="H182" s="41">
        <v>0.56019327894327897</v>
      </c>
      <c r="I182" s="41">
        <v>4.8198329448329601E-2</v>
      </c>
      <c r="J182" s="42" t="s">
        <v>532</v>
      </c>
    </row>
    <row r="183" spans="1:12" s="43" customFormat="1" ht="15" x14ac:dyDescent="0.25">
      <c r="A183" s="38" t="s">
        <v>566</v>
      </c>
      <c r="B183" s="39" t="s">
        <v>128</v>
      </c>
      <c r="C183" s="39" t="s">
        <v>777</v>
      </c>
      <c r="D183" s="40">
        <v>0.224</v>
      </c>
      <c r="E183" s="40">
        <v>0.2392</v>
      </c>
      <c r="F183" s="40">
        <v>0.57199999999999995</v>
      </c>
      <c r="G183" s="41">
        <v>0.608391608391608</v>
      </c>
      <c r="H183" s="41">
        <v>0.58174290986791</v>
      </c>
      <c r="I183" s="41">
        <v>2.6648698523698701E-2</v>
      </c>
      <c r="J183" s="42" t="s">
        <v>532</v>
      </c>
    </row>
    <row r="184" spans="1:12" s="43" customFormat="1" ht="15" x14ac:dyDescent="0.25">
      <c r="A184" s="38" t="s">
        <v>671</v>
      </c>
      <c r="B184" s="39" t="s">
        <v>128</v>
      </c>
      <c r="C184" s="39" t="s">
        <v>781</v>
      </c>
      <c r="D184" s="40">
        <v>0.224</v>
      </c>
      <c r="E184" s="40">
        <v>0.2482</v>
      </c>
      <c r="F184" s="40">
        <v>0.57199999999999995</v>
      </c>
      <c r="G184" s="41">
        <v>0.608391608391608</v>
      </c>
      <c r="H184" s="41">
        <v>0.56612519425019403</v>
      </c>
      <c r="I184" s="41">
        <v>4.2266414141414299E-2</v>
      </c>
      <c r="J184" s="42" t="s">
        <v>532</v>
      </c>
    </row>
    <row r="185" spans="1:12" s="43" customFormat="1" ht="15" x14ac:dyDescent="0.25">
      <c r="A185" s="38" t="s">
        <v>672</v>
      </c>
      <c r="B185" s="39" t="s">
        <v>128</v>
      </c>
      <c r="C185" s="39" t="s">
        <v>807</v>
      </c>
      <c r="D185" s="40">
        <v>0.224</v>
      </c>
      <c r="E185" s="40">
        <v>0.22639999999999999</v>
      </c>
      <c r="F185" s="40">
        <v>0.57199999999999995</v>
      </c>
      <c r="G185" s="41">
        <v>0.608391608391608</v>
      </c>
      <c r="H185" s="41">
        <v>0.60423951048950997</v>
      </c>
      <c r="I185" s="41">
        <v>4.1520979020979202E-3</v>
      </c>
      <c r="J185" s="42" t="s">
        <v>532</v>
      </c>
    </row>
    <row r="186" spans="1:12" s="43" customFormat="1" ht="15" x14ac:dyDescent="0.25">
      <c r="A186" s="38" t="s">
        <v>679</v>
      </c>
      <c r="B186" s="39" t="s">
        <v>128</v>
      </c>
      <c r="C186" s="39" t="s">
        <v>948</v>
      </c>
      <c r="D186" s="40">
        <v>0.224</v>
      </c>
      <c r="E186" s="40">
        <v>0.24859999999999999</v>
      </c>
      <c r="F186" s="40">
        <v>0.57199999999999995</v>
      </c>
      <c r="G186" s="41">
        <v>0.608391608391608</v>
      </c>
      <c r="H186" s="41">
        <v>0.565399184149184</v>
      </c>
      <c r="I186" s="41">
        <v>4.2992424242424297E-2</v>
      </c>
      <c r="J186" s="42" t="s">
        <v>532</v>
      </c>
    </row>
    <row r="187" spans="1:12" s="43" customFormat="1" ht="15" x14ac:dyDescent="0.25">
      <c r="A187" s="38" t="s">
        <v>692</v>
      </c>
      <c r="B187" s="39" t="s">
        <v>128</v>
      </c>
      <c r="C187" s="39" t="s">
        <v>1143</v>
      </c>
      <c r="D187" s="40">
        <v>0.224</v>
      </c>
      <c r="E187" s="40">
        <v>0.21690000000000001</v>
      </c>
      <c r="F187" s="40">
        <v>0.57199999999999995</v>
      </c>
      <c r="G187" s="41">
        <v>0.608391608391608</v>
      </c>
      <c r="H187" s="41">
        <v>0.62075563325563299</v>
      </c>
      <c r="I187" s="41">
        <v>-1.2364024864024801E-2</v>
      </c>
      <c r="J187" s="42" t="s">
        <v>532</v>
      </c>
    </row>
    <row r="188" spans="1:12" s="43" customFormat="1" ht="15" x14ac:dyDescent="0.25">
      <c r="A188" s="38" t="s">
        <v>625</v>
      </c>
      <c r="B188" s="39" t="s">
        <v>128</v>
      </c>
      <c r="C188" s="39" t="s">
        <v>1213</v>
      </c>
      <c r="D188" s="40">
        <v>0.22900000000000001</v>
      </c>
      <c r="E188" s="40">
        <v>0.23710000000000001</v>
      </c>
      <c r="F188" s="40">
        <v>0.57199999999999995</v>
      </c>
      <c r="G188" s="41">
        <v>0.59965034965035002</v>
      </c>
      <c r="H188" s="41">
        <v>0.58556235431235404</v>
      </c>
      <c r="I188" s="41">
        <v>1.40879953379954E-2</v>
      </c>
      <c r="J188" s="42" t="s">
        <v>532</v>
      </c>
    </row>
    <row r="189" spans="1:12" s="43" customFormat="1" ht="15" x14ac:dyDescent="0.25">
      <c r="A189" s="38" t="s">
        <v>628</v>
      </c>
      <c r="B189" s="39" t="s">
        <v>128</v>
      </c>
      <c r="C189" s="39" t="s">
        <v>1312</v>
      </c>
      <c r="D189" s="40">
        <v>0.22900000000000001</v>
      </c>
      <c r="E189" s="40">
        <v>0.26500000000000001</v>
      </c>
      <c r="F189" s="40">
        <v>0.57199999999999995</v>
      </c>
      <c r="G189" s="41">
        <v>0.59965034965035002</v>
      </c>
      <c r="H189" s="41">
        <v>0.53675213675213695</v>
      </c>
      <c r="I189" s="41">
        <v>6.2898212898212999E-2</v>
      </c>
      <c r="J189" s="42" t="s">
        <v>532</v>
      </c>
    </row>
    <row r="190" spans="1:12" s="43" customFormat="1" ht="15" x14ac:dyDescent="0.25">
      <c r="A190" s="38" t="s">
        <v>707</v>
      </c>
      <c r="B190" s="39" t="s">
        <v>128</v>
      </c>
      <c r="C190" s="39" t="s">
        <v>1317</v>
      </c>
      <c r="D190" s="40">
        <v>0.22900000000000001</v>
      </c>
      <c r="E190" s="40">
        <v>0.25650000000000001</v>
      </c>
      <c r="F190" s="40">
        <v>0.57199999999999995</v>
      </c>
      <c r="G190" s="41">
        <v>0.59965034965035002</v>
      </c>
      <c r="H190" s="41">
        <v>0.55155885780885805</v>
      </c>
      <c r="I190" s="41">
        <v>4.8091491841492001E-2</v>
      </c>
      <c r="J190" s="42" t="s">
        <v>532</v>
      </c>
    </row>
    <row r="191" spans="1:12" s="43" customFormat="1" ht="15" x14ac:dyDescent="0.25">
      <c r="A191" s="38" t="s">
        <v>708</v>
      </c>
      <c r="B191" s="39" t="s">
        <v>128</v>
      </c>
      <c r="C191" s="39" t="s">
        <v>1321</v>
      </c>
      <c r="D191" s="40">
        <v>0.22900000000000001</v>
      </c>
      <c r="E191" s="40">
        <v>0.28520000000000001</v>
      </c>
      <c r="F191" s="40">
        <v>0.57199999999999995</v>
      </c>
      <c r="G191" s="41">
        <v>0.59965034965035002</v>
      </c>
      <c r="H191" s="41">
        <v>0.50136217948717898</v>
      </c>
      <c r="I191" s="41">
        <v>9.8288170163170194E-2</v>
      </c>
      <c r="J191" s="42" t="s">
        <v>532</v>
      </c>
    </row>
    <row r="192" spans="1:12" s="43" customFormat="1" ht="15" x14ac:dyDescent="0.25">
      <c r="A192" s="38" t="s">
        <v>536</v>
      </c>
      <c r="B192" s="39" t="s">
        <v>128</v>
      </c>
      <c r="C192" s="39" t="s">
        <v>1387</v>
      </c>
      <c r="D192" s="40">
        <v>0.22900000000000001</v>
      </c>
      <c r="E192" s="40">
        <v>0.219</v>
      </c>
      <c r="F192" s="40">
        <v>0.58699999999999997</v>
      </c>
      <c r="G192" s="41">
        <v>0.60988074957410598</v>
      </c>
      <c r="H192" s="41">
        <v>0.626985141018361</v>
      </c>
      <c r="I192" s="41">
        <v>-1.7104391444255001E-2</v>
      </c>
      <c r="J192" s="42" t="s">
        <v>532</v>
      </c>
    </row>
    <row r="193" spans="1:12" s="43" customFormat="1" ht="15" x14ac:dyDescent="0.25">
      <c r="A193" s="38" t="s">
        <v>564</v>
      </c>
      <c r="B193" s="39" t="s">
        <v>128</v>
      </c>
      <c r="C193" s="39" t="s">
        <v>1451</v>
      </c>
      <c r="D193" s="40">
        <v>0.22900000000000001</v>
      </c>
      <c r="E193" s="40">
        <v>0.2535</v>
      </c>
      <c r="F193" s="40">
        <v>0.58699999999999997</v>
      </c>
      <c r="G193" s="41">
        <v>0.60988074957410598</v>
      </c>
      <c r="H193" s="41">
        <v>0.56817385954949795</v>
      </c>
      <c r="I193" s="41">
        <v>4.1706890024607299E-2</v>
      </c>
      <c r="J193" s="42" t="s">
        <v>532</v>
      </c>
    </row>
    <row r="194" spans="1:12" s="43" customFormat="1" ht="15" x14ac:dyDescent="0.25">
      <c r="A194" s="38" t="s">
        <v>638</v>
      </c>
      <c r="B194" s="39" t="s">
        <v>128</v>
      </c>
      <c r="C194" s="39" t="s">
        <v>1500</v>
      </c>
      <c r="D194" s="40">
        <v>0.22900000000000001</v>
      </c>
      <c r="E194" s="40">
        <v>0.20660000000000001</v>
      </c>
      <c r="F194" s="40">
        <v>0.58699999999999997</v>
      </c>
      <c r="G194" s="41">
        <v>0.60988074957410598</v>
      </c>
      <c r="H194" s="41">
        <v>0.64804088586030695</v>
      </c>
      <c r="I194" s="41">
        <v>-3.8160136286200998E-2</v>
      </c>
      <c r="J194" s="42" t="s">
        <v>532</v>
      </c>
    </row>
    <row r="195" spans="1:12" s="43" customFormat="1" ht="15" x14ac:dyDescent="0.25">
      <c r="A195" s="38" t="s">
        <v>534</v>
      </c>
      <c r="B195" s="39" t="s">
        <v>128</v>
      </c>
      <c r="C195" s="39" t="s">
        <v>1740</v>
      </c>
      <c r="D195" s="40">
        <v>0.22900000000000001</v>
      </c>
      <c r="E195" s="40"/>
      <c r="F195" s="40">
        <v>0.58699999999999997</v>
      </c>
      <c r="G195" s="41">
        <v>0.60988074957410598</v>
      </c>
      <c r="H195" s="41"/>
      <c r="I195" s="41"/>
      <c r="J195" s="42" t="s">
        <v>532</v>
      </c>
    </row>
    <row r="196" spans="1:12" x14ac:dyDescent="0.25">
      <c r="A196" s="44">
        <v>2018</v>
      </c>
      <c r="B196" s="44" t="s">
        <v>128</v>
      </c>
      <c r="C196" s="44" t="s">
        <v>1832</v>
      </c>
      <c r="D196" s="45">
        <v>0.22660400397557859</v>
      </c>
      <c r="E196" s="45">
        <v>0.24114932557148941</v>
      </c>
      <c r="F196" s="45">
        <v>0.57496677552179454</v>
      </c>
      <c r="G196" s="46">
        <v>0.60586257389364651</v>
      </c>
      <c r="H196" s="46">
        <v>0.56893083884009799</v>
      </c>
      <c r="I196" s="46">
        <v>3.0004224054552862E-2</v>
      </c>
      <c r="J196" s="47" t="s">
        <v>533</v>
      </c>
      <c r="K196" s="48"/>
      <c r="L196" s="48"/>
    </row>
    <row r="197" spans="1:12" s="43" customFormat="1" ht="15" x14ac:dyDescent="0.25">
      <c r="A197" s="38" t="s">
        <v>542</v>
      </c>
      <c r="B197" s="39" t="s">
        <v>315</v>
      </c>
      <c r="C197" s="39" t="s">
        <v>1467</v>
      </c>
      <c r="D197" s="40">
        <v>0.2049</v>
      </c>
      <c r="E197" s="40">
        <v>0.2215</v>
      </c>
      <c r="F197" s="40">
        <v>0.66200000000000003</v>
      </c>
      <c r="G197" s="41">
        <v>0.69048338368579998</v>
      </c>
      <c r="H197" s="41">
        <v>0.66540785498489396</v>
      </c>
      <c r="I197" s="41">
        <v>2.5075528700906301E-2</v>
      </c>
      <c r="J197" s="42" t="s">
        <v>532</v>
      </c>
    </row>
    <row r="198" spans="1:12" s="43" customFormat="1" ht="15" x14ac:dyDescent="0.25">
      <c r="A198" s="38" t="s">
        <v>535</v>
      </c>
      <c r="B198" s="39" t="s">
        <v>315</v>
      </c>
      <c r="C198" s="39" t="s">
        <v>1487</v>
      </c>
      <c r="D198" s="40">
        <v>0.2049</v>
      </c>
      <c r="E198" s="40">
        <v>0.23</v>
      </c>
      <c r="F198" s="40">
        <v>0.66200000000000003</v>
      </c>
      <c r="G198" s="41">
        <v>0.69048338368579998</v>
      </c>
      <c r="H198" s="41">
        <v>0.65256797583081605</v>
      </c>
      <c r="I198" s="41">
        <v>3.7915407854984803E-2</v>
      </c>
      <c r="J198" s="42" t="s">
        <v>532</v>
      </c>
    </row>
    <row r="199" spans="1:12" s="43" customFormat="1" ht="15" x14ac:dyDescent="0.25">
      <c r="A199" s="38" t="s">
        <v>610</v>
      </c>
      <c r="B199" s="39" t="s">
        <v>315</v>
      </c>
      <c r="C199" s="39" t="s">
        <v>1539</v>
      </c>
      <c r="D199" s="40">
        <v>0.2049</v>
      </c>
      <c r="E199" s="40">
        <v>0.23569999999999999</v>
      </c>
      <c r="F199" s="40">
        <v>0.66200000000000003</v>
      </c>
      <c r="G199" s="41">
        <v>0.69048338368579998</v>
      </c>
      <c r="H199" s="41">
        <v>0.64395770392749196</v>
      </c>
      <c r="I199" s="41">
        <v>4.6525679758308097E-2</v>
      </c>
      <c r="J199" s="42" t="s">
        <v>532</v>
      </c>
    </row>
    <row r="200" spans="1:12" x14ac:dyDescent="0.25">
      <c r="A200" s="44">
        <v>2018</v>
      </c>
      <c r="B200" s="44" t="s">
        <v>315</v>
      </c>
      <c r="C200" s="44" t="s">
        <v>1951</v>
      </c>
      <c r="D200" s="45">
        <v>0.2049</v>
      </c>
      <c r="E200" s="45">
        <v>0.22821895068807341</v>
      </c>
      <c r="F200" s="45">
        <v>0.66200000000000003</v>
      </c>
      <c r="G200" s="46">
        <v>0.69048338368580053</v>
      </c>
      <c r="H200" s="46">
        <v>0.65525838264641478</v>
      </c>
      <c r="I200" s="46">
        <v>3.5225001039385744E-2</v>
      </c>
      <c r="J200" s="47" t="s">
        <v>533</v>
      </c>
      <c r="K200" s="48"/>
      <c r="L200" s="48"/>
    </row>
    <row r="201" spans="1:12" s="43" customFormat="1" ht="15" x14ac:dyDescent="0.25">
      <c r="A201" s="38" t="s">
        <v>660</v>
      </c>
      <c r="B201" s="39" t="s">
        <v>316</v>
      </c>
      <c r="C201" s="39" t="s">
        <v>1773</v>
      </c>
      <c r="D201" s="40">
        <v>0.50590000000000002</v>
      </c>
      <c r="E201" s="40"/>
      <c r="F201" s="40"/>
      <c r="G201" s="41"/>
      <c r="H201" s="41"/>
      <c r="I201" s="41"/>
      <c r="J201" s="42" t="s">
        <v>532</v>
      </c>
    </row>
    <row r="202" spans="1:12" s="43" customFormat="1" ht="15" x14ac:dyDescent="0.25">
      <c r="A202" s="38" t="s">
        <v>661</v>
      </c>
      <c r="B202" s="39" t="s">
        <v>316</v>
      </c>
      <c r="C202" s="39" t="s">
        <v>1785</v>
      </c>
      <c r="D202" s="40">
        <v>0.50590000000000002</v>
      </c>
      <c r="E202" s="40">
        <v>0.61970000000000003</v>
      </c>
      <c r="F202" s="40"/>
      <c r="G202" s="41"/>
      <c r="H202" s="41"/>
      <c r="I202" s="41"/>
      <c r="J202" s="42" t="s">
        <v>532</v>
      </c>
    </row>
    <row r="203" spans="1:12" x14ac:dyDescent="0.25">
      <c r="A203" s="44">
        <v>2018</v>
      </c>
      <c r="B203" s="44" t="s">
        <v>316</v>
      </c>
      <c r="C203" s="44" t="s">
        <v>1137</v>
      </c>
      <c r="D203" s="45">
        <v>0.50590000000000002</v>
      </c>
      <c r="E203" s="45">
        <v>0.28350647773279353</v>
      </c>
      <c r="F203" s="45"/>
      <c r="J203" s="47" t="s">
        <v>533</v>
      </c>
      <c r="K203" s="48"/>
      <c r="L203" s="48"/>
    </row>
    <row r="204" spans="1:12" s="43" customFormat="1" ht="15" x14ac:dyDescent="0.25">
      <c r="A204" s="38" t="s">
        <v>542</v>
      </c>
      <c r="B204" s="39" t="s">
        <v>317</v>
      </c>
      <c r="C204" s="39" t="s">
        <v>1468</v>
      </c>
      <c r="D204" s="40">
        <v>0.43540000000000001</v>
      </c>
      <c r="E204" s="40">
        <v>0.47349999999999998</v>
      </c>
      <c r="F204" s="40">
        <v>1.407</v>
      </c>
      <c r="G204" s="41">
        <v>0.69054726368159203</v>
      </c>
      <c r="H204" s="41">
        <v>0.66346837242359602</v>
      </c>
      <c r="I204" s="41">
        <v>2.7078891257995799E-2</v>
      </c>
      <c r="J204" s="42" t="s">
        <v>532</v>
      </c>
    </row>
    <row r="205" spans="1:12" x14ac:dyDescent="0.25">
      <c r="A205" s="44">
        <v>2018</v>
      </c>
      <c r="B205" s="44" t="s">
        <v>317</v>
      </c>
      <c r="C205" s="44" t="s">
        <v>1468</v>
      </c>
      <c r="D205" s="45">
        <v>0.43540000000000001</v>
      </c>
      <c r="E205" s="45">
        <v>0.47350000000000003</v>
      </c>
      <c r="F205" s="45">
        <v>1.407</v>
      </c>
      <c r="G205" s="46">
        <v>0.69054726368159203</v>
      </c>
      <c r="H205" s="46">
        <v>0.66346837242359624</v>
      </c>
      <c r="I205" s="46">
        <v>2.7078891257995785E-2</v>
      </c>
      <c r="J205" s="47" t="s">
        <v>533</v>
      </c>
      <c r="K205" s="48"/>
      <c r="L205" s="48"/>
    </row>
    <row r="206" spans="1:12" s="43" customFormat="1" ht="15" x14ac:dyDescent="0.25">
      <c r="A206" s="38" t="s">
        <v>535</v>
      </c>
      <c r="B206" s="39" t="s">
        <v>318</v>
      </c>
      <c r="C206" s="39" t="s">
        <v>1337</v>
      </c>
      <c r="D206" s="40">
        <v>0.4577</v>
      </c>
      <c r="E206" s="40">
        <v>0.59589999999999999</v>
      </c>
      <c r="F206" s="40">
        <v>1.407</v>
      </c>
      <c r="G206" s="41">
        <v>0.67468609334281004</v>
      </c>
      <c r="H206" s="41">
        <v>0.57649846008054995</v>
      </c>
      <c r="I206" s="41">
        <v>9.8187633262260196E-2</v>
      </c>
      <c r="J206" s="42" t="s">
        <v>532</v>
      </c>
    </row>
    <row r="207" spans="1:12" s="43" customFormat="1" ht="15" x14ac:dyDescent="0.25">
      <c r="A207" s="38" t="s">
        <v>636</v>
      </c>
      <c r="B207" s="39" t="s">
        <v>318</v>
      </c>
      <c r="C207" s="39" t="s">
        <v>1513</v>
      </c>
      <c r="D207" s="40">
        <v>5.4926000000000004</v>
      </c>
      <c r="E207" s="40">
        <v>0.51290000000000002</v>
      </c>
      <c r="F207" s="40">
        <v>1.407</v>
      </c>
      <c r="G207" s="41">
        <v>-2.9037668798862799</v>
      </c>
      <c r="H207" s="41">
        <v>0.63546552949538004</v>
      </c>
      <c r="I207" s="41">
        <v>-3.5392324093816598</v>
      </c>
      <c r="J207" s="42" t="s">
        <v>532</v>
      </c>
    </row>
    <row r="208" spans="1:12" x14ac:dyDescent="0.25">
      <c r="A208" s="44">
        <v>2018</v>
      </c>
      <c r="B208" s="44" t="s">
        <v>318</v>
      </c>
      <c r="C208" s="44" t="s">
        <v>1954</v>
      </c>
      <c r="D208" s="45">
        <v>4.7823316305818668</v>
      </c>
      <c r="E208" s="45">
        <v>0.52460872801082548</v>
      </c>
      <c r="F208" s="45">
        <v>1.407</v>
      </c>
      <c r="G208" s="46">
        <v>-2.39895805382521</v>
      </c>
      <c r="H208" s="46">
        <v>0.62714710326196199</v>
      </c>
      <c r="I208" s="46">
        <v>-3.0261051570871715</v>
      </c>
      <c r="J208" s="47" t="s">
        <v>533</v>
      </c>
      <c r="K208" s="48"/>
      <c r="L208" s="48"/>
    </row>
    <row r="209" spans="1:12" s="43" customFormat="1" ht="15" x14ac:dyDescent="0.25">
      <c r="A209" s="38" t="s">
        <v>712</v>
      </c>
      <c r="B209" s="39" t="s">
        <v>319</v>
      </c>
      <c r="C209" s="39" t="s">
        <v>1495</v>
      </c>
      <c r="D209" s="40">
        <v>0.46529999999999999</v>
      </c>
      <c r="E209" s="40">
        <v>0.55269999999999997</v>
      </c>
      <c r="F209" s="40">
        <v>1.407</v>
      </c>
      <c r="G209" s="41">
        <v>0.66929637526652397</v>
      </c>
      <c r="H209" s="41">
        <v>0.60717839374555804</v>
      </c>
      <c r="I209" s="41">
        <v>6.2117981520966599E-2</v>
      </c>
      <c r="J209" s="42" t="s">
        <v>532</v>
      </c>
    </row>
    <row r="210" spans="1:12" s="43" customFormat="1" ht="15" x14ac:dyDescent="0.25">
      <c r="A210" s="38" t="s">
        <v>638</v>
      </c>
      <c r="B210" s="39" t="s">
        <v>319</v>
      </c>
      <c r="C210" s="39" t="s">
        <v>1177</v>
      </c>
      <c r="D210" s="40">
        <v>0.46529999999999999</v>
      </c>
      <c r="E210" s="40">
        <v>0.67800000000000005</v>
      </c>
      <c r="F210" s="40">
        <v>1.407</v>
      </c>
      <c r="G210" s="41">
        <v>0.66929637526652397</v>
      </c>
      <c r="H210" s="41">
        <v>0.51812366737739901</v>
      </c>
      <c r="I210" s="41">
        <v>0.15117270788912601</v>
      </c>
      <c r="J210" s="42" t="s">
        <v>532</v>
      </c>
    </row>
    <row r="211" spans="1:12" x14ac:dyDescent="0.25">
      <c r="A211" s="44">
        <v>2018</v>
      </c>
      <c r="B211" s="44" t="s">
        <v>319</v>
      </c>
      <c r="C211" s="44" t="s">
        <v>1958</v>
      </c>
      <c r="D211" s="45">
        <v>0.46529999999999999</v>
      </c>
      <c r="E211" s="45">
        <v>0.57330822355289424</v>
      </c>
      <c r="F211" s="45">
        <v>1.407</v>
      </c>
      <c r="G211" s="46">
        <v>0.66929637526652452</v>
      </c>
      <c r="H211" s="46">
        <v>0.59253146869019602</v>
      </c>
      <c r="I211" s="46">
        <v>7.6764906576328507E-2</v>
      </c>
      <c r="J211" s="47" t="s">
        <v>533</v>
      </c>
      <c r="K211" s="48"/>
      <c r="L211" s="48"/>
    </row>
    <row r="212" spans="1:12" s="43" customFormat="1" ht="15" x14ac:dyDescent="0.25">
      <c r="A212" s="38" t="s">
        <v>548</v>
      </c>
      <c r="B212" s="39" t="s">
        <v>320</v>
      </c>
      <c r="C212" s="39" t="s">
        <v>1524</v>
      </c>
      <c r="D212" s="40">
        <v>0.44929999999999998</v>
      </c>
      <c r="E212" s="40">
        <v>0.54979999999999996</v>
      </c>
      <c r="F212" s="40">
        <v>1.407</v>
      </c>
      <c r="G212" s="41">
        <v>0.68066808813077495</v>
      </c>
      <c r="H212" s="41">
        <v>0.609239516702203</v>
      </c>
      <c r="I212" s="41">
        <v>7.1428571428571397E-2</v>
      </c>
      <c r="J212" s="42" t="s">
        <v>532</v>
      </c>
    </row>
    <row r="213" spans="1:12" s="43" customFormat="1" ht="15" x14ac:dyDescent="0.25">
      <c r="A213" s="38" t="s">
        <v>597</v>
      </c>
      <c r="B213" s="39" t="s">
        <v>320</v>
      </c>
      <c r="C213" s="39" t="s">
        <v>1544</v>
      </c>
      <c r="D213" s="40">
        <v>0.44929999999999998</v>
      </c>
      <c r="E213" s="40">
        <v>0.51200000000000001</v>
      </c>
      <c r="F213" s="40">
        <v>1.407</v>
      </c>
      <c r="G213" s="41">
        <v>0.68066808813077495</v>
      </c>
      <c r="H213" s="41">
        <v>0.63610518834399399</v>
      </c>
      <c r="I213" s="41">
        <v>4.4562899786780401E-2</v>
      </c>
      <c r="J213" s="42" t="s">
        <v>532</v>
      </c>
    </row>
    <row r="214" spans="1:12" s="43" customFormat="1" ht="15" x14ac:dyDescent="0.25">
      <c r="A214" s="38" t="s">
        <v>599</v>
      </c>
      <c r="B214" s="39" t="s">
        <v>320</v>
      </c>
      <c r="C214" s="39" t="s">
        <v>1032</v>
      </c>
      <c r="D214" s="40">
        <v>0.44929999999999998</v>
      </c>
      <c r="E214" s="40">
        <v>0.50309999999999999</v>
      </c>
      <c r="F214" s="40">
        <v>1.407</v>
      </c>
      <c r="G214" s="41">
        <v>0.68066808813077495</v>
      </c>
      <c r="H214" s="41">
        <v>0.64243070362473398</v>
      </c>
      <c r="I214" s="41">
        <v>3.8237384506041201E-2</v>
      </c>
      <c r="J214" s="42" t="s">
        <v>532</v>
      </c>
    </row>
    <row r="215" spans="1:12" x14ac:dyDescent="0.25">
      <c r="A215" s="44">
        <v>2018</v>
      </c>
      <c r="B215" s="44" t="s">
        <v>320</v>
      </c>
      <c r="C215" s="44" t="s">
        <v>1962</v>
      </c>
      <c r="D215" s="45">
        <v>0.44930000000000003</v>
      </c>
      <c r="E215" s="45">
        <v>0.52515518657993843</v>
      </c>
      <c r="F215" s="45">
        <v>1.407</v>
      </c>
      <c r="G215" s="46">
        <v>0.68066808813077473</v>
      </c>
      <c r="H215" s="46">
        <v>0.62675537556507588</v>
      </c>
      <c r="I215" s="46">
        <v>5.391271256569892E-2</v>
      </c>
      <c r="J215" s="47" t="s">
        <v>533</v>
      </c>
      <c r="K215" s="48"/>
      <c r="L215" s="48"/>
    </row>
    <row r="216" spans="1:12" s="43" customFormat="1" ht="15" x14ac:dyDescent="0.25">
      <c r="A216" s="38" t="s">
        <v>635</v>
      </c>
      <c r="B216" s="39" t="s">
        <v>321</v>
      </c>
      <c r="C216" s="39" t="s">
        <v>1714</v>
      </c>
      <c r="D216" s="40">
        <v>1.4209000000000001</v>
      </c>
      <c r="E216" s="40">
        <v>2.1393</v>
      </c>
      <c r="F216" s="40">
        <v>5.7889999999999997</v>
      </c>
      <c r="G216" s="41">
        <v>0.75455173605113202</v>
      </c>
      <c r="H216" s="41">
        <v>0.63045430989808304</v>
      </c>
      <c r="I216" s="41">
        <v>0.124097426153049</v>
      </c>
      <c r="J216" s="42" t="s">
        <v>532</v>
      </c>
    </row>
    <row r="217" spans="1:12" x14ac:dyDescent="0.25">
      <c r="A217" s="44">
        <v>2018</v>
      </c>
      <c r="B217" s="44" t="s">
        <v>321</v>
      </c>
      <c r="C217" s="44" t="s">
        <v>1714</v>
      </c>
      <c r="D217" s="45">
        <v>1.4208999999999998</v>
      </c>
      <c r="E217" s="45">
        <v>2.1393</v>
      </c>
      <c r="F217" s="45">
        <v>5.7890000000000006</v>
      </c>
      <c r="G217" s="46">
        <v>0.75455173605113157</v>
      </c>
      <c r="H217" s="46">
        <v>0.6304543098980826</v>
      </c>
      <c r="I217" s="46">
        <v>0.12409742615304886</v>
      </c>
      <c r="J217" s="47" t="s">
        <v>533</v>
      </c>
      <c r="K217" s="48"/>
      <c r="L217" s="48"/>
    </row>
    <row r="218" spans="1:12" s="43" customFormat="1" ht="15" x14ac:dyDescent="0.25">
      <c r="A218" s="38" t="s">
        <v>650</v>
      </c>
      <c r="B218" s="39" t="s">
        <v>322</v>
      </c>
      <c r="C218" s="39" t="s">
        <v>1687</v>
      </c>
      <c r="D218" s="40">
        <v>1.3865000000000001</v>
      </c>
      <c r="E218" s="40">
        <v>1.3246</v>
      </c>
      <c r="F218" s="40">
        <v>4.1479999999999997</v>
      </c>
      <c r="G218" s="41">
        <v>0.66574252651880395</v>
      </c>
      <c r="H218" s="41">
        <v>0.680665380906461</v>
      </c>
      <c r="I218" s="41">
        <v>-1.4922854387656601E-2</v>
      </c>
      <c r="J218" s="42" t="s">
        <v>532</v>
      </c>
    </row>
    <row r="219" spans="1:12" x14ac:dyDescent="0.25">
      <c r="A219" s="44">
        <v>2018</v>
      </c>
      <c r="B219" s="44" t="s">
        <v>322</v>
      </c>
      <c r="C219" s="44" t="s">
        <v>1687</v>
      </c>
      <c r="D219" s="45">
        <v>1.3865000000000001</v>
      </c>
      <c r="E219" s="45">
        <v>1.3246</v>
      </c>
      <c r="F219" s="45">
        <v>4.1479999999999997</v>
      </c>
      <c r="G219" s="46">
        <v>0.66574252651880428</v>
      </c>
      <c r="H219" s="46">
        <v>0.68066538090646089</v>
      </c>
      <c r="I219" s="46">
        <v>-1.4922854387656614E-2</v>
      </c>
      <c r="J219" s="47" t="s">
        <v>533</v>
      </c>
      <c r="K219" s="48"/>
      <c r="L219" s="48"/>
    </row>
    <row r="220" spans="1:12" s="43" customFormat="1" ht="15" x14ac:dyDescent="0.25">
      <c r="A220" s="38" t="s">
        <v>681</v>
      </c>
      <c r="B220" s="39" t="s">
        <v>133</v>
      </c>
      <c r="C220" s="39" t="s">
        <v>962</v>
      </c>
      <c r="D220" s="40">
        <v>1.3858999999999999</v>
      </c>
      <c r="E220" s="40">
        <v>1.6238999999999999</v>
      </c>
      <c r="F220" s="40">
        <v>5.2089999999999996</v>
      </c>
      <c r="G220" s="41">
        <v>0.73394125551929401</v>
      </c>
      <c r="H220" s="41">
        <v>0.68825110385870603</v>
      </c>
      <c r="I220" s="41">
        <v>4.5690151660587403E-2</v>
      </c>
      <c r="J220" s="42" t="s">
        <v>532</v>
      </c>
    </row>
    <row r="221" spans="1:12" s="43" customFormat="1" ht="15" x14ac:dyDescent="0.25">
      <c r="A221" s="38" t="s">
        <v>609</v>
      </c>
      <c r="B221" s="39" t="s">
        <v>133</v>
      </c>
      <c r="C221" s="39" t="s">
        <v>1027</v>
      </c>
      <c r="D221" s="40">
        <v>1.3858999999999999</v>
      </c>
      <c r="E221" s="40">
        <v>1.4221999999999999</v>
      </c>
      <c r="F221" s="40">
        <v>5.2089999999999996</v>
      </c>
      <c r="G221" s="41">
        <v>0.73394125551929401</v>
      </c>
      <c r="H221" s="41">
        <v>0.72697254751391804</v>
      </c>
      <c r="I221" s="41">
        <v>6.9687080053754099E-3</v>
      </c>
      <c r="J221" s="42" t="s">
        <v>532</v>
      </c>
    </row>
    <row r="222" spans="1:12" s="43" customFormat="1" ht="15" x14ac:dyDescent="0.25">
      <c r="A222" s="38" t="s">
        <v>607</v>
      </c>
      <c r="B222" s="39" t="s">
        <v>133</v>
      </c>
      <c r="C222" s="39" t="s">
        <v>1035</v>
      </c>
      <c r="D222" s="40">
        <v>1.3858999999999999</v>
      </c>
      <c r="E222" s="40">
        <v>1.5347999999999999</v>
      </c>
      <c r="F222" s="40">
        <v>5.2089999999999996</v>
      </c>
      <c r="G222" s="41">
        <v>0.73394125551929401</v>
      </c>
      <c r="H222" s="41">
        <v>0.70535611441735402</v>
      </c>
      <c r="I222" s="41">
        <v>2.8585141101939E-2</v>
      </c>
      <c r="J222" s="42" t="s">
        <v>532</v>
      </c>
    </row>
    <row r="223" spans="1:12" x14ac:dyDescent="0.25">
      <c r="A223" s="44">
        <v>2018</v>
      </c>
      <c r="B223" s="44" t="s">
        <v>133</v>
      </c>
      <c r="C223" s="44" t="s">
        <v>1912</v>
      </c>
      <c r="D223" s="45">
        <v>1.3858999999999999</v>
      </c>
      <c r="E223" s="45">
        <v>1.505115111111111</v>
      </c>
      <c r="F223" s="45">
        <v>5.2089999999999996</v>
      </c>
      <c r="G223" s="46">
        <v>0.73394125551929346</v>
      </c>
      <c r="H223" s="46">
        <v>0.71105488364156044</v>
      </c>
      <c r="I223" s="46">
        <v>2.2886371877733042E-2</v>
      </c>
      <c r="J223" s="47" t="s">
        <v>533</v>
      </c>
      <c r="K223" s="48"/>
      <c r="L223" s="48"/>
    </row>
    <row r="224" spans="1:12" s="43" customFormat="1" ht="15" x14ac:dyDescent="0.25">
      <c r="A224" s="38" t="s">
        <v>681</v>
      </c>
      <c r="B224" s="39" t="s">
        <v>134</v>
      </c>
      <c r="C224" s="39" t="s">
        <v>963</v>
      </c>
      <c r="D224" s="40">
        <v>1.5129999999999999</v>
      </c>
      <c r="E224" s="40">
        <v>1.6311</v>
      </c>
      <c r="F224" s="40">
        <v>5.2089999999999996</v>
      </c>
      <c r="G224" s="41">
        <v>0.70954117872912303</v>
      </c>
      <c r="H224" s="41">
        <v>0.68687527996416498</v>
      </c>
      <c r="I224" s="41">
        <v>2.2665898764958101E-2</v>
      </c>
      <c r="J224" s="42" t="s">
        <v>532</v>
      </c>
    </row>
    <row r="225" spans="1:12" s="43" customFormat="1" ht="15" x14ac:dyDescent="0.25">
      <c r="A225" s="38" t="s">
        <v>605</v>
      </c>
      <c r="B225" s="39" t="s">
        <v>134</v>
      </c>
      <c r="C225" s="39" t="s">
        <v>973</v>
      </c>
      <c r="D225" s="40">
        <v>1.5129999999999999</v>
      </c>
      <c r="E225" s="40">
        <v>1.7009000000000001</v>
      </c>
      <c r="F225" s="40">
        <v>5.2089999999999996</v>
      </c>
      <c r="G225" s="41">
        <v>0.70954117872912303</v>
      </c>
      <c r="H225" s="41">
        <v>0.67345939719715897</v>
      </c>
      <c r="I225" s="41">
        <v>3.6081781531964001E-2</v>
      </c>
      <c r="J225" s="42" t="s">
        <v>532</v>
      </c>
    </row>
    <row r="226" spans="1:12" s="43" customFormat="1" ht="15" x14ac:dyDescent="0.25">
      <c r="A226" s="38" t="s">
        <v>612</v>
      </c>
      <c r="B226" s="39" t="s">
        <v>134</v>
      </c>
      <c r="C226" s="39" t="s">
        <v>986</v>
      </c>
      <c r="D226" s="40">
        <v>1.5129999999999999</v>
      </c>
      <c r="E226" s="40">
        <v>1.1919999999999999</v>
      </c>
      <c r="F226" s="40">
        <v>5.2089999999999996</v>
      </c>
      <c r="G226" s="41">
        <v>0.70954117872912303</v>
      </c>
      <c r="H226" s="41">
        <v>0.771168490433224</v>
      </c>
      <c r="I226" s="41">
        <v>-6.1627311704101802E-2</v>
      </c>
      <c r="J226" s="42" t="s">
        <v>532</v>
      </c>
    </row>
    <row r="227" spans="1:12" s="43" customFormat="1" ht="15" x14ac:dyDescent="0.25">
      <c r="A227" s="38" t="s">
        <v>609</v>
      </c>
      <c r="B227" s="39" t="s">
        <v>134</v>
      </c>
      <c r="C227" s="39" t="s">
        <v>1028</v>
      </c>
      <c r="D227" s="40">
        <v>1.5129999999999999</v>
      </c>
      <c r="E227" s="40">
        <v>1.6266</v>
      </c>
      <c r="F227" s="40">
        <v>5.2089999999999996</v>
      </c>
      <c r="G227" s="41">
        <v>0.70954117872912303</v>
      </c>
      <c r="H227" s="41">
        <v>0.68772957061496098</v>
      </c>
      <c r="I227" s="41">
        <v>2.1811608114161499E-2</v>
      </c>
      <c r="J227" s="42" t="s">
        <v>532</v>
      </c>
    </row>
    <row r="228" spans="1:12" s="43" customFormat="1" ht="15" x14ac:dyDescent="0.25">
      <c r="A228" s="38" t="s">
        <v>611</v>
      </c>
      <c r="B228" s="39" t="s">
        <v>134</v>
      </c>
      <c r="C228" s="39" t="s">
        <v>715</v>
      </c>
      <c r="D228" s="40">
        <v>1.5129999999999999</v>
      </c>
      <c r="E228" s="40">
        <v>1.484</v>
      </c>
      <c r="F228" s="40">
        <v>5.2089999999999996</v>
      </c>
      <c r="G228" s="41">
        <v>0.70954117872912303</v>
      </c>
      <c r="H228" s="41">
        <v>0.71511806488769403</v>
      </c>
      <c r="I228" s="41">
        <v>-5.5768861585716598E-3</v>
      </c>
      <c r="J228" s="42" t="s">
        <v>532</v>
      </c>
    </row>
    <row r="229" spans="1:12" x14ac:dyDescent="0.25">
      <c r="A229" s="44">
        <v>2018</v>
      </c>
      <c r="B229" s="44" t="s">
        <v>134</v>
      </c>
      <c r="C229" s="44" t="s">
        <v>1913</v>
      </c>
      <c r="D229" s="45">
        <v>1.5129999999999999</v>
      </c>
      <c r="E229" s="45">
        <v>1.4953509042954032</v>
      </c>
      <c r="F229" s="45">
        <v>5.2089999999999996</v>
      </c>
      <c r="G229" s="46">
        <v>0.70954117872912281</v>
      </c>
      <c r="H229" s="46">
        <v>0.71293515213775316</v>
      </c>
      <c r="I229" s="46">
        <v>-3.3939734086305033E-3</v>
      </c>
      <c r="J229" s="47" t="s">
        <v>533</v>
      </c>
      <c r="K229" s="48"/>
      <c r="L229" s="48"/>
    </row>
    <row r="230" spans="1:12" s="43" customFormat="1" ht="15" x14ac:dyDescent="0.25">
      <c r="A230" s="38" t="s">
        <v>680</v>
      </c>
      <c r="B230" s="39" t="s">
        <v>135</v>
      </c>
      <c r="C230" s="39" t="s">
        <v>955</v>
      </c>
      <c r="D230" s="40">
        <v>1.3674999999999999</v>
      </c>
      <c r="E230" s="40">
        <v>1.5624</v>
      </c>
      <c r="F230" s="40">
        <v>5.2089999999999996</v>
      </c>
      <c r="G230" s="41">
        <v>0.73747360337876799</v>
      </c>
      <c r="H230" s="41">
        <v>0.70006079221859596</v>
      </c>
      <c r="I230" s="41">
        <v>3.7412811160171498E-2</v>
      </c>
      <c r="J230" s="42" t="s">
        <v>532</v>
      </c>
    </row>
    <row r="231" spans="1:12" s="43" customFormat="1" ht="15" x14ac:dyDescent="0.25">
      <c r="A231" s="38" t="s">
        <v>605</v>
      </c>
      <c r="B231" s="39" t="s">
        <v>135</v>
      </c>
      <c r="C231" s="39" t="s">
        <v>974</v>
      </c>
      <c r="D231" s="40">
        <v>1.3674999999999999</v>
      </c>
      <c r="E231" s="40">
        <v>1.5235000000000001</v>
      </c>
      <c r="F231" s="40">
        <v>5.2089999999999996</v>
      </c>
      <c r="G231" s="41">
        <v>0.73747360337876799</v>
      </c>
      <c r="H231" s="41">
        <v>0.70751583797273898</v>
      </c>
      <c r="I231" s="41">
        <v>2.9957765406028101E-2</v>
      </c>
      <c r="J231" s="42" t="s">
        <v>532</v>
      </c>
    </row>
    <row r="232" spans="1:12" s="43" customFormat="1" ht="15" x14ac:dyDescent="0.25">
      <c r="A232" s="38" t="s">
        <v>607</v>
      </c>
      <c r="B232" s="39" t="s">
        <v>135</v>
      </c>
      <c r="C232" s="39" t="s">
        <v>1036</v>
      </c>
      <c r="D232" s="40">
        <v>1.3674999999999999</v>
      </c>
      <c r="E232" s="40">
        <v>1.3113999999999999</v>
      </c>
      <c r="F232" s="40">
        <v>5.2089999999999996</v>
      </c>
      <c r="G232" s="41">
        <v>0.73747360337876799</v>
      </c>
      <c r="H232" s="41">
        <v>0.74824662443207302</v>
      </c>
      <c r="I232" s="41">
        <v>-1.0773021053305101E-2</v>
      </c>
      <c r="J232" s="42" t="s">
        <v>532</v>
      </c>
    </row>
    <row r="233" spans="1:12" s="43" customFormat="1" ht="15" x14ac:dyDescent="0.25">
      <c r="A233" s="38" t="s">
        <v>611</v>
      </c>
      <c r="B233" s="39" t="s">
        <v>135</v>
      </c>
      <c r="C233" s="39" t="s">
        <v>1042</v>
      </c>
      <c r="D233" s="40">
        <v>1.3674999999999999</v>
      </c>
      <c r="E233" s="40">
        <v>1.3337000000000001</v>
      </c>
      <c r="F233" s="40">
        <v>5.2089999999999996</v>
      </c>
      <c r="G233" s="41">
        <v>0.73747360337876799</v>
      </c>
      <c r="H233" s="41">
        <v>0.74395917322582705</v>
      </c>
      <c r="I233" s="41">
        <v>-6.4855698470594999E-3</v>
      </c>
      <c r="J233" s="42" t="s">
        <v>532</v>
      </c>
    </row>
    <row r="234" spans="1:12" x14ac:dyDescent="0.25">
      <c r="A234" s="44">
        <v>2018</v>
      </c>
      <c r="B234" s="44" t="s">
        <v>135</v>
      </c>
      <c r="C234" s="44" t="s">
        <v>1910</v>
      </c>
      <c r="D234" s="45">
        <v>1.3674999999999999</v>
      </c>
      <c r="E234" s="45">
        <v>1.4595150798722045</v>
      </c>
      <c r="F234" s="45">
        <v>5.2089999999999996</v>
      </c>
      <c r="G234" s="46">
        <v>0.73747360337876733</v>
      </c>
      <c r="H234" s="46">
        <v>0.71980770359157598</v>
      </c>
      <c r="I234" s="46">
        <v>1.7665899787191491E-2</v>
      </c>
      <c r="J234" s="47" t="s">
        <v>533</v>
      </c>
      <c r="K234" s="48"/>
      <c r="L234" s="48"/>
    </row>
    <row r="235" spans="1:12" s="43" customFormat="1" ht="15" x14ac:dyDescent="0.25">
      <c r="A235" s="38" t="s">
        <v>678</v>
      </c>
      <c r="B235" s="39" t="s">
        <v>139</v>
      </c>
      <c r="C235" s="39" t="s">
        <v>933</v>
      </c>
      <c r="D235" s="40">
        <v>4.5095000000000001</v>
      </c>
      <c r="E235" s="40">
        <v>3.7488999999999999</v>
      </c>
      <c r="F235" s="40">
        <v>8.2110000000000003</v>
      </c>
      <c r="G235" s="41">
        <v>0.45079466569236398</v>
      </c>
      <c r="H235" s="41">
        <v>0.54342954573133595</v>
      </c>
      <c r="I235" s="41">
        <v>-9.2634880038972106E-2</v>
      </c>
      <c r="J235" s="39" t="s">
        <v>532</v>
      </c>
    </row>
    <row r="236" spans="1:12" s="43" customFormat="1" ht="15" x14ac:dyDescent="0.25">
      <c r="A236" s="38" t="s">
        <v>608</v>
      </c>
      <c r="B236" s="39" t="s">
        <v>139</v>
      </c>
      <c r="C236" s="39" t="s">
        <v>943</v>
      </c>
      <c r="D236" s="40">
        <v>4.5095000000000001</v>
      </c>
      <c r="E236" s="40">
        <v>3.8271999999999999</v>
      </c>
      <c r="F236" s="40">
        <v>8.2110000000000003</v>
      </c>
      <c r="G236" s="41">
        <v>0.45079466569236398</v>
      </c>
      <c r="H236" s="41">
        <v>0.53389051272682997</v>
      </c>
      <c r="I236" s="41">
        <v>-8.3095847034465903E-2</v>
      </c>
      <c r="J236" s="42" t="s">
        <v>532</v>
      </c>
    </row>
    <row r="237" spans="1:12" s="43" customFormat="1" ht="15" x14ac:dyDescent="0.25">
      <c r="A237" s="38" t="s">
        <v>679</v>
      </c>
      <c r="B237" s="39" t="s">
        <v>139</v>
      </c>
      <c r="C237" s="39" t="s">
        <v>949</v>
      </c>
      <c r="D237" s="40">
        <v>4.5095000000000001</v>
      </c>
      <c r="E237" s="40">
        <v>3.5743999999999998</v>
      </c>
      <c r="F237" s="40">
        <v>8.2110000000000003</v>
      </c>
      <c r="G237" s="41">
        <v>0.45079466569236398</v>
      </c>
      <c r="H237" s="41">
        <v>0.56467848008768695</v>
      </c>
      <c r="I237" s="41">
        <v>-0.113883814395323</v>
      </c>
      <c r="J237" s="42" t="s">
        <v>532</v>
      </c>
    </row>
    <row r="238" spans="1:12" s="43" customFormat="1" ht="15" x14ac:dyDescent="0.25">
      <c r="A238" s="38" t="s">
        <v>693</v>
      </c>
      <c r="B238" s="39" t="s">
        <v>139</v>
      </c>
      <c r="C238" s="39" t="s">
        <v>1148</v>
      </c>
      <c r="D238" s="40">
        <v>4.5095000000000001</v>
      </c>
      <c r="E238" s="40">
        <v>4.1115000000000004</v>
      </c>
      <c r="F238" s="40">
        <v>8.2110000000000003</v>
      </c>
      <c r="G238" s="41">
        <v>0.45079466569236398</v>
      </c>
      <c r="H238" s="41">
        <v>0.49926927292656198</v>
      </c>
      <c r="I238" s="41">
        <v>-4.8474607234197997E-2</v>
      </c>
      <c r="J238" s="42" t="s">
        <v>532</v>
      </c>
    </row>
    <row r="239" spans="1:12" s="43" customFormat="1" ht="15" x14ac:dyDescent="0.25">
      <c r="A239" s="38" t="s">
        <v>695</v>
      </c>
      <c r="B239" s="39" t="s">
        <v>139</v>
      </c>
      <c r="C239" s="39" t="s">
        <v>1181</v>
      </c>
      <c r="D239" s="40">
        <v>3.8767</v>
      </c>
      <c r="E239" s="40">
        <v>3.8199000000000001</v>
      </c>
      <c r="F239" s="40">
        <v>8.2110000000000003</v>
      </c>
      <c r="G239" s="41">
        <v>0.52786201437096603</v>
      </c>
      <c r="H239" s="41">
        <v>0.53478260869565197</v>
      </c>
      <c r="I239" s="41">
        <v>-6.9205943246863902E-3</v>
      </c>
      <c r="J239" s="42" t="s">
        <v>532</v>
      </c>
    </row>
    <row r="240" spans="1:12" s="43" customFormat="1" ht="15" x14ac:dyDescent="0.25">
      <c r="A240" s="38" t="s">
        <v>616</v>
      </c>
      <c r="B240" s="39" t="s">
        <v>139</v>
      </c>
      <c r="C240" s="39" t="s">
        <v>1198</v>
      </c>
      <c r="D240" s="40">
        <v>3.8767</v>
      </c>
      <c r="E240" s="40">
        <v>3.8340999999999998</v>
      </c>
      <c r="F240" s="40">
        <v>8.2110000000000003</v>
      </c>
      <c r="G240" s="41">
        <v>0.52786201437096603</v>
      </c>
      <c r="H240" s="41">
        <v>0.53305017659237597</v>
      </c>
      <c r="I240" s="41">
        <v>-5.1881622214103897E-3</v>
      </c>
      <c r="J240" s="42" t="s">
        <v>532</v>
      </c>
    </row>
    <row r="241" spans="1:12" s="43" customFormat="1" ht="15" x14ac:dyDescent="0.25">
      <c r="A241" s="38" t="s">
        <v>626</v>
      </c>
      <c r="B241" s="39" t="s">
        <v>139</v>
      </c>
      <c r="C241" s="39" t="s">
        <v>1183</v>
      </c>
      <c r="D241" s="40">
        <v>3.8767</v>
      </c>
      <c r="E241" s="40">
        <v>3.9735</v>
      </c>
      <c r="F241" s="40">
        <v>8.2110000000000003</v>
      </c>
      <c r="G241" s="41">
        <v>0.52786201437096603</v>
      </c>
      <c r="H241" s="41">
        <v>0.51607295091949801</v>
      </c>
      <c r="I241" s="41">
        <v>1.1789063451467499E-2</v>
      </c>
      <c r="J241" s="42" t="s">
        <v>532</v>
      </c>
    </row>
    <row r="242" spans="1:12" s="43" customFormat="1" ht="15" x14ac:dyDescent="0.25">
      <c r="A242" s="38" t="s">
        <v>573</v>
      </c>
      <c r="B242" s="39" t="s">
        <v>139</v>
      </c>
      <c r="C242" s="39" t="s">
        <v>1336</v>
      </c>
      <c r="D242" s="40">
        <v>3.8767</v>
      </c>
      <c r="E242" s="40">
        <v>3.9434</v>
      </c>
      <c r="F242" s="40">
        <v>8.2110000000000003</v>
      </c>
      <c r="G242" s="41">
        <v>0.52786201437096603</v>
      </c>
      <c r="H242" s="41">
        <v>0.51974789915966402</v>
      </c>
      <c r="I242" s="41">
        <v>8.1141152113018995E-3</v>
      </c>
      <c r="J242" s="42" t="s">
        <v>532</v>
      </c>
    </row>
    <row r="243" spans="1:12" s="43" customFormat="1" ht="15" x14ac:dyDescent="0.25">
      <c r="A243" s="38" t="s">
        <v>710</v>
      </c>
      <c r="B243" s="39" t="s">
        <v>139</v>
      </c>
      <c r="C243" s="39" t="s">
        <v>1341</v>
      </c>
      <c r="D243" s="40">
        <v>3.8767</v>
      </c>
      <c r="E243" s="40">
        <v>3.8243</v>
      </c>
      <c r="F243" s="40">
        <v>8.2110000000000003</v>
      </c>
      <c r="G243" s="41">
        <v>0.52786201437096603</v>
      </c>
      <c r="H243" s="41">
        <v>0.53425283156740999</v>
      </c>
      <c r="I243" s="41">
        <v>-6.3908171964438499E-3</v>
      </c>
      <c r="J243" s="42" t="s">
        <v>532</v>
      </c>
    </row>
    <row r="244" spans="1:12" s="43" customFormat="1" ht="15" x14ac:dyDescent="0.25">
      <c r="A244" s="38" t="s">
        <v>536</v>
      </c>
      <c r="B244" s="39" t="s">
        <v>139</v>
      </c>
      <c r="C244" s="39" t="s">
        <v>1388</v>
      </c>
      <c r="D244" s="40">
        <v>3.8767</v>
      </c>
      <c r="E244" s="40">
        <v>4.0327000000000002</v>
      </c>
      <c r="F244" s="40">
        <v>8.4809999999999999</v>
      </c>
      <c r="G244" s="41">
        <v>0.54289293715363796</v>
      </c>
      <c r="H244" s="41">
        <v>0.52450477538026197</v>
      </c>
      <c r="I244" s="41">
        <v>1.8388161773375801E-2</v>
      </c>
      <c r="J244" s="42" t="s">
        <v>532</v>
      </c>
    </row>
    <row r="245" spans="1:12" s="43" customFormat="1" ht="15" x14ac:dyDescent="0.25">
      <c r="A245" s="38" t="s">
        <v>551</v>
      </c>
      <c r="B245" s="39" t="s">
        <v>139</v>
      </c>
      <c r="C245" s="39" t="s">
        <v>1396</v>
      </c>
      <c r="D245" s="40">
        <v>3.8767</v>
      </c>
      <c r="E245" s="40">
        <v>3.4765999999999999</v>
      </c>
      <c r="F245" s="40">
        <v>8.4809999999999999</v>
      </c>
      <c r="G245" s="41">
        <v>0.54289293715363796</v>
      </c>
      <c r="H245" s="41">
        <v>0.59007487324607999</v>
      </c>
      <c r="I245" s="41">
        <v>-4.7181936092441902E-2</v>
      </c>
      <c r="J245" s="42" t="s">
        <v>532</v>
      </c>
    </row>
    <row r="246" spans="1:12" s="43" customFormat="1" ht="15" x14ac:dyDescent="0.25">
      <c r="A246" s="38" t="s">
        <v>633</v>
      </c>
      <c r="B246" s="39" t="s">
        <v>139</v>
      </c>
      <c r="C246" s="39" t="s">
        <v>1401</v>
      </c>
      <c r="D246" s="40">
        <v>3.8767</v>
      </c>
      <c r="E246" s="40">
        <v>3.7271999999999998</v>
      </c>
      <c r="F246" s="40">
        <v>8.4809999999999999</v>
      </c>
      <c r="G246" s="41">
        <v>0.54289293715363796</v>
      </c>
      <c r="H246" s="41">
        <v>0.56052647093503105</v>
      </c>
      <c r="I246" s="41">
        <v>-1.76335337813938E-2</v>
      </c>
      <c r="J246" s="42" t="s">
        <v>532</v>
      </c>
    </row>
    <row r="247" spans="1:12" s="43" customFormat="1" ht="15" x14ac:dyDescent="0.25">
      <c r="A247" s="38" t="s">
        <v>610</v>
      </c>
      <c r="B247" s="39" t="s">
        <v>139</v>
      </c>
      <c r="C247" s="39" t="s">
        <v>1541</v>
      </c>
      <c r="D247" s="40">
        <v>3.8767</v>
      </c>
      <c r="E247" s="40">
        <v>3.8144</v>
      </c>
      <c r="F247" s="40">
        <v>8.4809999999999999</v>
      </c>
      <c r="G247" s="41">
        <v>0.54289293715363796</v>
      </c>
      <c r="H247" s="41">
        <v>0.55024171677868206</v>
      </c>
      <c r="I247" s="41">
        <v>-7.3487796250442097E-3</v>
      </c>
      <c r="J247" s="42" t="s">
        <v>532</v>
      </c>
    </row>
    <row r="248" spans="1:12" s="43" customFormat="1" ht="15" x14ac:dyDescent="0.25">
      <c r="A248" s="38" t="s">
        <v>597</v>
      </c>
      <c r="B248" s="39" t="s">
        <v>139</v>
      </c>
      <c r="C248" s="39" t="s">
        <v>1545</v>
      </c>
      <c r="D248" s="40">
        <v>3.8767</v>
      </c>
      <c r="E248" s="40">
        <v>3.8144</v>
      </c>
      <c r="F248" s="40">
        <v>8.4809999999999999</v>
      </c>
      <c r="G248" s="41">
        <v>0.54289293715363796</v>
      </c>
      <c r="H248" s="41">
        <v>0.55024171677868206</v>
      </c>
      <c r="I248" s="41">
        <v>-7.3487796250442097E-3</v>
      </c>
      <c r="J248" s="42" t="s">
        <v>532</v>
      </c>
    </row>
    <row r="249" spans="1:12" x14ac:dyDescent="0.25">
      <c r="A249" s="44">
        <v>2018</v>
      </c>
      <c r="B249" s="44" t="s">
        <v>139</v>
      </c>
      <c r="C249" s="44" t="s">
        <v>1898</v>
      </c>
      <c r="D249" s="45">
        <v>4.0401572941308999</v>
      </c>
      <c r="E249" s="45">
        <v>3.7814913653261235</v>
      </c>
      <c r="F249" s="45">
        <v>8.3133943899966223</v>
      </c>
      <c r="G249" s="46">
        <v>0.51365520700674705</v>
      </c>
      <c r="H249" s="46">
        <v>0.54494521919102068</v>
      </c>
      <c r="I249" s="46">
        <v>-3.1290012184273776E-2</v>
      </c>
      <c r="J249" s="47" t="s">
        <v>533</v>
      </c>
      <c r="K249" s="48"/>
      <c r="L249" s="48"/>
    </row>
    <row r="250" spans="1:12" s="43" customFormat="1" ht="15" x14ac:dyDescent="0.25">
      <c r="A250" s="38" t="s">
        <v>682</v>
      </c>
      <c r="B250" s="39" t="s">
        <v>140</v>
      </c>
      <c r="C250" s="39" t="s">
        <v>968</v>
      </c>
      <c r="D250" s="40">
        <v>3.4054000000000002</v>
      </c>
      <c r="E250" s="40">
        <v>3.6278999999999999</v>
      </c>
      <c r="F250" s="40">
        <v>9.14</v>
      </c>
      <c r="G250" s="41">
        <v>0.62741794310722099</v>
      </c>
      <c r="H250" s="41">
        <v>0.60307439824945297</v>
      </c>
      <c r="I250" s="41">
        <v>2.4343544857768001E-2</v>
      </c>
      <c r="J250" s="42" t="s">
        <v>532</v>
      </c>
    </row>
    <row r="251" spans="1:12" s="43" customFormat="1" ht="15" x14ac:dyDescent="0.25">
      <c r="A251" s="38" t="s">
        <v>630</v>
      </c>
      <c r="B251" s="39" t="s">
        <v>140</v>
      </c>
      <c r="C251" s="39" t="s">
        <v>1258</v>
      </c>
      <c r="D251" s="40">
        <v>3.5828000000000002</v>
      </c>
      <c r="E251" s="40">
        <v>3.8740999999999999</v>
      </c>
      <c r="F251" s="40">
        <v>9.14</v>
      </c>
      <c r="G251" s="41">
        <v>0.60800875273523003</v>
      </c>
      <c r="H251" s="41">
        <v>0.57613785557986896</v>
      </c>
      <c r="I251" s="41">
        <v>3.1870897155360997E-2</v>
      </c>
      <c r="J251" s="42" t="s">
        <v>532</v>
      </c>
    </row>
    <row r="252" spans="1:12" s="43" customFormat="1" ht="15" x14ac:dyDescent="0.25">
      <c r="A252" s="38" t="s">
        <v>582</v>
      </c>
      <c r="B252" s="39" t="s">
        <v>140</v>
      </c>
      <c r="C252" s="39" t="s">
        <v>1361</v>
      </c>
      <c r="D252" s="40">
        <v>3.5828000000000002</v>
      </c>
      <c r="E252" s="40">
        <v>3.5303</v>
      </c>
      <c r="F252" s="40">
        <v>9.3260000000000005</v>
      </c>
      <c r="G252" s="41">
        <v>0.61582672099506797</v>
      </c>
      <c r="H252" s="41">
        <v>0.62145346343555696</v>
      </c>
      <c r="I252" s="41">
        <v>-5.6267424404891101E-3</v>
      </c>
      <c r="J252" s="42" t="s">
        <v>532</v>
      </c>
    </row>
    <row r="253" spans="1:12" x14ac:dyDescent="0.25">
      <c r="A253" s="44">
        <v>2018</v>
      </c>
      <c r="B253" s="44" t="s">
        <v>140</v>
      </c>
      <c r="C253" s="44" t="s">
        <v>1914</v>
      </c>
      <c r="D253" s="45">
        <v>3.5302827851140455</v>
      </c>
      <c r="E253" s="45">
        <v>3.685899951980792</v>
      </c>
      <c r="F253" s="45">
        <v>9.2023870348139258</v>
      </c>
      <c r="G253" s="46">
        <v>0.61637687599757274</v>
      </c>
      <c r="H253" s="46">
        <v>0.59931160378779036</v>
      </c>
      <c r="I253" s="46">
        <v>1.7065272209782413E-2</v>
      </c>
      <c r="J253" s="47" t="s">
        <v>533</v>
      </c>
      <c r="K253" s="48"/>
      <c r="L253" s="48"/>
    </row>
    <row r="254" spans="1:12" s="43" customFormat="1" ht="15" x14ac:dyDescent="0.25">
      <c r="A254" s="38" t="s">
        <v>546</v>
      </c>
      <c r="B254" s="39" t="s">
        <v>141</v>
      </c>
      <c r="C254" s="39" t="s">
        <v>739</v>
      </c>
      <c r="D254" s="40">
        <v>3.3874</v>
      </c>
      <c r="E254" s="40">
        <v>3.6690999999999998</v>
      </c>
      <c r="F254" s="40">
        <v>9.1389999999999993</v>
      </c>
      <c r="G254" s="41">
        <v>0.62934675566254505</v>
      </c>
      <c r="H254" s="41">
        <v>0.59852281431228804</v>
      </c>
      <c r="I254" s="41">
        <v>3.0823941350257199E-2</v>
      </c>
      <c r="J254" s="42" t="s">
        <v>532</v>
      </c>
    </row>
    <row r="255" spans="1:12" x14ac:dyDescent="0.25">
      <c r="A255" s="44">
        <v>2018</v>
      </c>
      <c r="B255" s="44" t="s">
        <v>141</v>
      </c>
      <c r="C255" s="44" t="s">
        <v>739</v>
      </c>
      <c r="D255" s="45">
        <v>3.3874000000000004</v>
      </c>
      <c r="E255" s="45">
        <v>3.6690999999999998</v>
      </c>
      <c r="F255" s="45">
        <v>9.1389999999999993</v>
      </c>
      <c r="G255" s="46">
        <v>0.62934675566254517</v>
      </c>
      <c r="H255" s="46">
        <v>0.59852281431228793</v>
      </c>
      <c r="I255" s="46">
        <v>3.0823941350257233E-2</v>
      </c>
      <c r="J255" s="47" t="s">
        <v>533</v>
      </c>
      <c r="K255" s="48"/>
      <c r="L255" s="48"/>
    </row>
    <row r="256" spans="1:12" s="43" customFormat="1" ht="15" x14ac:dyDescent="0.25">
      <c r="A256" s="38" t="s">
        <v>591</v>
      </c>
      <c r="B256" s="39" t="s">
        <v>144</v>
      </c>
      <c r="C256" s="39" t="s">
        <v>893</v>
      </c>
      <c r="D256" s="40">
        <v>0.46150000000000002</v>
      </c>
      <c r="E256" s="40">
        <v>0.5958</v>
      </c>
      <c r="F256" s="40">
        <v>1.8779999999999999</v>
      </c>
      <c r="G256" s="41">
        <v>0.75425985090521797</v>
      </c>
      <c r="H256" s="41">
        <v>0.68272985445509404</v>
      </c>
      <c r="I256" s="41">
        <v>7.15299964501242E-2</v>
      </c>
      <c r="J256" s="42" t="s">
        <v>532</v>
      </c>
    </row>
    <row r="257" spans="1:12" s="43" customFormat="1" ht="15" x14ac:dyDescent="0.25">
      <c r="A257" s="38" t="s">
        <v>592</v>
      </c>
      <c r="B257" s="39" t="s">
        <v>144</v>
      </c>
      <c r="C257" s="39" t="s">
        <v>1007</v>
      </c>
      <c r="D257" s="40">
        <v>0.46150000000000002</v>
      </c>
      <c r="E257" s="40">
        <v>0.50090000000000001</v>
      </c>
      <c r="F257" s="40">
        <v>1.8779999999999999</v>
      </c>
      <c r="G257" s="41">
        <v>0.75425985090521797</v>
      </c>
      <c r="H257" s="41">
        <v>0.73329783457579001</v>
      </c>
      <c r="I257" s="41">
        <v>2.0962016329428498E-2</v>
      </c>
      <c r="J257" s="42" t="s">
        <v>532</v>
      </c>
    </row>
    <row r="258" spans="1:12" s="43" customFormat="1" ht="15" x14ac:dyDescent="0.25">
      <c r="A258" s="38" t="s">
        <v>596</v>
      </c>
      <c r="B258" s="39" t="s">
        <v>144</v>
      </c>
      <c r="C258" s="39" t="s">
        <v>1016</v>
      </c>
      <c r="D258" s="40">
        <v>0.46150000000000002</v>
      </c>
      <c r="E258" s="40">
        <v>0.53720000000000001</v>
      </c>
      <c r="F258" s="40">
        <v>1.8779999999999999</v>
      </c>
      <c r="G258" s="41">
        <v>0.75425985090521797</v>
      </c>
      <c r="H258" s="41">
        <v>0.71397763578274798</v>
      </c>
      <c r="I258" s="41">
        <v>4.0282215122470801E-2</v>
      </c>
      <c r="J258" s="42" t="s">
        <v>532</v>
      </c>
    </row>
    <row r="259" spans="1:12" s="43" customFormat="1" ht="15" x14ac:dyDescent="0.25">
      <c r="A259" s="38" t="s">
        <v>598</v>
      </c>
      <c r="B259" s="39" t="s">
        <v>144</v>
      </c>
      <c r="C259" s="39" t="s">
        <v>1047</v>
      </c>
      <c r="D259" s="40">
        <v>0.46150000000000002</v>
      </c>
      <c r="E259" s="40">
        <v>0.56850000000000001</v>
      </c>
      <c r="F259" s="40">
        <v>1.8779999999999999</v>
      </c>
      <c r="G259" s="41">
        <v>0.75425985090521797</v>
      </c>
      <c r="H259" s="41">
        <v>0.69728878239261605</v>
      </c>
      <c r="I259" s="41">
        <v>5.6971068512602099E-2</v>
      </c>
      <c r="J259" s="42" t="s">
        <v>532</v>
      </c>
    </row>
    <row r="260" spans="1:12" x14ac:dyDescent="0.25">
      <c r="A260" s="44">
        <v>2018</v>
      </c>
      <c r="B260" s="44" t="s">
        <v>144</v>
      </c>
      <c r="C260" s="44" t="s">
        <v>1879</v>
      </c>
      <c r="D260" s="45">
        <v>0.46150000000000002</v>
      </c>
      <c r="E260" s="45">
        <v>0.56275224867724871</v>
      </c>
      <c r="F260" s="45">
        <v>1.8779999999999999</v>
      </c>
      <c r="G260" s="46">
        <v>0.7542598509052183</v>
      </c>
      <c r="H260" s="46">
        <v>0.70034581647611904</v>
      </c>
      <c r="I260" s="46">
        <v>5.391403442909927E-2</v>
      </c>
      <c r="J260" s="47" t="s">
        <v>533</v>
      </c>
      <c r="K260" s="48"/>
      <c r="L260" s="48"/>
    </row>
    <row r="261" spans="1:12" s="43" customFormat="1" ht="15" x14ac:dyDescent="0.25">
      <c r="A261" s="38" t="s">
        <v>595</v>
      </c>
      <c r="B261" s="39" t="s">
        <v>145</v>
      </c>
      <c r="C261" s="39" t="s">
        <v>997</v>
      </c>
      <c r="D261" s="40">
        <v>0.19570000000000001</v>
      </c>
      <c r="E261" s="40">
        <v>0.21859999999999999</v>
      </c>
      <c r="F261" s="40">
        <v>0.84699999999999998</v>
      </c>
      <c r="G261" s="41">
        <v>0.768949232585596</v>
      </c>
      <c r="H261" s="41">
        <v>0.74186507936507895</v>
      </c>
      <c r="I261" s="41">
        <v>2.70841532205169E-2</v>
      </c>
      <c r="J261" s="42" t="s">
        <v>532</v>
      </c>
    </row>
    <row r="262" spans="1:12" s="43" customFormat="1" ht="15" x14ac:dyDescent="0.25">
      <c r="A262" s="38" t="s">
        <v>592</v>
      </c>
      <c r="B262" s="39" t="s">
        <v>145</v>
      </c>
      <c r="C262" s="39" t="s">
        <v>1008</v>
      </c>
      <c r="D262" s="40">
        <v>0.19570000000000001</v>
      </c>
      <c r="E262" s="40">
        <v>0.216</v>
      </c>
      <c r="F262" s="40">
        <v>0.84699999999999998</v>
      </c>
      <c r="G262" s="41">
        <v>0.768949232585596</v>
      </c>
      <c r="H262" s="41">
        <v>0.74495441427259601</v>
      </c>
      <c r="I262" s="41">
        <v>2.3994818313000099E-2</v>
      </c>
      <c r="J262" s="42" t="s">
        <v>532</v>
      </c>
    </row>
    <row r="263" spans="1:12" s="43" customFormat="1" ht="15" x14ac:dyDescent="0.25">
      <c r="A263" s="38" t="s">
        <v>598</v>
      </c>
      <c r="B263" s="39" t="s">
        <v>145</v>
      </c>
      <c r="C263" s="39" t="s">
        <v>1048</v>
      </c>
      <c r="D263" s="40">
        <v>0.19570000000000001</v>
      </c>
      <c r="E263" s="40">
        <v>0.25459999999999999</v>
      </c>
      <c r="F263" s="40">
        <v>0.84699999999999998</v>
      </c>
      <c r="G263" s="41">
        <v>0.768949232585596</v>
      </c>
      <c r="H263" s="41">
        <v>0.69938508461235704</v>
      </c>
      <c r="I263" s="41">
        <v>6.9564147973238802E-2</v>
      </c>
      <c r="J263" s="42" t="s">
        <v>532</v>
      </c>
    </row>
    <row r="264" spans="1:12" x14ac:dyDescent="0.25">
      <c r="A264" s="44">
        <v>2018</v>
      </c>
      <c r="B264" s="44" t="s">
        <v>145</v>
      </c>
      <c r="C264" s="44" t="s">
        <v>1923</v>
      </c>
      <c r="D264" s="45">
        <v>0.19570000000000001</v>
      </c>
      <c r="E264" s="45">
        <v>0.2182796238244514</v>
      </c>
      <c r="F264" s="45">
        <v>0.84699999999999998</v>
      </c>
      <c r="G264" s="46">
        <v>0.768949232585596</v>
      </c>
      <c r="H264" s="46">
        <v>0.74224760428450942</v>
      </c>
      <c r="I264" s="46">
        <v>2.670162830108689E-2</v>
      </c>
      <c r="J264" s="47" t="s">
        <v>533</v>
      </c>
      <c r="K264" s="48"/>
      <c r="L264" s="48"/>
    </row>
    <row r="265" spans="1:12" s="43" customFormat="1" ht="15" x14ac:dyDescent="0.25">
      <c r="A265" s="38" t="s">
        <v>608</v>
      </c>
      <c r="B265" s="39" t="s">
        <v>146</v>
      </c>
      <c r="C265" s="39" t="s">
        <v>944</v>
      </c>
      <c r="D265" s="40">
        <v>0.52470000000000006</v>
      </c>
      <c r="E265" s="40">
        <v>0.62180000000000002</v>
      </c>
      <c r="F265" s="40">
        <v>1.8779999999999999</v>
      </c>
      <c r="G265" s="41">
        <v>0.72060702875399396</v>
      </c>
      <c r="H265" s="41">
        <v>0.66888533901313396</v>
      </c>
      <c r="I265" s="41">
        <v>5.1721689740859098E-2</v>
      </c>
      <c r="J265" s="42" t="s">
        <v>532</v>
      </c>
    </row>
    <row r="266" spans="1:12" s="43" customFormat="1" ht="15" x14ac:dyDescent="0.25">
      <c r="A266" s="38" t="s">
        <v>596</v>
      </c>
      <c r="B266" s="39" t="s">
        <v>146</v>
      </c>
      <c r="C266" s="39" t="s">
        <v>1017</v>
      </c>
      <c r="D266" s="40">
        <v>0.52470000000000006</v>
      </c>
      <c r="E266" s="40">
        <v>0.62719999999999998</v>
      </c>
      <c r="F266" s="40">
        <v>1.8779999999999999</v>
      </c>
      <c r="G266" s="41">
        <v>0.72060702875399396</v>
      </c>
      <c r="H266" s="41">
        <v>0.66600550230741895</v>
      </c>
      <c r="I266" s="41">
        <v>5.4601526446574497E-2</v>
      </c>
      <c r="J266" s="42" t="s">
        <v>532</v>
      </c>
    </row>
    <row r="267" spans="1:12" s="43" customFormat="1" ht="15" x14ac:dyDescent="0.25">
      <c r="A267" s="38" t="s">
        <v>598</v>
      </c>
      <c r="B267" s="39" t="s">
        <v>146</v>
      </c>
      <c r="C267" s="39" t="s">
        <v>1049</v>
      </c>
      <c r="D267" s="40">
        <v>0.52470000000000006</v>
      </c>
      <c r="E267" s="40">
        <v>0.58020000000000005</v>
      </c>
      <c r="F267" s="40">
        <v>1.8779999999999999</v>
      </c>
      <c r="G267" s="41">
        <v>0.72060702875399396</v>
      </c>
      <c r="H267" s="41">
        <v>0.69106762513312003</v>
      </c>
      <c r="I267" s="41">
        <v>2.9539403620873299E-2</v>
      </c>
      <c r="J267" s="42" t="s">
        <v>532</v>
      </c>
    </row>
    <row r="268" spans="1:12" s="43" customFormat="1" ht="15" x14ac:dyDescent="0.25">
      <c r="A268" s="38" t="s">
        <v>600</v>
      </c>
      <c r="B268" s="39" t="s">
        <v>146</v>
      </c>
      <c r="C268" s="39" t="s">
        <v>874</v>
      </c>
      <c r="D268" s="40">
        <v>0.52470000000000006</v>
      </c>
      <c r="E268" s="40">
        <v>0.59819999999999995</v>
      </c>
      <c r="F268" s="40">
        <v>1.8779999999999999</v>
      </c>
      <c r="G268" s="41">
        <v>0.72060702875399396</v>
      </c>
      <c r="H268" s="41">
        <v>0.68149627263045798</v>
      </c>
      <c r="I268" s="41">
        <v>3.9110756123535803E-2</v>
      </c>
      <c r="J268" s="42" t="s">
        <v>532</v>
      </c>
    </row>
    <row r="269" spans="1:12" x14ac:dyDescent="0.25">
      <c r="A269" s="44">
        <v>2018</v>
      </c>
      <c r="B269" s="44" t="s">
        <v>146</v>
      </c>
      <c r="C269" s="44" t="s">
        <v>1903</v>
      </c>
      <c r="D269" s="45">
        <v>0.52470000000000006</v>
      </c>
      <c r="E269" s="45">
        <v>0.60440326831839752</v>
      </c>
      <c r="F269" s="45">
        <v>1.8779999999999999</v>
      </c>
      <c r="G269" s="46">
        <v>0.72060702875399363</v>
      </c>
      <c r="H269" s="46">
        <v>0.67816497762193506</v>
      </c>
      <c r="I269" s="46">
        <v>4.2442051132058595E-2</v>
      </c>
      <c r="J269" s="47" t="s">
        <v>533</v>
      </c>
      <c r="K269" s="48"/>
      <c r="L269" s="48"/>
    </row>
    <row r="270" spans="1:12" s="43" customFormat="1" ht="15" x14ac:dyDescent="0.25">
      <c r="A270" s="38" t="s">
        <v>608</v>
      </c>
      <c r="B270" s="39" t="s">
        <v>147</v>
      </c>
      <c r="C270" s="39" t="s">
        <v>945</v>
      </c>
      <c r="D270" s="40">
        <v>0.21840000000000001</v>
      </c>
      <c r="E270" s="40">
        <v>0.2366</v>
      </c>
      <c r="F270" s="40">
        <v>0.84699999999999998</v>
      </c>
      <c r="G270" s="41">
        <v>0.74214876033057797</v>
      </c>
      <c r="H270" s="41">
        <v>0.72068411386593201</v>
      </c>
      <c r="I270" s="41">
        <v>2.1464646464646402E-2</v>
      </c>
      <c r="J270" s="42" t="s">
        <v>532</v>
      </c>
    </row>
    <row r="271" spans="1:12" s="43" customFormat="1" ht="15" x14ac:dyDescent="0.25">
      <c r="A271" s="38" t="s">
        <v>596</v>
      </c>
      <c r="B271" s="39" t="s">
        <v>147</v>
      </c>
      <c r="C271" s="39" t="s">
        <v>984</v>
      </c>
      <c r="D271" s="40">
        <v>0.21840000000000001</v>
      </c>
      <c r="E271" s="40">
        <v>0.23630000000000001</v>
      </c>
      <c r="F271" s="40">
        <v>0.84699999999999998</v>
      </c>
      <c r="G271" s="41">
        <v>0.74214876033057797</v>
      </c>
      <c r="H271" s="41">
        <v>0.72099239144693705</v>
      </c>
      <c r="I271" s="41">
        <v>2.1156368883641499E-2</v>
      </c>
      <c r="J271" s="42" t="s">
        <v>532</v>
      </c>
    </row>
    <row r="272" spans="1:12" s="43" customFormat="1" ht="15" x14ac:dyDescent="0.25">
      <c r="A272" s="38" t="s">
        <v>600</v>
      </c>
      <c r="B272" s="39" t="s">
        <v>147</v>
      </c>
      <c r="C272" s="39" t="s">
        <v>1061</v>
      </c>
      <c r="D272" s="40">
        <v>0.21840000000000001</v>
      </c>
      <c r="E272" s="40">
        <v>0.26279999999999998</v>
      </c>
      <c r="F272" s="40">
        <v>0.84699999999999998</v>
      </c>
      <c r="G272" s="41">
        <v>0.74214876033057797</v>
      </c>
      <c r="H272" s="41">
        <v>0.68968417945690697</v>
      </c>
      <c r="I272" s="41">
        <v>5.2464580873671798E-2</v>
      </c>
      <c r="J272" s="42" t="s">
        <v>532</v>
      </c>
    </row>
    <row r="273" spans="1:12" x14ac:dyDescent="0.25">
      <c r="A273" s="44">
        <v>2018</v>
      </c>
      <c r="B273" s="44" t="s">
        <v>147</v>
      </c>
      <c r="C273" s="44" t="s">
        <v>1904</v>
      </c>
      <c r="D273" s="45">
        <v>0.21839999999999998</v>
      </c>
      <c r="E273" s="45">
        <v>0.24568374655647385</v>
      </c>
      <c r="F273" s="45">
        <v>0.84699999999999998</v>
      </c>
      <c r="G273" s="46">
        <v>0.74214876033057853</v>
      </c>
      <c r="H273" s="46">
        <v>0.70992333173963529</v>
      </c>
      <c r="I273" s="46">
        <v>3.2225428590943184E-2</v>
      </c>
      <c r="J273" s="47" t="s">
        <v>533</v>
      </c>
      <c r="K273" s="48"/>
      <c r="L273" s="48"/>
    </row>
    <row r="274" spans="1:12" s="43" customFormat="1" ht="15" x14ac:dyDescent="0.25">
      <c r="A274" s="38" t="s">
        <v>676</v>
      </c>
      <c r="B274" s="39" t="s">
        <v>148</v>
      </c>
      <c r="C274" s="39" t="s">
        <v>921</v>
      </c>
      <c r="D274" s="40">
        <v>0.55889999999999995</v>
      </c>
      <c r="E274" s="40">
        <v>0.60609999999999997</v>
      </c>
      <c r="F274" s="40">
        <v>1.8779999999999999</v>
      </c>
      <c r="G274" s="41">
        <v>0.70239616613418498</v>
      </c>
      <c r="H274" s="41">
        <v>0.67726304579339702</v>
      </c>
      <c r="I274" s="41">
        <v>2.5133120340788101E-2</v>
      </c>
      <c r="J274" s="42" t="s">
        <v>532</v>
      </c>
    </row>
    <row r="275" spans="1:12" s="43" customFormat="1" ht="15" x14ac:dyDescent="0.25">
      <c r="A275" s="38" t="s">
        <v>600</v>
      </c>
      <c r="B275" s="39" t="s">
        <v>148</v>
      </c>
      <c r="C275" s="39" t="s">
        <v>1062</v>
      </c>
      <c r="D275" s="40">
        <v>0.55889999999999995</v>
      </c>
      <c r="E275" s="40">
        <v>0.64670000000000005</v>
      </c>
      <c r="F275" s="40">
        <v>1.8779999999999999</v>
      </c>
      <c r="G275" s="41">
        <v>0.70239616613418498</v>
      </c>
      <c r="H275" s="41">
        <v>0.65567092651757197</v>
      </c>
      <c r="I275" s="41">
        <v>4.6725239616613498E-2</v>
      </c>
      <c r="J275" s="42" t="s">
        <v>532</v>
      </c>
    </row>
    <row r="276" spans="1:12" x14ac:dyDescent="0.25">
      <c r="A276" s="44">
        <v>2018</v>
      </c>
      <c r="B276" s="44" t="s">
        <v>148</v>
      </c>
      <c r="C276" s="44" t="s">
        <v>1890</v>
      </c>
      <c r="D276" s="45">
        <v>0.55889999999999995</v>
      </c>
      <c r="E276" s="45">
        <v>0.6197032008260196</v>
      </c>
      <c r="F276" s="45">
        <v>1.8780000000000001</v>
      </c>
      <c r="G276" s="46">
        <v>0.70239616613418532</v>
      </c>
      <c r="H276" s="46">
        <v>0.67002851538038199</v>
      </c>
      <c r="I276" s="46">
        <v>3.2367650753803393E-2</v>
      </c>
      <c r="J276" s="47" t="s">
        <v>533</v>
      </c>
      <c r="K276" s="48"/>
      <c r="L276" s="48"/>
    </row>
    <row r="277" spans="1:12" s="43" customFormat="1" ht="15" x14ac:dyDescent="0.25">
      <c r="A277" s="38" t="s">
        <v>602</v>
      </c>
      <c r="B277" s="39" t="s">
        <v>149</v>
      </c>
      <c r="C277" s="39" t="s">
        <v>909</v>
      </c>
      <c r="D277" s="40">
        <v>0.23419999999999999</v>
      </c>
      <c r="E277" s="40">
        <v>0.26540000000000002</v>
      </c>
      <c r="F277" s="40">
        <v>0.84699999999999998</v>
      </c>
      <c r="G277" s="41">
        <v>0.72349468713105103</v>
      </c>
      <c r="H277" s="41">
        <v>0.68664403778040095</v>
      </c>
      <c r="I277" s="41">
        <v>3.6850649350649398E-2</v>
      </c>
      <c r="J277" s="42" t="s">
        <v>532</v>
      </c>
    </row>
    <row r="278" spans="1:12" s="43" customFormat="1" ht="15" x14ac:dyDescent="0.25">
      <c r="A278" s="38" t="s">
        <v>676</v>
      </c>
      <c r="B278" s="39" t="s">
        <v>149</v>
      </c>
      <c r="C278" s="39" t="s">
        <v>922</v>
      </c>
      <c r="D278" s="40">
        <v>0.23419999999999999</v>
      </c>
      <c r="E278" s="40">
        <v>0.26369999999999999</v>
      </c>
      <c r="F278" s="40">
        <v>0.84699999999999998</v>
      </c>
      <c r="G278" s="41">
        <v>0.72349468713105103</v>
      </c>
      <c r="H278" s="41">
        <v>0.68861504656959205</v>
      </c>
      <c r="I278" s="41">
        <v>3.48796405614588E-2</v>
      </c>
      <c r="J278" s="42" t="s">
        <v>532</v>
      </c>
    </row>
    <row r="279" spans="1:12" s="43" customFormat="1" ht="15" x14ac:dyDescent="0.25">
      <c r="A279" s="38" t="s">
        <v>596</v>
      </c>
      <c r="B279" s="39" t="s">
        <v>149</v>
      </c>
      <c r="C279" s="39" t="s">
        <v>1018</v>
      </c>
      <c r="D279" s="40">
        <v>0.23419999999999999</v>
      </c>
      <c r="E279" s="40">
        <v>0.2515</v>
      </c>
      <c r="F279" s="40">
        <v>0.84699999999999998</v>
      </c>
      <c r="G279" s="41">
        <v>0.72349468713105103</v>
      </c>
      <c r="H279" s="41">
        <v>0.70310573265118703</v>
      </c>
      <c r="I279" s="41">
        <v>2.0388954479863601E-2</v>
      </c>
      <c r="J279" s="42" t="s">
        <v>532</v>
      </c>
    </row>
    <row r="280" spans="1:12" s="43" customFormat="1" ht="15" x14ac:dyDescent="0.25">
      <c r="A280" s="38" t="s">
        <v>600</v>
      </c>
      <c r="B280" s="39" t="s">
        <v>149</v>
      </c>
      <c r="C280" s="39" t="s">
        <v>1063</v>
      </c>
      <c r="D280" s="40">
        <v>0.23419999999999999</v>
      </c>
      <c r="E280" s="40">
        <v>0.2636</v>
      </c>
      <c r="F280" s="40">
        <v>0.84699999999999998</v>
      </c>
      <c r="G280" s="41">
        <v>0.72349468713105103</v>
      </c>
      <c r="H280" s="41">
        <v>0.68878558310376503</v>
      </c>
      <c r="I280" s="41">
        <v>3.4709104027285803E-2</v>
      </c>
      <c r="J280" s="42" t="s">
        <v>532</v>
      </c>
    </row>
    <row r="281" spans="1:12" x14ac:dyDescent="0.25">
      <c r="A281" s="44">
        <v>2018</v>
      </c>
      <c r="B281" s="44" t="s">
        <v>149</v>
      </c>
      <c r="C281" s="44" t="s">
        <v>1884</v>
      </c>
      <c r="D281" s="45">
        <v>0.23419999999999996</v>
      </c>
      <c r="E281" s="45">
        <v>0.25884865269461077</v>
      </c>
      <c r="F281" s="45">
        <v>0.84700000000000009</v>
      </c>
      <c r="G281" s="46">
        <v>0.72349468713105092</v>
      </c>
      <c r="H281" s="46">
        <v>0.69438875839427017</v>
      </c>
      <c r="I281" s="46">
        <v>2.9105928736780664E-2</v>
      </c>
      <c r="J281" s="47" t="s">
        <v>533</v>
      </c>
      <c r="K281" s="48"/>
      <c r="L281" s="48"/>
    </row>
    <row r="282" spans="1:12" s="43" customFormat="1" ht="15" x14ac:dyDescent="0.25">
      <c r="A282" s="38" t="s">
        <v>602</v>
      </c>
      <c r="B282" s="39" t="s">
        <v>151</v>
      </c>
      <c r="C282" s="39" t="s">
        <v>910</v>
      </c>
      <c r="D282" s="40">
        <v>2.2559999999999998</v>
      </c>
      <c r="E282" s="40">
        <v>3.1295000000000002</v>
      </c>
      <c r="F282" s="40">
        <v>6.4210000000000003</v>
      </c>
      <c r="G282" s="41">
        <v>0.64865285781031001</v>
      </c>
      <c r="H282" s="41">
        <v>0.51261485749883196</v>
      </c>
      <c r="I282" s="41">
        <v>0.136038000311478</v>
      </c>
      <c r="J282" s="42" t="s">
        <v>532</v>
      </c>
    </row>
    <row r="283" spans="1:12" s="43" customFormat="1" ht="15" x14ac:dyDescent="0.25">
      <c r="A283" s="38" t="s">
        <v>675</v>
      </c>
      <c r="B283" s="39" t="s">
        <v>151</v>
      </c>
      <c r="C283" s="39" t="s">
        <v>916</v>
      </c>
      <c r="D283" s="40">
        <v>2.2559999999999998</v>
      </c>
      <c r="E283" s="40">
        <v>2.8757000000000001</v>
      </c>
      <c r="F283" s="40">
        <v>6.4210000000000003</v>
      </c>
      <c r="G283" s="41">
        <v>0.64865285781031001</v>
      </c>
      <c r="H283" s="41">
        <v>0.552141410995172</v>
      </c>
      <c r="I283" s="41">
        <v>9.6511446815137902E-2</v>
      </c>
      <c r="J283" s="42" t="s">
        <v>532</v>
      </c>
    </row>
    <row r="284" spans="1:12" s="43" customFormat="1" ht="15" x14ac:dyDescent="0.25">
      <c r="A284" s="38" t="s">
        <v>632</v>
      </c>
      <c r="B284" s="39" t="s">
        <v>151</v>
      </c>
      <c r="C284" s="39" t="s">
        <v>1269</v>
      </c>
      <c r="D284" s="40">
        <v>2.4891000000000001</v>
      </c>
      <c r="E284" s="40">
        <v>2.9794999999999998</v>
      </c>
      <c r="F284" s="40">
        <v>6.4210000000000003</v>
      </c>
      <c r="G284" s="41">
        <v>0.61235010123033795</v>
      </c>
      <c r="H284" s="41">
        <v>0.535975704718891</v>
      </c>
      <c r="I284" s="41">
        <v>7.6374396511446799E-2</v>
      </c>
      <c r="J284" s="42" t="s">
        <v>532</v>
      </c>
    </row>
    <row r="285" spans="1:12" s="43" customFormat="1" ht="15" x14ac:dyDescent="0.25">
      <c r="A285" s="38" t="s">
        <v>570</v>
      </c>
      <c r="B285" s="39" t="s">
        <v>151</v>
      </c>
      <c r="C285" s="39" t="s">
        <v>966</v>
      </c>
      <c r="D285" s="40">
        <v>2.4891000000000001</v>
      </c>
      <c r="E285" s="40">
        <v>3.2153999999999998</v>
      </c>
      <c r="F285" s="40">
        <v>6.5369999999999999</v>
      </c>
      <c r="G285" s="41">
        <v>0.61922900413033499</v>
      </c>
      <c r="H285" s="41">
        <v>0.50812299219825596</v>
      </c>
      <c r="I285" s="41">
        <v>0.111106011932079</v>
      </c>
      <c r="J285" s="42" t="s">
        <v>532</v>
      </c>
    </row>
    <row r="286" spans="1:12" x14ac:dyDescent="0.25">
      <c r="A286" s="44">
        <v>2018</v>
      </c>
      <c r="B286" s="44" t="s">
        <v>151</v>
      </c>
      <c r="C286" s="44" t="s">
        <v>1837</v>
      </c>
      <c r="D286" s="45">
        <v>2.3906516053249804</v>
      </c>
      <c r="E286" s="45">
        <v>3.0168880187940488</v>
      </c>
      <c r="F286" s="45">
        <v>6.431264682850431</v>
      </c>
      <c r="G286" s="46">
        <v>0.62829105874260482</v>
      </c>
      <c r="H286" s="46">
        <v>0.53093925287220922</v>
      </c>
      <c r="I286" s="46">
        <v>9.7351805870395505E-2</v>
      </c>
      <c r="J286" s="47" t="s">
        <v>533</v>
      </c>
      <c r="K286" s="48"/>
      <c r="L286" s="48"/>
    </row>
    <row r="287" spans="1:12" s="43" customFormat="1" ht="15" x14ac:dyDescent="0.25">
      <c r="A287" s="38" t="s">
        <v>675</v>
      </c>
      <c r="B287" s="39" t="s">
        <v>158</v>
      </c>
      <c r="C287" s="39" t="s">
        <v>917</v>
      </c>
      <c r="D287" s="40">
        <v>0.65820000000000001</v>
      </c>
      <c r="E287" s="40">
        <v>0.9113</v>
      </c>
      <c r="F287" s="40">
        <v>1.9259999999999999</v>
      </c>
      <c r="G287" s="41">
        <v>0.65825545171339594</v>
      </c>
      <c r="H287" s="41">
        <v>0.52681723779854595</v>
      </c>
      <c r="I287" s="41">
        <v>0.131438213914849</v>
      </c>
      <c r="J287" s="42" t="s">
        <v>532</v>
      </c>
    </row>
    <row r="288" spans="1:12" s="43" customFormat="1" ht="15" x14ac:dyDescent="0.25">
      <c r="A288" s="38" t="s">
        <v>681</v>
      </c>
      <c r="B288" s="39" t="s">
        <v>158</v>
      </c>
      <c r="C288" s="39" t="s">
        <v>837</v>
      </c>
      <c r="D288" s="40">
        <v>0.65820000000000001</v>
      </c>
      <c r="E288" s="40">
        <v>0.93520000000000003</v>
      </c>
      <c r="F288" s="40">
        <v>1.9259999999999999</v>
      </c>
      <c r="G288" s="41">
        <v>0.65825545171339594</v>
      </c>
      <c r="H288" s="41">
        <v>0.51444704049844203</v>
      </c>
      <c r="I288" s="41">
        <v>0.143808411214953</v>
      </c>
      <c r="J288" s="42" t="s">
        <v>532</v>
      </c>
    </row>
    <row r="289" spans="1:12" s="43" customFormat="1" ht="15" x14ac:dyDescent="0.25">
      <c r="A289" s="38" t="s">
        <v>552</v>
      </c>
      <c r="B289" s="39" t="s">
        <v>159</v>
      </c>
      <c r="C289" s="39" t="s">
        <v>754</v>
      </c>
      <c r="D289" s="40">
        <v>0.6976</v>
      </c>
      <c r="E289" s="40">
        <v>0.68140000000000001</v>
      </c>
      <c r="F289" s="40">
        <v>2.1339999999999999</v>
      </c>
      <c r="G289" s="41">
        <v>0.67312558575445203</v>
      </c>
      <c r="H289" s="41">
        <v>0.68069353327085302</v>
      </c>
      <c r="I289" s="41">
        <v>-7.5679475164011096E-3</v>
      </c>
      <c r="J289" s="42" t="s">
        <v>532</v>
      </c>
    </row>
    <row r="290" spans="1:12" s="43" customFormat="1" ht="15" x14ac:dyDescent="0.25">
      <c r="A290" s="38" t="s">
        <v>553</v>
      </c>
      <c r="B290" s="39" t="s">
        <v>159</v>
      </c>
      <c r="C290" s="39" t="s">
        <v>1284</v>
      </c>
      <c r="D290" s="40">
        <v>0.70879999999999999</v>
      </c>
      <c r="E290" s="40">
        <v>0.70220000000000005</v>
      </c>
      <c r="F290" s="40">
        <v>2.1339999999999999</v>
      </c>
      <c r="G290" s="41">
        <v>0.66783427054045597</v>
      </c>
      <c r="H290" s="41">
        <v>0.67092705404561104</v>
      </c>
      <c r="I290" s="41">
        <v>-3.0927835051546299E-3</v>
      </c>
      <c r="J290" s="42" t="s">
        <v>532</v>
      </c>
    </row>
    <row r="291" spans="1:12" s="43" customFormat="1" ht="15" x14ac:dyDescent="0.25">
      <c r="A291" s="38" t="s">
        <v>551</v>
      </c>
      <c r="B291" s="39" t="s">
        <v>159</v>
      </c>
      <c r="C291" s="39" t="s">
        <v>1398</v>
      </c>
      <c r="D291" s="40">
        <v>0.70879999999999999</v>
      </c>
      <c r="E291" s="40">
        <v>0.73250000000000004</v>
      </c>
      <c r="F291" s="40">
        <v>2.1680000000000001</v>
      </c>
      <c r="G291" s="41">
        <v>0.673043511685117</v>
      </c>
      <c r="H291" s="41">
        <v>0.66215021525215301</v>
      </c>
      <c r="I291" s="41">
        <v>1.0893296432964199E-2</v>
      </c>
      <c r="J291" s="42" t="s">
        <v>532</v>
      </c>
    </row>
    <row r="292" spans="1:12" x14ac:dyDescent="0.25">
      <c r="A292" s="44">
        <v>2018</v>
      </c>
      <c r="B292" s="44" t="s">
        <v>159</v>
      </c>
      <c r="C292" s="44" t="s">
        <v>1830</v>
      </c>
      <c r="D292" s="45">
        <v>0.70481397379912669</v>
      </c>
      <c r="E292" s="45">
        <v>0.70393534388646306</v>
      </c>
      <c r="F292" s="45">
        <v>2.1442538209606985</v>
      </c>
      <c r="G292" s="46">
        <v>0.6712884426212149</v>
      </c>
      <c r="H292" s="46">
        <v>0.67175595198309557</v>
      </c>
      <c r="I292" s="46">
        <v>-4.6750936188063403E-4</v>
      </c>
      <c r="J292" s="47" t="s">
        <v>533</v>
      </c>
      <c r="K292" s="48"/>
      <c r="L292" s="48"/>
    </row>
    <row r="293" spans="1:12" s="43" customFormat="1" ht="15" x14ac:dyDescent="0.25">
      <c r="A293" s="38" t="s">
        <v>683</v>
      </c>
      <c r="B293" s="39" t="s">
        <v>160</v>
      </c>
      <c r="C293" s="39" t="s">
        <v>1059</v>
      </c>
      <c r="D293" s="40">
        <v>2.0943000000000001</v>
      </c>
      <c r="E293" s="40">
        <v>2.1412</v>
      </c>
      <c r="F293" s="40">
        <v>6.5179999999999998</v>
      </c>
      <c r="G293" s="41">
        <v>0.67868978214176101</v>
      </c>
      <c r="H293" s="41">
        <v>0.67149943745525198</v>
      </c>
      <c r="I293" s="41">
        <v>7.1903446865091399E-3</v>
      </c>
      <c r="J293" s="42" t="s">
        <v>532</v>
      </c>
    </row>
    <row r="294" spans="1:12" s="43" customFormat="1" ht="15" x14ac:dyDescent="0.25">
      <c r="A294" s="38" t="s">
        <v>579</v>
      </c>
      <c r="B294" s="39" t="s">
        <v>160</v>
      </c>
      <c r="C294" s="39" t="s">
        <v>1473</v>
      </c>
      <c r="D294" s="40">
        <v>2.0857000000000001</v>
      </c>
      <c r="E294" s="40">
        <v>2.1760000000000002</v>
      </c>
      <c r="F294" s="40">
        <v>6.673</v>
      </c>
      <c r="G294" s="41">
        <v>0.687436934911834</v>
      </c>
      <c r="H294" s="41">
        <v>0.67391228333083597</v>
      </c>
      <c r="I294" s="41">
        <v>1.3524651580997899E-2</v>
      </c>
      <c r="J294" s="42" t="s">
        <v>532</v>
      </c>
    </row>
    <row r="295" spans="1:12" x14ac:dyDescent="0.25">
      <c r="A295" s="44">
        <v>2018</v>
      </c>
      <c r="B295" s="44" t="s">
        <v>160</v>
      </c>
      <c r="C295" s="44" t="s">
        <v>1928</v>
      </c>
      <c r="D295" s="45">
        <v>2.0902089514066495</v>
      </c>
      <c r="E295" s="45">
        <v>2.1577544757033249</v>
      </c>
      <c r="F295" s="45">
        <v>6.5917340153452688</v>
      </c>
      <c r="G295" s="46">
        <v>0.68285083179708983</v>
      </c>
      <c r="H295" s="46">
        <v>0.67264723626051703</v>
      </c>
      <c r="I295" s="46">
        <v>1.0203595536572855E-2</v>
      </c>
      <c r="J295" s="47" t="s">
        <v>533</v>
      </c>
      <c r="K295" s="48"/>
      <c r="L295" s="48"/>
    </row>
    <row r="296" spans="1:12" s="43" customFormat="1" ht="15" x14ac:dyDescent="0.25">
      <c r="A296" s="38" t="s">
        <v>674</v>
      </c>
      <c r="B296" s="39" t="s">
        <v>161</v>
      </c>
      <c r="C296" s="39" t="s">
        <v>857</v>
      </c>
      <c r="D296" s="40">
        <v>3.2098</v>
      </c>
      <c r="E296" s="40">
        <v>3.3580000000000001</v>
      </c>
      <c r="F296" s="40">
        <v>10.265000000000001</v>
      </c>
      <c r="G296" s="41">
        <v>0.68730313362558804</v>
      </c>
      <c r="H296" s="41">
        <v>0.67286572495535002</v>
      </c>
      <c r="I296" s="41">
        <v>1.44374086702386E-2</v>
      </c>
      <c r="J296" s="42" t="s">
        <v>532</v>
      </c>
    </row>
    <row r="297" spans="1:12" s="43" customFormat="1" ht="15" x14ac:dyDescent="0.25">
      <c r="A297" s="38" t="s">
        <v>684</v>
      </c>
      <c r="B297" s="39" t="s">
        <v>161</v>
      </c>
      <c r="C297" s="39" t="s">
        <v>1067</v>
      </c>
      <c r="D297" s="40">
        <v>3.2098</v>
      </c>
      <c r="E297" s="40">
        <v>3.4590000000000001</v>
      </c>
      <c r="F297" s="40">
        <v>10.265000000000001</v>
      </c>
      <c r="G297" s="41">
        <v>0.68730313362558804</v>
      </c>
      <c r="H297" s="41">
        <v>0.66303133625588595</v>
      </c>
      <c r="I297" s="41">
        <v>2.4271797369702901E-2</v>
      </c>
      <c r="J297" s="42" t="s">
        <v>532</v>
      </c>
    </row>
    <row r="298" spans="1:12" s="43" customFormat="1" ht="15" x14ac:dyDescent="0.25">
      <c r="A298" s="38" t="s">
        <v>579</v>
      </c>
      <c r="B298" s="39" t="s">
        <v>161</v>
      </c>
      <c r="C298" s="39" t="s">
        <v>1028</v>
      </c>
      <c r="D298" s="40">
        <v>3.1959</v>
      </c>
      <c r="E298" s="40">
        <v>3.1042999999999998</v>
      </c>
      <c r="F298" s="40">
        <v>10.452</v>
      </c>
      <c r="G298" s="41">
        <v>0.69423395841306301</v>
      </c>
      <c r="H298" s="41">
        <v>0.70299464217374696</v>
      </c>
      <c r="I298" s="41">
        <v>-8.7606837606838406E-3</v>
      </c>
      <c r="J298" s="42" t="s">
        <v>532</v>
      </c>
    </row>
    <row r="299" spans="1:12" x14ac:dyDescent="0.25">
      <c r="A299" s="44">
        <v>2018</v>
      </c>
      <c r="B299" s="44" t="s">
        <v>161</v>
      </c>
      <c r="C299" s="44" t="s">
        <v>1868</v>
      </c>
      <c r="D299" s="45">
        <v>3.2075077985377742</v>
      </c>
      <c r="E299" s="45">
        <v>3.3467667749796917</v>
      </c>
      <c r="F299" s="45">
        <v>10.295837530463038</v>
      </c>
      <c r="G299" s="46">
        <v>0.68844607223798271</v>
      </c>
      <c r="H299" s="46">
        <v>0.67485430595489038</v>
      </c>
      <c r="I299" s="46">
        <v>1.3591766283092294E-2</v>
      </c>
      <c r="J299" s="47" t="s">
        <v>533</v>
      </c>
      <c r="K299" s="48"/>
      <c r="L299" s="48"/>
    </row>
    <row r="300" spans="1:12" s="43" customFormat="1" ht="15" x14ac:dyDescent="0.25">
      <c r="A300" s="38" t="s">
        <v>674</v>
      </c>
      <c r="B300" s="39" t="s">
        <v>162</v>
      </c>
      <c r="C300" s="39" t="s">
        <v>784</v>
      </c>
      <c r="D300" s="40">
        <v>0.65580000000000005</v>
      </c>
      <c r="E300" s="40">
        <v>0.62960000000000005</v>
      </c>
      <c r="F300" s="40">
        <v>2.2469999999999999</v>
      </c>
      <c r="G300" s="41">
        <v>0.70815902685061605</v>
      </c>
      <c r="H300" s="41">
        <v>0.71978193146417402</v>
      </c>
      <c r="I300" s="41">
        <v>-1.1622904613559E-2</v>
      </c>
      <c r="J300" s="42" t="s">
        <v>532</v>
      </c>
    </row>
    <row r="301" spans="1:12" s="43" customFormat="1" ht="15" x14ac:dyDescent="0.25">
      <c r="A301" s="38" t="s">
        <v>684</v>
      </c>
      <c r="B301" s="39" t="s">
        <v>162</v>
      </c>
      <c r="C301" s="39" t="s">
        <v>1068</v>
      </c>
      <c r="D301" s="40">
        <v>0.65580000000000005</v>
      </c>
      <c r="E301" s="40">
        <v>0.62139999999999995</v>
      </c>
      <c r="F301" s="40">
        <v>2.2469999999999999</v>
      </c>
      <c r="G301" s="41">
        <v>0.70815902685061605</v>
      </c>
      <c r="H301" s="41">
        <v>0.72345720219552001</v>
      </c>
      <c r="I301" s="41">
        <v>-1.52981753449043E-2</v>
      </c>
      <c r="J301" s="42" t="s">
        <v>532</v>
      </c>
    </row>
    <row r="302" spans="1:12" s="43" customFormat="1" ht="15" x14ac:dyDescent="0.25">
      <c r="A302" s="38" t="s">
        <v>556</v>
      </c>
      <c r="B302" s="39" t="s">
        <v>162</v>
      </c>
      <c r="C302" s="39" t="s">
        <v>1377</v>
      </c>
      <c r="D302" s="40">
        <v>0.65339999999999998</v>
      </c>
      <c r="E302" s="40">
        <v>0.81310000000000004</v>
      </c>
      <c r="F302" s="40">
        <v>2.2949999999999999</v>
      </c>
      <c r="G302" s="41">
        <v>0.71530137981118402</v>
      </c>
      <c r="H302" s="41">
        <v>0.64570079883805398</v>
      </c>
      <c r="I302" s="41">
        <v>6.9600580973130002E-2</v>
      </c>
      <c r="J302" s="42" t="s">
        <v>532</v>
      </c>
    </row>
    <row r="303" spans="1:12" s="43" customFormat="1" ht="15" x14ac:dyDescent="0.25">
      <c r="A303" s="38" t="s">
        <v>579</v>
      </c>
      <c r="B303" s="39" t="s">
        <v>162</v>
      </c>
      <c r="C303" s="39" t="s">
        <v>1474</v>
      </c>
      <c r="D303" s="40">
        <v>0.65339999999999998</v>
      </c>
      <c r="E303" s="40">
        <v>0.59319999999999995</v>
      </c>
      <c r="F303" s="40">
        <v>2.2949999999999999</v>
      </c>
      <c r="G303" s="41">
        <v>0.71530137981118402</v>
      </c>
      <c r="H303" s="41">
        <v>0.74153594771241804</v>
      </c>
      <c r="I303" s="41">
        <v>-2.6234567901234501E-2</v>
      </c>
      <c r="J303" s="42" t="s">
        <v>532</v>
      </c>
    </row>
    <row r="304" spans="1:12" x14ac:dyDescent="0.25">
      <c r="A304" s="44">
        <v>2018</v>
      </c>
      <c r="B304" s="44" t="s">
        <v>162</v>
      </c>
      <c r="C304" s="44" t="s">
        <v>1869</v>
      </c>
      <c r="D304" s="45">
        <v>0.6548613621038436</v>
      </c>
      <c r="E304" s="45">
        <v>0.69328961564396496</v>
      </c>
      <c r="F304" s="45">
        <v>2.2657727579231284</v>
      </c>
      <c r="G304" s="46">
        <v>0.71095239483249673</v>
      </c>
      <c r="H304" s="46">
        <v>0.69434635731849559</v>
      </c>
      <c r="I304" s="46">
        <v>1.6606037514001051E-2</v>
      </c>
      <c r="J304" s="47" t="s">
        <v>533</v>
      </c>
      <c r="K304" s="48"/>
      <c r="L304" s="48"/>
    </row>
    <row r="305" spans="1:12" s="43" customFormat="1" ht="15" x14ac:dyDescent="0.25">
      <c r="A305" s="38" t="s">
        <v>605</v>
      </c>
      <c r="B305" s="39" t="s">
        <v>163</v>
      </c>
      <c r="C305" s="39" t="s">
        <v>976</v>
      </c>
      <c r="D305" s="40">
        <v>1.8652</v>
      </c>
      <c r="E305" s="40">
        <v>2.1836000000000002</v>
      </c>
      <c r="F305" s="40">
        <v>6.665</v>
      </c>
      <c r="G305" s="41">
        <v>0.72015253813453395</v>
      </c>
      <c r="H305" s="41">
        <v>0.67237809452363095</v>
      </c>
      <c r="I305" s="41">
        <v>4.7774443610902599E-2</v>
      </c>
      <c r="J305" s="42" t="s">
        <v>532</v>
      </c>
    </row>
    <row r="306" spans="1:12" s="43" customFormat="1" ht="15" x14ac:dyDescent="0.25">
      <c r="A306" s="38" t="s">
        <v>598</v>
      </c>
      <c r="B306" s="39" t="s">
        <v>163</v>
      </c>
      <c r="C306" s="39" t="s">
        <v>1050</v>
      </c>
      <c r="D306" s="40">
        <v>1.8652</v>
      </c>
      <c r="E306" s="40">
        <v>2.0392000000000001</v>
      </c>
      <c r="F306" s="40">
        <v>6.665</v>
      </c>
      <c r="G306" s="41">
        <v>0.72015253813453395</v>
      </c>
      <c r="H306" s="41">
        <v>0.69404351087771998</v>
      </c>
      <c r="I306" s="41">
        <v>2.6109027256814198E-2</v>
      </c>
      <c r="J306" s="42" t="s">
        <v>532</v>
      </c>
    </row>
    <row r="307" spans="1:12" x14ac:dyDescent="0.25">
      <c r="A307" s="44">
        <v>2018</v>
      </c>
      <c r="B307" s="44" t="s">
        <v>163</v>
      </c>
      <c r="C307" s="44" t="s">
        <v>1917</v>
      </c>
      <c r="D307" s="45">
        <v>1.8651999999999997</v>
      </c>
      <c r="E307" s="45">
        <v>2.1225214906832299</v>
      </c>
      <c r="F307" s="45">
        <v>6.6649999999999991</v>
      </c>
      <c r="G307" s="46">
        <v>0.72015253813453362</v>
      </c>
      <c r="H307" s="46">
        <v>0.6815421619380001</v>
      </c>
      <c r="I307" s="46">
        <v>3.86103761965335E-2</v>
      </c>
      <c r="J307" s="47" t="s">
        <v>533</v>
      </c>
      <c r="K307" s="48"/>
      <c r="L307" s="48"/>
    </row>
    <row r="308" spans="1:12" s="43" customFormat="1" ht="15" x14ac:dyDescent="0.25">
      <c r="A308" s="38" t="s">
        <v>679</v>
      </c>
      <c r="B308" s="39" t="s">
        <v>164</v>
      </c>
      <c r="C308" s="39" t="s">
        <v>950</v>
      </c>
      <c r="D308" s="40">
        <v>0.62470000000000003</v>
      </c>
      <c r="E308" s="40">
        <v>0.76200000000000001</v>
      </c>
      <c r="F308" s="40">
        <v>2.2519999999999998</v>
      </c>
      <c r="G308" s="41">
        <v>0.72261693309650699</v>
      </c>
      <c r="H308" s="41">
        <v>0.66163040260509198</v>
      </c>
      <c r="I308" s="41">
        <v>6.0986530491415003E-2</v>
      </c>
      <c r="J308" s="42" t="s">
        <v>532</v>
      </c>
    </row>
    <row r="309" spans="1:12" s="43" customFormat="1" ht="15" x14ac:dyDescent="0.25">
      <c r="A309" s="38" t="s">
        <v>598</v>
      </c>
      <c r="B309" s="39" t="s">
        <v>164</v>
      </c>
      <c r="C309" s="39" t="s">
        <v>1051</v>
      </c>
      <c r="D309" s="40">
        <v>0.62470000000000003</v>
      </c>
      <c r="E309" s="40">
        <v>0.84630000000000005</v>
      </c>
      <c r="F309" s="40">
        <v>2.2519999999999998</v>
      </c>
      <c r="G309" s="41">
        <v>0.72261693309650699</v>
      </c>
      <c r="H309" s="41">
        <v>0.62421551213735904</v>
      </c>
      <c r="I309" s="41">
        <v>9.8401420959147404E-2</v>
      </c>
      <c r="J309" s="42" t="s">
        <v>532</v>
      </c>
    </row>
    <row r="310" spans="1:12" x14ac:dyDescent="0.25">
      <c r="A310" s="44">
        <v>2018</v>
      </c>
      <c r="B310" s="44" t="s">
        <v>164</v>
      </c>
      <c r="C310" s="44" t="s">
        <v>1905</v>
      </c>
      <c r="D310" s="45">
        <v>0.62470000000000003</v>
      </c>
      <c r="E310" s="45">
        <v>0.79010000000000002</v>
      </c>
      <c r="F310" s="45">
        <v>2.2519999999999998</v>
      </c>
      <c r="G310" s="46">
        <v>0.72261693309650687</v>
      </c>
      <c r="H310" s="46">
        <v>0.64915877244918097</v>
      </c>
      <c r="I310" s="46">
        <v>7.3458160647325799E-2</v>
      </c>
      <c r="J310" s="47" t="s">
        <v>533</v>
      </c>
      <c r="K310" s="48"/>
      <c r="L310" s="48"/>
    </row>
    <row r="311" spans="1:12" s="43" customFormat="1" ht="15" x14ac:dyDescent="0.25">
      <c r="A311" s="38" t="s">
        <v>612</v>
      </c>
      <c r="B311" s="39" t="s">
        <v>165</v>
      </c>
      <c r="C311" s="39" t="s">
        <v>987</v>
      </c>
      <c r="D311" s="40">
        <v>3.5914999999999999</v>
      </c>
      <c r="E311" s="40">
        <v>5.3581000000000003</v>
      </c>
      <c r="F311" s="40">
        <v>12.984</v>
      </c>
      <c r="G311" s="41">
        <v>0.72339032655576097</v>
      </c>
      <c r="H311" s="41">
        <v>0.58733056069008005</v>
      </c>
      <c r="I311" s="41">
        <v>0.136059765865681</v>
      </c>
      <c r="J311" s="42" t="s">
        <v>532</v>
      </c>
    </row>
    <row r="312" spans="1:12" s="43" customFormat="1" ht="15" x14ac:dyDescent="0.25">
      <c r="A312" s="38" t="s">
        <v>598</v>
      </c>
      <c r="B312" s="39" t="s">
        <v>165</v>
      </c>
      <c r="C312" s="39" t="s">
        <v>1052</v>
      </c>
      <c r="D312" s="40">
        <v>0.29930000000000001</v>
      </c>
      <c r="E312" s="40">
        <v>0.40839999999999999</v>
      </c>
      <c r="F312" s="40">
        <v>1.0820000000000001</v>
      </c>
      <c r="G312" s="41">
        <v>0.72339032655576097</v>
      </c>
      <c r="H312" s="41">
        <v>0.62252772643253196</v>
      </c>
      <c r="I312" s="41">
        <v>0.10086260012322899</v>
      </c>
      <c r="J312" s="42" t="s">
        <v>532</v>
      </c>
    </row>
    <row r="313" spans="1:12" s="43" customFormat="1" ht="15" x14ac:dyDescent="0.25">
      <c r="A313" s="38" t="s">
        <v>600</v>
      </c>
      <c r="B313" s="39" t="s">
        <v>165</v>
      </c>
      <c r="C313" s="39" t="s">
        <v>1064</v>
      </c>
      <c r="D313" s="40">
        <v>0.29930000000000001</v>
      </c>
      <c r="E313" s="40">
        <v>0.35649999999999998</v>
      </c>
      <c r="F313" s="40">
        <v>1.0820000000000001</v>
      </c>
      <c r="G313" s="41">
        <v>0.72339032655576097</v>
      </c>
      <c r="H313" s="41">
        <v>0.67047905113986395</v>
      </c>
      <c r="I313" s="41">
        <v>5.2911275415896498E-2</v>
      </c>
      <c r="J313" s="42" t="s">
        <v>532</v>
      </c>
    </row>
    <row r="314" spans="1:12" x14ac:dyDescent="0.25">
      <c r="A314" s="44">
        <v>2018</v>
      </c>
      <c r="B314" s="44" t="s">
        <v>165</v>
      </c>
      <c r="C314" s="44" t="s">
        <v>1921</v>
      </c>
      <c r="D314" s="45">
        <v>0.75368778860954344</v>
      </c>
      <c r="E314" s="45">
        <v>1.0651390969728067</v>
      </c>
      <c r="F314" s="45">
        <v>2.7247080554130321</v>
      </c>
      <c r="G314" s="46">
        <v>0.72339032655576085</v>
      </c>
      <c r="H314" s="46">
        <v>0.64207604686606423</v>
      </c>
      <c r="I314" s="46">
        <v>8.1314279689696595E-2</v>
      </c>
      <c r="J314" s="47" t="s">
        <v>533</v>
      </c>
      <c r="K314" s="48"/>
      <c r="L314" s="48"/>
    </row>
    <row r="315" spans="1:12" s="43" customFormat="1" ht="15" x14ac:dyDescent="0.25">
      <c r="A315" s="38" t="s">
        <v>579</v>
      </c>
      <c r="B315" s="39" t="s">
        <v>380</v>
      </c>
      <c r="C315" s="39" t="s">
        <v>1475</v>
      </c>
      <c r="D315" s="40">
        <v>1.9255</v>
      </c>
      <c r="E315" s="40">
        <v>2.0373000000000001</v>
      </c>
      <c r="F315" s="40">
        <v>7.0369999999999999</v>
      </c>
      <c r="G315" s="41">
        <v>0.72637724409075799</v>
      </c>
      <c r="H315" s="41">
        <v>0.71048268675098303</v>
      </c>
      <c r="I315" s="41">
        <v>1.58945573397756E-2</v>
      </c>
      <c r="J315" s="42" t="s">
        <v>532</v>
      </c>
    </row>
    <row r="316" spans="1:12" x14ac:dyDescent="0.25">
      <c r="A316" s="44">
        <v>2018</v>
      </c>
      <c r="B316" s="44" t="s">
        <v>380</v>
      </c>
      <c r="C316" s="44" t="s">
        <v>1475</v>
      </c>
      <c r="D316" s="45">
        <v>1.9254999999999998</v>
      </c>
      <c r="E316" s="45">
        <v>2.0373000000000001</v>
      </c>
      <c r="F316" s="45">
        <v>7.0369999999999999</v>
      </c>
      <c r="G316" s="46">
        <v>0.72637724409075843</v>
      </c>
      <c r="H316" s="46">
        <v>0.71048268675098281</v>
      </c>
      <c r="I316" s="46">
        <v>1.5894557339775628E-2</v>
      </c>
      <c r="J316" s="47" t="s">
        <v>533</v>
      </c>
      <c r="K316" s="48"/>
      <c r="L316" s="48"/>
    </row>
    <row r="317" spans="1:12" s="43" customFormat="1" ht="15" x14ac:dyDescent="0.25">
      <c r="A317" s="38" t="s">
        <v>579</v>
      </c>
      <c r="B317" s="39" t="s">
        <v>381</v>
      </c>
      <c r="C317" s="39" t="s">
        <v>1422</v>
      </c>
      <c r="D317" s="40">
        <v>0.89859999999999995</v>
      </c>
      <c r="E317" s="40">
        <v>0.88870000000000005</v>
      </c>
      <c r="F317" s="40">
        <v>2.5960000000000001</v>
      </c>
      <c r="G317" s="41">
        <v>0.65383923985618897</v>
      </c>
      <c r="H317" s="41">
        <v>0.65767526964560896</v>
      </c>
      <c r="I317" s="41">
        <v>-3.83602978941955E-3</v>
      </c>
      <c r="J317" s="42" t="s">
        <v>532</v>
      </c>
    </row>
    <row r="318" spans="1:12" x14ac:dyDescent="0.25">
      <c r="A318" s="44">
        <v>2018</v>
      </c>
      <c r="B318" s="44" t="s">
        <v>381</v>
      </c>
      <c r="C318" s="44" t="s">
        <v>1422</v>
      </c>
      <c r="D318" s="45">
        <v>0.89859999999999984</v>
      </c>
      <c r="E318" s="45">
        <v>0.88870000000000005</v>
      </c>
      <c r="F318" s="45">
        <v>2.5960000000000001</v>
      </c>
      <c r="G318" s="46">
        <v>0.65383923985618908</v>
      </c>
      <c r="H318" s="46">
        <v>0.65767526964560863</v>
      </c>
      <c r="I318" s="46">
        <v>-3.8360297894195479E-3</v>
      </c>
      <c r="J318" s="47" t="s">
        <v>533</v>
      </c>
      <c r="K318" s="48"/>
      <c r="L318" s="48"/>
    </row>
    <row r="319" spans="1:12" s="43" customFormat="1" ht="15" x14ac:dyDescent="0.25">
      <c r="A319" s="38" t="s">
        <v>552</v>
      </c>
      <c r="B319" s="39" t="s">
        <v>178</v>
      </c>
      <c r="C319" s="39" t="s">
        <v>755</v>
      </c>
      <c r="D319" s="40">
        <v>0.51880000000000004</v>
      </c>
      <c r="E319" s="40">
        <v>0.61280000000000001</v>
      </c>
      <c r="F319" s="40">
        <v>1.5720000000000001</v>
      </c>
      <c r="G319" s="41">
        <v>0.66996395250212104</v>
      </c>
      <c r="H319" s="41">
        <v>0.61017811704834601</v>
      </c>
      <c r="I319" s="41">
        <v>5.9785835453774597E-2</v>
      </c>
      <c r="J319" s="42" t="s">
        <v>532</v>
      </c>
    </row>
    <row r="320" spans="1:12" s="43" customFormat="1" ht="15" x14ac:dyDescent="0.25">
      <c r="A320" s="38" t="s">
        <v>682</v>
      </c>
      <c r="B320" s="39" t="s">
        <v>178</v>
      </c>
      <c r="C320" s="39" t="s">
        <v>969</v>
      </c>
      <c r="D320" s="40">
        <v>0.51880000000000004</v>
      </c>
      <c r="E320" s="40">
        <v>0.50419999999999998</v>
      </c>
      <c r="F320" s="40">
        <v>1.5720000000000001</v>
      </c>
      <c r="G320" s="41">
        <v>0.66996395250212104</v>
      </c>
      <c r="H320" s="41">
        <v>0.67923027989821905</v>
      </c>
      <c r="I320" s="41">
        <v>-9.2663273960983394E-3</v>
      </c>
      <c r="J320" s="42" t="s">
        <v>532</v>
      </c>
    </row>
    <row r="321" spans="1:12" s="43" customFormat="1" ht="15" x14ac:dyDescent="0.25">
      <c r="A321" s="38" t="s">
        <v>630</v>
      </c>
      <c r="B321" s="39" t="s">
        <v>178</v>
      </c>
      <c r="C321" s="39" t="s">
        <v>1259</v>
      </c>
      <c r="D321" s="40">
        <v>0.53259999999999996</v>
      </c>
      <c r="E321" s="40">
        <v>0.55500000000000005</v>
      </c>
      <c r="F321" s="40">
        <v>1.5720000000000001</v>
      </c>
      <c r="G321" s="41">
        <v>0.66116412213740505</v>
      </c>
      <c r="H321" s="41">
        <v>0.64691475826972</v>
      </c>
      <c r="I321" s="41">
        <v>1.4249363867684601E-2</v>
      </c>
      <c r="J321" s="42" t="s">
        <v>532</v>
      </c>
    </row>
    <row r="322" spans="1:12" s="43" customFormat="1" ht="15" x14ac:dyDescent="0.25">
      <c r="A322" s="38" t="s">
        <v>535</v>
      </c>
      <c r="B322" s="39" t="s">
        <v>178</v>
      </c>
      <c r="C322" s="39" t="s">
        <v>1488</v>
      </c>
      <c r="D322" s="40">
        <v>0.53259999999999996</v>
      </c>
      <c r="E322" s="40">
        <v>0.50449999999999995</v>
      </c>
      <c r="F322" s="40">
        <v>1.619</v>
      </c>
      <c r="G322" s="41">
        <v>0.67100061766522601</v>
      </c>
      <c r="H322" s="41">
        <v>0.68837759934115705</v>
      </c>
      <c r="I322" s="41">
        <v>-1.7376981675931599E-2</v>
      </c>
      <c r="J322" s="42" t="s">
        <v>532</v>
      </c>
    </row>
    <row r="323" spans="1:12" s="43" customFormat="1" ht="15" x14ac:dyDescent="0.25">
      <c r="A323" s="38" t="s">
        <v>639</v>
      </c>
      <c r="B323" s="39" t="s">
        <v>178</v>
      </c>
      <c r="C323" s="39" t="s">
        <v>1505</v>
      </c>
      <c r="D323" s="40">
        <v>3.1959</v>
      </c>
      <c r="E323" s="40">
        <v>0.50800000000000001</v>
      </c>
      <c r="F323" s="40">
        <v>1.619</v>
      </c>
      <c r="G323" s="41">
        <v>-0.97399629400864696</v>
      </c>
      <c r="H323" s="41">
        <v>0.68622606547251397</v>
      </c>
      <c r="I323" s="41">
        <v>-1.66022235948116</v>
      </c>
      <c r="J323" s="42" t="s">
        <v>532</v>
      </c>
    </row>
    <row r="324" spans="1:12" s="43" customFormat="1" ht="15" x14ac:dyDescent="0.25">
      <c r="A324" s="38" t="s">
        <v>555</v>
      </c>
      <c r="B324" s="39" t="s">
        <v>178</v>
      </c>
      <c r="C324" s="39" t="s">
        <v>1509</v>
      </c>
      <c r="D324" s="40">
        <v>3.1959</v>
      </c>
      <c r="E324" s="40">
        <v>0.4919</v>
      </c>
      <c r="F324" s="40">
        <v>1.619</v>
      </c>
      <c r="G324" s="41">
        <v>-0.97399629400864696</v>
      </c>
      <c r="H324" s="41">
        <v>0.696170475602224</v>
      </c>
      <c r="I324" s="41">
        <v>-1.67016676961087</v>
      </c>
      <c r="J324" s="42" t="s">
        <v>532</v>
      </c>
    </row>
    <row r="325" spans="1:12" x14ac:dyDescent="0.25">
      <c r="A325" s="44">
        <v>2018</v>
      </c>
      <c r="B325" s="44" t="s">
        <v>178</v>
      </c>
      <c r="C325" s="44" t="s">
        <v>1831</v>
      </c>
      <c r="D325" s="45">
        <v>1.3252476917133476</v>
      </c>
      <c r="E325" s="45">
        <v>0.53599670980619407</v>
      </c>
      <c r="F325" s="45">
        <v>1.591364689974889</v>
      </c>
      <c r="G325" s="46">
        <v>0.17574049843537912</v>
      </c>
      <c r="H325" s="46">
        <v>0.66287002905170989</v>
      </c>
      <c r="I325" s="46">
        <v>-0.48712953061633057</v>
      </c>
      <c r="J325" s="47" t="s">
        <v>533</v>
      </c>
      <c r="K325" s="48"/>
      <c r="L325" s="48"/>
    </row>
    <row r="326" spans="1:12" s="43" customFormat="1" ht="15" x14ac:dyDescent="0.25">
      <c r="A326" s="38" t="s">
        <v>579</v>
      </c>
      <c r="B326" s="39" t="s">
        <v>382</v>
      </c>
      <c r="C326" s="39" t="s">
        <v>1476</v>
      </c>
      <c r="D326" s="40">
        <v>1.9791000000000001</v>
      </c>
      <c r="E326" s="40">
        <v>2.0141</v>
      </c>
      <c r="F326" s="40">
        <v>7.2839999999999998</v>
      </c>
      <c r="G326" s="41">
        <v>0.72828802855573904</v>
      </c>
      <c r="H326" s="41">
        <v>0.72348984074684197</v>
      </c>
      <c r="I326" s="41">
        <v>4.7981878088961798E-3</v>
      </c>
      <c r="J326" s="42" t="s">
        <v>532</v>
      </c>
    </row>
    <row r="327" spans="1:12" x14ac:dyDescent="0.25">
      <c r="A327" s="44">
        <v>2018</v>
      </c>
      <c r="B327" s="44" t="s">
        <v>382</v>
      </c>
      <c r="C327" s="44" t="s">
        <v>1476</v>
      </c>
      <c r="D327" s="45">
        <v>1.9791000000000001</v>
      </c>
      <c r="E327" s="45">
        <v>2.0141</v>
      </c>
      <c r="F327" s="45">
        <v>7.2839999999999998</v>
      </c>
      <c r="G327" s="46">
        <v>0.72828802855573871</v>
      </c>
      <c r="H327" s="46">
        <v>0.72348984074684253</v>
      </c>
      <c r="I327" s="46">
        <v>4.7981878088961816E-3</v>
      </c>
      <c r="J327" s="47" t="s">
        <v>533</v>
      </c>
      <c r="K327" s="48"/>
      <c r="L327" s="48"/>
    </row>
    <row r="328" spans="1:12" s="43" customFormat="1" ht="15" x14ac:dyDescent="0.25">
      <c r="A328" s="38" t="s">
        <v>579</v>
      </c>
      <c r="B328" s="39" t="s">
        <v>383</v>
      </c>
      <c r="C328" s="39" t="s">
        <v>1477</v>
      </c>
      <c r="D328" s="40">
        <v>2.8104</v>
      </c>
      <c r="E328" s="40">
        <v>3.0183</v>
      </c>
      <c r="F328" s="40">
        <v>9.3130000000000006</v>
      </c>
      <c r="G328" s="41">
        <v>0.69822649343211995</v>
      </c>
      <c r="H328" s="41">
        <v>0.675904649414796</v>
      </c>
      <c r="I328" s="41">
        <v>2.23218440173234E-2</v>
      </c>
      <c r="J328" s="42" t="s">
        <v>532</v>
      </c>
    </row>
    <row r="329" spans="1:12" x14ac:dyDescent="0.25">
      <c r="A329" s="44">
        <v>2018</v>
      </c>
      <c r="B329" s="44" t="s">
        <v>383</v>
      </c>
      <c r="C329" s="44" t="s">
        <v>1477</v>
      </c>
      <c r="D329" s="45">
        <v>2.8104</v>
      </c>
      <c r="E329" s="45">
        <v>3.0183</v>
      </c>
      <c r="F329" s="45">
        <v>9.3130000000000006</v>
      </c>
      <c r="G329" s="46">
        <v>0.69822649343211995</v>
      </c>
      <c r="H329" s="46">
        <v>0.67590464941479655</v>
      </c>
      <c r="I329" s="46">
        <v>2.23218440173234E-2</v>
      </c>
      <c r="J329" s="47" t="s">
        <v>533</v>
      </c>
      <c r="K329" s="48"/>
      <c r="L329" s="48"/>
    </row>
    <row r="330" spans="1:12" s="43" customFormat="1" ht="15" x14ac:dyDescent="0.25">
      <c r="A330" s="38" t="s">
        <v>579</v>
      </c>
      <c r="B330" s="39" t="s">
        <v>384</v>
      </c>
      <c r="C330" s="39" t="s">
        <v>1478</v>
      </c>
      <c r="D330" s="40">
        <v>0.62090000000000001</v>
      </c>
      <c r="E330" s="40">
        <v>0.83199999999999996</v>
      </c>
      <c r="F330" s="40">
        <v>2.5960000000000001</v>
      </c>
      <c r="G330" s="41">
        <v>0.76082755521314804</v>
      </c>
      <c r="H330" s="41">
        <v>0.67948767334360605</v>
      </c>
      <c r="I330" s="41">
        <v>8.1339881869542996E-2</v>
      </c>
      <c r="J330" s="42" t="s">
        <v>532</v>
      </c>
    </row>
    <row r="331" spans="1:12" x14ac:dyDescent="0.25">
      <c r="A331" s="44">
        <v>2018</v>
      </c>
      <c r="B331" s="44" t="s">
        <v>384</v>
      </c>
      <c r="C331" s="44" t="s">
        <v>1478</v>
      </c>
      <c r="D331" s="45">
        <v>0.62090000000000001</v>
      </c>
      <c r="E331" s="45">
        <v>0.83199999999999985</v>
      </c>
      <c r="F331" s="45">
        <v>2.5960000000000001</v>
      </c>
      <c r="G331" s="46">
        <v>0.76082755521314849</v>
      </c>
      <c r="H331" s="46">
        <v>0.67948767334360549</v>
      </c>
      <c r="I331" s="46">
        <v>8.1339881869542996E-2</v>
      </c>
      <c r="J331" s="47" t="s">
        <v>533</v>
      </c>
      <c r="K331" s="48"/>
      <c r="L331" s="48"/>
    </row>
    <row r="332" spans="1:12" s="43" customFormat="1" ht="15" x14ac:dyDescent="0.25">
      <c r="A332" s="38" t="s">
        <v>635</v>
      </c>
      <c r="B332" s="39" t="s">
        <v>179</v>
      </c>
      <c r="C332" s="39" t="s">
        <v>1715</v>
      </c>
      <c r="D332" s="40">
        <v>2.6793</v>
      </c>
      <c r="E332" s="40">
        <v>2.6675</v>
      </c>
      <c r="F332" s="40">
        <v>7.9580000000000002</v>
      </c>
      <c r="G332" s="41">
        <v>0.66331783530200195</v>
      </c>
      <c r="H332" s="41">
        <v>0.66480271424981097</v>
      </c>
      <c r="I332" s="41">
        <v>-1.48487894780924E-3</v>
      </c>
      <c r="J332" s="42" t="s">
        <v>532</v>
      </c>
    </row>
    <row r="333" spans="1:12" s="43" customFormat="1" ht="15" x14ac:dyDescent="0.25">
      <c r="A333" s="38" t="s">
        <v>654</v>
      </c>
      <c r="B333" s="39" t="s">
        <v>179</v>
      </c>
      <c r="C333" s="39" t="s">
        <v>1721</v>
      </c>
      <c r="D333" s="40">
        <v>2.6793</v>
      </c>
      <c r="E333" s="40">
        <v>2.6074999999999999</v>
      </c>
      <c r="F333" s="40">
        <v>7.9580000000000002</v>
      </c>
      <c r="G333" s="41">
        <v>0.66331783530200195</v>
      </c>
      <c r="H333" s="41">
        <v>0.67234229705956305</v>
      </c>
      <c r="I333" s="41">
        <v>-9.02446175756055E-3</v>
      </c>
      <c r="J333" s="42" t="s">
        <v>532</v>
      </c>
    </row>
    <row r="334" spans="1:12" x14ac:dyDescent="0.25">
      <c r="A334" s="44">
        <v>2018</v>
      </c>
      <c r="B334" s="44" t="s">
        <v>179</v>
      </c>
      <c r="C334" s="44" t="s">
        <v>1993</v>
      </c>
      <c r="D334" s="45">
        <v>2.6793</v>
      </c>
      <c r="E334" s="45">
        <v>2.6261358381502888</v>
      </c>
      <c r="F334" s="45">
        <v>7.9580000000000002</v>
      </c>
      <c r="G334" s="46">
        <v>0.66331783530200217</v>
      </c>
      <c r="H334" s="46">
        <v>0.67000052297684232</v>
      </c>
      <c r="I334" s="46">
        <v>-6.6826876748401079E-3</v>
      </c>
      <c r="J334" s="47" t="s">
        <v>533</v>
      </c>
      <c r="K334" s="48"/>
      <c r="L334" s="48"/>
    </row>
    <row r="335" spans="1:12" s="43" customFormat="1" ht="15" x14ac:dyDescent="0.25">
      <c r="A335" s="38" t="s">
        <v>548</v>
      </c>
      <c r="B335" s="39" t="s">
        <v>385</v>
      </c>
      <c r="C335" s="39" t="s">
        <v>1525</v>
      </c>
      <c r="D335" s="40">
        <v>0</v>
      </c>
      <c r="E335" s="40">
        <v>1.1067</v>
      </c>
      <c r="F335" s="40"/>
      <c r="G335" s="41"/>
      <c r="H335" s="41"/>
      <c r="I335" s="41"/>
      <c r="J335" s="42" t="s">
        <v>532</v>
      </c>
    </row>
    <row r="336" spans="1:12" s="43" customFormat="1" ht="15" x14ac:dyDescent="0.25">
      <c r="A336" s="38" t="s">
        <v>615</v>
      </c>
      <c r="B336" s="39" t="s">
        <v>385</v>
      </c>
      <c r="C336" s="39" t="s">
        <v>1533</v>
      </c>
      <c r="D336" s="40">
        <v>0</v>
      </c>
      <c r="E336" s="40">
        <v>1.1067</v>
      </c>
      <c r="F336" s="40"/>
      <c r="G336" s="41"/>
      <c r="H336" s="41"/>
      <c r="I336" s="41"/>
      <c r="J336" s="42" t="s">
        <v>532</v>
      </c>
    </row>
    <row r="337" spans="1:12" s="43" customFormat="1" ht="15" x14ac:dyDescent="0.25">
      <c r="A337" s="38" t="s">
        <v>597</v>
      </c>
      <c r="B337" s="39" t="s">
        <v>385</v>
      </c>
      <c r="C337" s="39" t="s">
        <v>1546</v>
      </c>
      <c r="D337" s="40">
        <v>0</v>
      </c>
      <c r="E337" s="40">
        <v>1.1395999999999999</v>
      </c>
      <c r="F337" s="40"/>
      <c r="G337" s="41"/>
      <c r="H337" s="41"/>
      <c r="I337" s="41"/>
      <c r="J337" s="42" t="s">
        <v>532</v>
      </c>
    </row>
    <row r="338" spans="1:12" s="43" customFormat="1" ht="15" x14ac:dyDescent="0.25">
      <c r="A338" s="38" t="s">
        <v>599</v>
      </c>
      <c r="B338" s="39" t="s">
        <v>385</v>
      </c>
      <c r="C338" s="39" t="s">
        <v>1552</v>
      </c>
      <c r="D338" s="40">
        <v>0</v>
      </c>
      <c r="E338" s="40">
        <v>1.1460999999999999</v>
      </c>
      <c r="F338" s="40"/>
      <c r="G338" s="41"/>
      <c r="H338" s="41"/>
      <c r="I338" s="41"/>
      <c r="J338" s="42" t="s">
        <v>532</v>
      </c>
    </row>
    <row r="339" spans="1:12" s="43" customFormat="1" ht="15" x14ac:dyDescent="0.25">
      <c r="A339" s="38" t="s">
        <v>574</v>
      </c>
      <c r="B339" s="39" t="s">
        <v>385</v>
      </c>
      <c r="C339" s="39" t="s">
        <v>947</v>
      </c>
      <c r="D339" s="40">
        <v>0</v>
      </c>
      <c r="E339" s="40">
        <v>1.1291</v>
      </c>
      <c r="F339" s="40"/>
      <c r="G339" s="41"/>
      <c r="H339" s="41"/>
      <c r="I339" s="41"/>
      <c r="J339" s="42" t="s">
        <v>532</v>
      </c>
    </row>
    <row r="340" spans="1:12" x14ac:dyDescent="0.25">
      <c r="A340" s="44">
        <v>2018</v>
      </c>
      <c r="B340" s="44" t="s">
        <v>385</v>
      </c>
      <c r="C340" s="44" t="s">
        <v>1963</v>
      </c>
      <c r="D340" s="45">
        <v>0</v>
      </c>
      <c r="E340" s="45">
        <v>1.1284419181890388</v>
      </c>
      <c r="F340" s="45"/>
      <c r="J340" s="47" t="s">
        <v>533</v>
      </c>
      <c r="K340" s="48"/>
      <c r="L340" s="48"/>
    </row>
    <row r="341" spans="1:12" s="43" customFormat="1" ht="15" x14ac:dyDescent="0.25">
      <c r="A341" s="38" t="s">
        <v>579</v>
      </c>
      <c r="B341" s="39" t="s">
        <v>386</v>
      </c>
      <c r="C341" s="39" t="s">
        <v>900</v>
      </c>
      <c r="D341" s="40">
        <v>2.4521000000000002</v>
      </c>
      <c r="E341" s="40">
        <v>2.3578000000000001</v>
      </c>
      <c r="F341" s="40">
        <v>7.157</v>
      </c>
      <c r="G341" s="41">
        <v>0.65739136509710805</v>
      </c>
      <c r="H341" s="41">
        <v>0.67056029062456302</v>
      </c>
      <c r="I341" s="41">
        <v>-1.31689255274556E-2</v>
      </c>
      <c r="J341" s="42" t="s">
        <v>532</v>
      </c>
    </row>
    <row r="342" spans="1:12" s="43" customFormat="1" ht="15" x14ac:dyDescent="0.25">
      <c r="A342" s="38" t="s">
        <v>635</v>
      </c>
      <c r="B342" s="39" t="s">
        <v>386</v>
      </c>
      <c r="C342" s="39" t="s">
        <v>1695</v>
      </c>
      <c r="D342" s="40">
        <v>2.4521000000000002</v>
      </c>
      <c r="E342" s="40">
        <v>2.2799999999999998</v>
      </c>
      <c r="F342" s="40">
        <v>7.2089999999999996</v>
      </c>
      <c r="G342" s="41">
        <v>0.65986267166042401</v>
      </c>
      <c r="H342" s="41">
        <v>0.68372867249271796</v>
      </c>
      <c r="I342" s="41">
        <v>-2.3866000832293101E-2</v>
      </c>
      <c r="J342" s="42" t="s">
        <v>532</v>
      </c>
    </row>
    <row r="343" spans="1:12" x14ac:dyDescent="0.25">
      <c r="A343" s="44">
        <v>2018</v>
      </c>
      <c r="B343" s="44" t="s">
        <v>386</v>
      </c>
      <c r="C343" s="44" t="s">
        <v>1952</v>
      </c>
      <c r="D343" s="45">
        <v>2.4521000000000002</v>
      </c>
      <c r="E343" s="45">
        <v>2.2806905325443787</v>
      </c>
      <c r="F343" s="45">
        <v>7.2085384615384616</v>
      </c>
      <c r="G343" s="46">
        <v>0.65984073698678558</v>
      </c>
      <c r="H343" s="46">
        <v>0.68361179336371025</v>
      </c>
      <c r="I343" s="46">
        <v>-2.3771056376924681E-2</v>
      </c>
      <c r="J343" s="47" t="s">
        <v>533</v>
      </c>
      <c r="K343" s="48"/>
      <c r="L343" s="48"/>
    </row>
    <row r="344" spans="1:12" s="43" customFormat="1" ht="15" x14ac:dyDescent="0.25">
      <c r="A344" s="38" t="s">
        <v>579</v>
      </c>
      <c r="B344" s="39" t="s">
        <v>387</v>
      </c>
      <c r="C344" s="39" t="s">
        <v>1479</v>
      </c>
      <c r="D344" s="40">
        <v>3.5051000000000001</v>
      </c>
      <c r="E344" s="40">
        <v>3.3616999999999999</v>
      </c>
      <c r="F344" s="40">
        <v>9.8140000000000001</v>
      </c>
      <c r="G344" s="41">
        <v>0.64284865158616999</v>
      </c>
      <c r="H344" s="41">
        <v>0.65746043067726401</v>
      </c>
      <c r="I344" s="41">
        <v>-1.4611779091094301E-2</v>
      </c>
      <c r="J344" s="42" t="s">
        <v>532</v>
      </c>
    </row>
    <row r="345" spans="1:12" s="43" customFormat="1" ht="15" x14ac:dyDescent="0.25">
      <c r="A345" s="38" t="s">
        <v>635</v>
      </c>
      <c r="B345" s="39" t="s">
        <v>387</v>
      </c>
      <c r="C345" s="39" t="s">
        <v>1716</v>
      </c>
      <c r="D345" s="40">
        <v>3.5051000000000001</v>
      </c>
      <c r="E345" s="40">
        <v>3.2869999999999999</v>
      </c>
      <c r="F345" s="40">
        <v>9.84</v>
      </c>
      <c r="G345" s="41">
        <v>0.643792344173442</v>
      </c>
      <c r="H345" s="41">
        <v>0.66595528455284603</v>
      </c>
      <c r="I345" s="41">
        <v>-2.2162940379403799E-2</v>
      </c>
      <c r="J345" s="42" t="s">
        <v>532</v>
      </c>
    </row>
    <row r="346" spans="1:12" x14ac:dyDescent="0.25">
      <c r="A346" s="44">
        <v>2018</v>
      </c>
      <c r="B346" s="44" t="s">
        <v>387</v>
      </c>
      <c r="C346" s="44" t="s">
        <v>1148</v>
      </c>
      <c r="D346" s="45">
        <v>3.5051000000000001</v>
      </c>
      <c r="E346" s="45">
        <v>3.2876439655172414</v>
      </c>
      <c r="F346" s="45">
        <v>9.839775862068965</v>
      </c>
      <c r="G346" s="46">
        <v>0.64378420889251697</v>
      </c>
      <c r="H346" s="46">
        <v>0.66588205305391823</v>
      </c>
      <c r="I346" s="46">
        <v>-2.2097844161401141E-2</v>
      </c>
      <c r="J346" s="47" t="s">
        <v>533</v>
      </c>
      <c r="K346" s="48"/>
      <c r="L346" s="48"/>
    </row>
    <row r="347" spans="1:12" s="43" customFormat="1" ht="15" x14ac:dyDescent="0.25">
      <c r="A347" s="38" t="s">
        <v>579</v>
      </c>
      <c r="B347" s="39" t="s">
        <v>388</v>
      </c>
      <c r="C347" s="39" t="s">
        <v>1480</v>
      </c>
      <c r="D347" s="40">
        <v>0.90310000000000001</v>
      </c>
      <c r="E347" s="40">
        <v>0.88049999999999995</v>
      </c>
      <c r="F347" s="40">
        <v>2.9580000000000002</v>
      </c>
      <c r="G347" s="41">
        <v>0.69468390804597702</v>
      </c>
      <c r="H347" s="41">
        <v>0.70234533468559801</v>
      </c>
      <c r="I347" s="41">
        <v>-7.6614266396213297E-3</v>
      </c>
      <c r="J347" s="42" t="s">
        <v>532</v>
      </c>
    </row>
    <row r="348" spans="1:12" s="43" customFormat="1" ht="15" x14ac:dyDescent="0.25">
      <c r="A348" s="38" t="s">
        <v>554</v>
      </c>
      <c r="B348" s="39" t="s">
        <v>388</v>
      </c>
      <c r="C348" s="39" t="s">
        <v>1727</v>
      </c>
      <c r="D348" s="40">
        <v>0.90310000000000001</v>
      </c>
      <c r="E348" s="40">
        <v>0.87760000000000005</v>
      </c>
      <c r="F348" s="40">
        <v>2.968</v>
      </c>
      <c r="G348" s="41">
        <v>0.69571260107816701</v>
      </c>
      <c r="H348" s="41">
        <v>0.70431266846361196</v>
      </c>
      <c r="I348" s="41">
        <v>-8.60006738544483E-3</v>
      </c>
      <c r="J348" s="42" t="s">
        <v>532</v>
      </c>
    </row>
    <row r="349" spans="1:12" x14ac:dyDescent="0.25">
      <c r="A349" s="44">
        <v>2018</v>
      </c>
      <c r="B349" s="44" t="s">
        <v>388</v>
      </c>
      <c r="C349" s="44" t="s">
        <v>1302</v>
      </c>
      <c r="D349" s="45">
        <v>0.90310000000000001</v>
      </c>
      <c r="E349" s="45">
        <v>0.87770572916666656</v>
      </c>
      <c r="F349" s="45">
        <v>2.967635416666667</v>
      </c>
      <c r="G349" s="46">
        <v>0.69567509664470173</v>
      </c>
      <c r="H349" s="46">
        <v>0.70424094275295512</v>
      </c>
      <c r="I349" s="46">
        <v>-8.5658461082533492E-3</v>
      </c>
      <c r="J349" s="47" t="s">
        <v>533</v>
      </c>
      <c r="K349" s="48"/>
      <c r="L349" s="48"/>
    </row>
    <row r="350" spans="1:12" s="43" customFormat="1" ht="15" x14ac:dyDescent="0.25">
      <c r="A350" s="38" t="s">
        <v>557</v>
      </c>
      <c r="B350" s="39" t="s">
        <v>185</v>
      </c>
      <c r="C350" s="39" t="s">
        <v>763</v>
      </c>
      <c r="D350" s="40">
        <v>0.66049999999999998</v>
      </c>
      <c r="E350" s="40">
        <v>0.74780000000000002</v>
      </c>
      <c r="F350" s="40">
        <v>2.5299999999999998</v>
      </c>
      <c r="G350" s="41">
        <v>0.73894598155467695</v>
      </c>
      <c r="H350" s="41">
        <v>0.70442687747035604</v>
      </c>
      <c r="I350" s="41">
        <v>3.4519104084321503E-2</v>
      </c>
      <c r="J350" s="42" t="s">
        <v>532</v>
      </c>
    </row>
    <row r="351" spans="1:12" s="43" customFormat="1" ht="15" x14ac:dyDescent="0.25">
      <c r="A351" s="38" t="s">
        <v>670</v>
      </c>
      <c r="B351" s="39" t="s">
        <v>185</v>
      </c>
      <c r="C351" s="39" t="s">
        <v>768</v>
      </c>
      <c r="D351" s="40">
        <v>0.66049999999999998</v>
      </c>
      <c r="E351" s="40">
        <v>0.7389</v>
      </c>
      <c r="F351" s="40">
        <v>2.5299999999999998</v>
      </c>
      <c r="G351" s="41">
        <v>0.73894598155467695</v>
      </c>
      <c r="H351" s="41">
        <v>0.70793148880105405</v>
      </c>
      <c r="I351" s="41">
        <v>3.1014492753623099E-2</v>
      </c>
      <c r="J351" s="42" t="s">
        <v>532</v>
      </c>
    </row>
    <row r="352" spans="1:12" s="43" customFormat="1" ht="15" x14ac:dyDescent="0.25">
      <c r="A352" s="38" t="s">
        <v>565</v>
      </c>
      <c r="B352" s="39" t="s">
        <v>185</v>
      </c>
      <c r="C352" s="39" t="s">
        <v>796</v>
      </c>
      <c r="D352" s="40">
        <v>0.66049999999999998</v>
      </c>
      <c r="E352" s="40">
        <v>0.6996</v>
      </c>
      <c r="F352" s="40">
        <v>2.5299999999999998</v>
      </c>
      <c r="G352" s="41">
        <v>0.73894598155467695</v>
      </c>
      <c r="H352" s="41">
        <v>0.72347826086956502</v>
      </c>
      <c r="I352" s="41">
        <v>1.54677206851119E-2</v>
      </c>
      <c r="J352" s="42" t="s">
        <v>532</v>
      </c>
    </row>
    <row r="353" spans="1:12" s="43" customFormat="1" ht="15" x14ac:dyDescent="0.25">
      <c r="A353" s="38" t="s">
        <v>559</v>
      </c>
      <c r="B353" s="39" t="s">
        <v>185</v>
      </c>
      <c r="C353" s="39" t="s">
        <v>827</v>
      </c>
      <c r="D353" s="40">
        <v>0.49540000000000001</v>
      </c>
      <c r="E353" s="40">
        <v>0.69410000000000005</v>
      </c>
      <c r="F353" s="40">
        <v>2.5299999999999998</v>
      </c>
      <c r="G353" s="41">
        <v>0.80420948616600796</v>
      </c>
      <c r="H353" s="41">
        <v>0.72565217391304404</v>
      </c>
      <c r="I353" s="41">
        <v>7.8557312252964501E-2</v>
      </c>
      <c r="J353" s="42" t="s">
        <v>532</v>
      </c>
    </row>
    <row r="354" spans="1:12" x14ac:dyDescent="0.25">
      <c r="A354" s="44">
        <v>2018</v>
      </c>
      <c r="B354" s="44" t="s">
        <v>185</v>
      </c>
      <c r="C354" s="44" t="s">
        <v>1834</v>
      </c>
      <c r="D354" s="45">
        <v>0.65859902130109382</v>
      </c>
      <c r="E354" s="45">
        <v>0.73978485895221635</v>
      </c>
      <c r="F354" s="45">
        <v>2.5299999999999994</v>
      </c>
      <c r="G354" s="46">
        <v>0.73969743238497476</v>
      </c>
      <c r="H354" s="46">
        <v>0.70758561055474789</v>
      </c>
      <c r="I354" s="46">
        <v>3.2111821830226824E-2</v>
      </c>
      <c r="J354" s="47" t="s">
        <v>533</v>
      </c>
      <c r="K354" s="48"/>
      <c r="L354" s="48"/>
    </row>
    <row r="355" spans="1:12" s="43" customFormat="1" ht="15" x14ac:dyDescent="0.25">
      <c r="A355" s="38" t="s">
        <v>557</v>
      </c>
      <c r="B355" s="39" t="s">
        <v>186</v>
      </c>
      <c r="C355" s="39" t="s">
        <v>764</v>
      </c>
      <c r="D355" s="40">
        <v>0.61140000000000005</v>
      </c>
      <c r="E355" s="40">
        <v>0.59719999999999995</v>
      </c>
      <c r="F355" s="40">
        <v>2.3199999999999998</v>
      </c>
      <c r="G355" s="41">
        <v>0.73644396551724101</v>
      </c>
      <c r="H355" s="41">
        <v>0.74258620689655197</v>
      </c>
      <c r="I355" s="41">
        <v>-6.14224137931041E-3</v>
      </c>
      <c r="J355" s="42" t="s">
        <v>532</v>
      </c>
    </row>
    <row r="356" spans="1:12" x14ac:dyDescent="0.25">
      <c r="A356" s="44">
        <v>2018</v>
      </c>
      <c r="B356" s="44" t="s">
        <v>186</v>
      </c>
      <c r="C356" s="44" t="s">
        <v>764</v>
      </c>
      <c r="D356" s="45">
        <v>0.61140000000000005</v>
      </c>
      <c r="E356" s="45">
        <v>0.59719999999999995</v>
      </c>
      <c r="F356" s="45">
        <v>2.3199999999999998</v>
      </c>
      <c r="G356" s="46">
        <v>0.73644396551724123</v>
      </c>
      <c r="H356" s="46">
        <v>0.74258620689655164</v>
      </c>
      <c r="I356" s="46">
        <v>-6.1422413793104091E-3</v>
      </c>
      <c r="J356" s="47" t="s">
        <v>533</v>
      </c>
      <c r="K356" s="48"/>
      <c r="L356" s="48"/>
    </row>
    <row r="357" spans="1:12" s="43" customFormat="1" ht="15" x14ac:dyDescent="0.25">
      <c r="A357" s="38" t="s">
        <v>566</v>
      </c>
      <c r="B357" s="39" t="s">
        <v>187</v>
      </c>
      <c r="C357" s="39" t="s">
        <v>778</v>
      </c>
      <c r="D357" s="40">
        <v>0.62270000000000003</v>
      </c>
      <c r="E357" s="40">
        <v>0.67989999999999995</v>
      </c>
      <c r="F357" s="40">
        <v>2.3199999999999998</v>
      </c>
      <c r="G357" s="41">
        <v>0.73158764367816098</v>
      </c>
      <c r="H357" s="41">
        <v>0.70693965517241397</v>
      </c>
      <c r="I357" s="41">
        <v>2.46479885057471E-2</v>
      </c>
      <c r="J357" s="42" t="s">
        <v>532</v>
      </c>
    </row>
    <row r="358" spans="1:12" s="43" customFormat="1" ht="15" x14ac:dyDescent="0.25">
      <c r="A358" s="38" t="s">
        <v>559</v>
      </c>
      <c r="B358" s="39" t="s">
        <v>187</v>
      </c>
      <c r="C358" s="39" t="s">
        <v>828</v>
      </c>
      <c r="D358" s="40">
        <v>0.62270000000000003</v>
      </c>
      <c r="E358" s="40">
        <v>0.68459999999999999</v>
      </c>
      <c r="F358" s="40">
        <v>2.3199999999999998</v>
      </c>
      <c r="G358" s="41">
        <v>0.73158764367816098</v>
      </c>
      <c r="H358" s="41">
        <v>0.70491379310344804</v>
      </c>
      <c r="I358" s="41">
        <v>2.6673850574712599E-2</v>
      </c>
      <c r="J358" s="42" t="s">
        <v>532</v>
      </c>
    </row>
    <row r="359" spans="1:12" x14ac:dyDescent="0.25">
      <c r="A359" s="44">
        <v>2018</v>
      </c>
      <c r="B359" s="44" t="s">
        <v>187</v>
      </c>
      <c r="C359" s="44" t="s">
        <v>1841</v>
      </c>
      <c r="D359" s="45">
        <v>0.62270000000000003</v>
      </c>
      <c r="E359" s="45">
        <v>0.68016710677382308</v>
      </c>
      <c r="F359" s="45">
        <v>2.3199999999999998</v>
      </c>
      <c r="G359" s="46">
        <v>0.73158764367816076</v>
      </c>
      <c r="H359" s="46">
        <v>0.70682452294231746</v>
      </c>
      <c r="I359" s="46">
        <v>2.4763120735843323E-2</v>
      </c>
      <c r="J359" s="47" t="s">
        <v>533</v>
      </c>
      <c r="K359" s="48"/>
      <c r="L359" s="48"/>
    </row>
    <row r="360" spans="1:12" s="43" customFormat="1" ht="15" x14ac:dyDescent="0.25">
      <c r="A360" s="38" t="s">
        <v>677</v>
      </c>
      <c r="B360" s="39" t="s">
        <v>188</v>
      </c>
      <c r="C360" s="39" t="s">
        <v>927</v>
      </c>
      <c r="D360" s="40">
        <v>2.6934999999999998</v>
      </c>
      <c r="E360" s="40">
        <v>3.3693</v>
      </c>
      <c r="F360" s="40">
        <v>8.9600000000000009</v>
      </c>
      <c r="G360" s="41">
        <v>0.69938616071428605</v>
      </c>
      <c r="H360" s="41">
        <v>0.62396763392857202</v>
      </c>
      <c r="I360" s="41">
        <v>7.5418526785714202E-2</v>
      </c>
      <c r="J360" s="42" t="s">
        <v>532</v>
      </c>
    </row>
    <row r="361" spans="1:12" s="43" customFormat="1" ht="15" x14ac:dyDescent="0.25">
      <c r="A361" s="38" t="s">
        <v>606</v>
      </c>
      <c r="B361" s="39" t="s">
        <v>188</v>
      </c>
      <c r="C361" s="39" t="s">
        <v>1350</v>
      </c>
      <c r="D361" s="40">
        <v>1.7957000000000001</v>
      </c>
      <c r="E361" s="40">
        <v>1.8478000000000001</v>
      </c>
      <c r="F361" s="40">
        <v>9.1620000000000008</v>
      </c>
      <c r="G361" s="41">
        <v>0.80400931383249596</v>
      </c>
      <c r="H361" s="41">
        <v>0.79831914429163897</v>
      </c>
      <c r="I361" s="41">
        <v>5.6901695408572203E-3</v>
      </c>
      <c r="J361" s="42" t="s">
        <v>532</v>
      </c>
    </row>
    <row r="362" spans="1:12" x14ac:dyDescent="0.25">
      <c r="A362" s="44">
        <v>2018</v>
      </c>
      <c r="B362" s="44" t="s">
        <v>188</v>
      </c>
      <c r="C362" s="44" t="s">
        <v>1894</v>
      </c>
      <c r="D362" s="45">
        <v>2.2759477653631284</v>
      </c>
      <c r="E362" s="45">
        <v>2.6616749999999998</v>
      </c>
      <c r="F362" s="45">
        <v>9.0539469273743016</v>
      </c>
      <c r="G362" s="46">
        <v>0.74804469421758779</v>
      </c>
      <c r="H362" s="46">
        <v>0.70505569670916035</v>
      </c>
      <c r="I362" s="46">
        <v>4.2988997508427391E-2</v>
      </c>
      <c r="J362" s="47" t="s">
        <v>533</v>
      </c>
      <c r="K362" s="48"/>
      <c r="L362" s="48"/>
    </row>
    <row r="363" spans="1:12" s="43" customFormat="1" ht="15" x14ac:dyDescent="0.25">
      <c r="A363" s="38" t="s">
        <v>580</v>
      </c>
      <c r="B363" s="39" t="s">
        <v>389</v>
      </c>
      <c r="C363" s="39" t="s">
        <v>1458</v>
      </c>
      <c r="D363" s="40">
        <v>0.80369999999999997</v>
      </c>
      <c r="E363" s="40">
        <v>0.88139999999999996</v>
      </c>
      <c r="F363" s="40">
        <v>2.7069999999999999</v>
      </c>
      <c r="G363" s="41">
        <v>0.70309075237039798</v>
      </c>
      <c r="H363" s="41">
        <v>0.67438123383819704</v>
      </c>
      <c r="I363" s="41">
        <v>2.8709518532200499E-2</v>
      </c>
      <c r="J363" s="42" t="s">
        <v>532</v>
      </c>
    </row>
    <row r="364" spans="1:12" s="43" customFormat="1" ht="15" x14ac:dyDescent="0.25">
      <c r="A364" s="38" t="s">
        <v>563</v>
      </c>
      <c r="B364" s="39" t="s">
        <v>389</v>
      </c>
      <c r="C364" s="39" t="s">
        <v>1463</v>
      </c>
      <c r="D364" s="40">
        <v>0.80369999999999997</v>
      </c>
      <c r="E364" s="40">
        <v>0.95830000000000004</v>
      </c>
      <c r="F364" s="40">
        <v>2.7069999999999999</v>
      </c>
      <c r="G364" s="41">
        <v>0.70309075237039798</v>
      </c>
      <c r="H364" s="41">
        <v>0.645998029799286</v>
      </c>
      <c r="I364" s="41">
        <v>5.7092722571111899E-2</v>
      </c>
      <c r="J364" s="42" t="s">
        <v>532</v>
      </c>
    </row>
    <row r="365" spans="1:12" s="43" customFormat="1" ht="15" x14ac:dyDescent="0.25">
      <c r="A365" s="38" t="s">
        <v>542</v>
      </c>
      <c r="B365" s="39" t="s">
        <v>389</v>
      </c>
      <c r="C365" s="39" t="s">
        <v>952</v>
      </c>
      <c r="D365" s="40">
        <v>0.80369999999999997</v>
      </c>
      <c r="E365" s="40">
        <v>0.89490000000000003</v>
      </c>
      <c r="F365" s="40">
        <v>2.7069999999999999</v>
      </c>
      <c r="G365" s="41">
        <v>0.70309075237039798</v>
      </c>
      <c r="H365" s="41">
        <v>0.66940032015761597</v>
      </c>
      <c r="I365" s="41">
        <v>3.3690432212781701E-2</v>
      </c>
      <c r="J365" s="42" t="s">
        <v>532</v>
      </c>
    </row>
    <row r="366" spans="1:12" s="43" customFormat="1" ht="15" x14ac:dyDescent="0.25">
      <c r="A366" s="38" t="s">
        <v>579</v>
      </c>
      <c r="B366" s="39" t="s">
        <v>389</v>
      </c>
      <c r="C366" s="39" t="s">
        <v>1482</v>
      </c>
      <c r="D366" s="40">
        <v>0.80369999999999997</v>
      </c>
      <c r="E366" s="40">
        <v>0.85580000000000001</v>
      </c>
      <c r="F366" s="40">
        <v>2.7069999999999999</v>
      </c>
      <c r="G366" s="41">
        <v>0.70309075237039798</v>
      </c>
      <c r="H366" s="41">
        <v>0.68385051102080996</v>
      </c>
      <c r="I366" s="41">
        <v>1.92402413495876E-2</v>
      </c>
      <c r="J366" s="42" t="s">
        <v>532</v>
      </c>
    </row>
    <row r="367" spans="1:12" s="43" customFormat="1" ht="15" x14ac:dyDescent="0.25">
      <c r="A367" s="38" t="s">
        <v>535</v>
      </c>
      <c r="B367" s="39" t="s">
        <v>389</v>
      </c>
      <c r="C367" s="39" t="s">
        <v>1489</v>
      </c>
      <c r="D367" s="40">
        <v>0.80369999999999997</v>
      </c>
      <c r="E367" s="40">
        <v>0.9123</v>
      </c>
      <c r="F367" s="40">
        <v>2.7069999999999999</v>
      </c>
      <c r="G367" s="41">
        <v>0.70309075237039798</v>
      </c>
      <c r="H367" s="41">
        <v>0.662966383450314</v>
      </c>
      <c r="I367" s="41">
        <v>4.0124368920083801E-2</v>
      </c>
      <c r="J367" s="42" t="s">
        <v>532</v>
      </c>
    </row>
    <row r="368" spans="1:12" x14ac:dyDescent="0.25">
      <c r="A368" s="44">
        <v>2018</v>
      </c>
      <c r="B368" s="44" t="s">
        <v>389</v>
      </c>
      <c r="C368" s="44" t="s">
        <v>1950</v>
      </c>
      <c r="D368" s="45">
        <v>0.80370000000000008</v>
      </c>
      <c r="E368" s="45">
        <v>0.89770072150072144</v>
      </c>
      <c r="F368" s="45">
        <v>2.7070000000000003</v>
      </c>
      <c r="G368" s="46">
        <v>0.70309075237039775</v>
      </c>
      <c r="H368" s="46">
        <v>0.66836904988456514</v>
      </c>
      <c r="I368" s="46">
        <v>3.4721702485832527E-2</v>
      </c>
      <c r="J368" s="47" t="s">
        <v>533</v>
      </c>
      <c r="K368" s="48"/>
      <c r="L368" s="48"/>
    </row>
    <row r="369" spans="1:12" s="43" customFormat="1" ht="15" x14ac:dyDescent="0.25">
      <c r="A369" s="38" t="s">
        <v>544</v>
      </c>
      <c r="B369" s="39" t="s">
        <v>394</v>
      </c>
      <c r="C369" s="39" t="s">
        <v>793</v>
      </c>
      <c r="D369" s="40">
        <v>0.92930000000000001</v>
      </c>
      <c r="E369" s="40">
        <v>0.90510000000000002</v>
      </c>
      <c r="F369" s="40">
        <v>2.6019999999999999</v>
      </c>
      <c r="G369" s="41">
        <v>0.64287086856264397</v>
      </c>
      <c r="H369" s="41">
        <v>0.65215219062259799</v>
      </c>
      <c r="I369" s="41">
        <v>-9.2813220599539097E-3</v>
      </c>
      <c r="J369" s="42" t="s">
        <v>532</v>
      </c>
    </row>
    <row r="370" spans="1:12" x14ac:dyDescent="0.25">
      <c r="A370" s="44">
        <v>2018</v>
      </c>
      <c r="B370" s="44" t="s">
        <v>394</v>
      </c>
      <c r="C370" s="44" t="s">
        <v>793</v>
      </c>
      <c r="D370" s="45">
        <v>0.92930000000000001</v>
      </c>
      <c r="E370" s="45">
        <v>0.90510000000000002</v>
      </c>
      <c r="F370" s="45">
        <v>2.6019999999999999</v>
      </c>
      <c r="G370" s="46">
        <v>0.64287086856264408</v>
      </c>
      <c r="H370" s="46">
        <v>0.65215219062259799</v>
      </c>
      <c r="I370" s="46">
        <v>-9.2813220599539115E-3</v>
      </c>
      <c r="J370" s="47" t="s">
        <v>533</v>
      </c>
      <c r="K370" s="48"/>
      <c r="L370" s="48"/>
    </row>
    <row r="371" spans="1:12" s="43" customFormat="1" ht="15" x14ac:dyDescent="0.25">
      <c r="A371" s="38" t="s">
        <v>535</v>
      </c>
      <c r="B371" s="39" t="s">
        <v>416</v>
      </c>
      <c r="C371" s="39" t="s">
        <v>1490</v>
      </c>
      <c r="D371" s="40">
        <v>1.6365000000000001</v>
      </c>
      <c r="E371" s="40">
        <v>1.8081</v>
      </c>
      <c r="F371" s="40">
        <v>4.9829999999999997</v>
      </c>
      <c r="G371" s="41">
        <v>0.67157836644591595</v>
      </c>
      <c r="H371" s="41">
        <v>0.63715131446919504</v>
      </c>
      <c r="I371" s="41">
        <v>3.4427051976720899E-2</v>
      </c>
      <c r="J371" s="42" t="s">
        <v>532</v>
      </c>
    </row>
    <row r="372" spans="1:12" s="43" customFormat="1" ht="15" x14ac:dyDescent="0.25">
      <c r="A372" s="38" t="s">
        <v>544</v>
      </c>
      <c r="B372" s="39" t="s">
        <v>416</v>
      </c>
      <c r="C372" s="39" t="s">
        <v>1735</v>
      </c>
      <c r="D372" s="40">
        <v>1.6365000000000001</v>
      </c>
      <c r="E372" s="40">
        <v>1.7004999999999999</v>
      </c>
      <c r="F372" s="40">
        <v>4.9829999999999997</v>
      </c>
      <c r="G372" s="41">
        <v>0.67157836644591595</v>
      </c>
      <c r="H372" s="41">
        <v>0.65873971503110595</v>
      </c>
      <c r="I372" s="41">
        <v>1.2838651414810401E-2</v>
      </c>
      <c r="J372" s="42" t="s">
        <v>532</v>
      </c>
    </row>
    <row r="373" spans="1:12" x14ac:dyDescent="0.25">
      <c r="A373" s="44">
        <v>2018</v>
      </c>
      <c r="B373" s="44" t="s">
        <v>416</v>
      </c>
      <c r="C373" s="44" t="s">
        <v>1955</v>
      </c>
      <c r="D373" s="45">
        <v>1.6365000000000001</v>
      </c>
      <c r="E373" s="45">
        <v>1.7297835443037972</v>
      </c>
      <c r="F373" s="45">
        <v>4.9829999999999997</v>
      </c>
      <c r="G373" s="46">
        <v>0.67157836644591618</v>
      </c>
      <c r="H373" s="46">
        <v>0.65286439082754788</v>
      </c>
      <c r="I373" s="46">
        <v>1.8713975618368357E-2</v>
      </c>
      <c r="J373" s="47" t="s">
        <v>533</v>
      </c>
      <c r="K373" s="48"/>
      <c r="L373" s="48"/>
    </row>
    <row r="374" spans="1:12" s="43" customFormat="1" ht="15" x14ac:dyDescent="0.25">
      <c r="A374" s="38" t="s">
        <v>579</v>
      </c>
      <c r="B374" s="39" t="s">
        <v>421</v>
      </c>
      <c r="C374" s="39" t="s">
        <v>1484</v>
      </c>
      <c r="D374" s="40">
        <v>1.1591</v>
      </c>
      <c r="E374" s="40">
        <v>1.2565</v>
      </c>
      <c r="F374" s="40">
        <v>3.6</v>
      </c>
      <c r="G374" s="41">
        <v>0.67801388888888903</v>
      </c>
      <c r="H374" s="41">
        <v>0.65096527777777802</v>
      </c>
      <c r="I374" s="41">
        <v>2.70486111111111E-2</v>
      </c>
      <c r="J374" s="42" t="s">
        <v>532</v>
      </c>
    </row>
    <row r="375" spans="1:12" x14ac:dyDescent="0.25">
      <c r="A375" s="44">
        <v>2018</v>
      </c>
      <c r="B375" s="44" t="s">
        <v>421</v>
      </c>
      <c r="C375" s="44" t="s">
        <v>1484</v>
      </c>
      <c r="D375" s="45">
        <v>1.1591</v>
      </c>
      <c r="E375" s="45">
        <v>1.2565</v>
      </c>
      <c r="F375" s="45">
        <v>3.6000000000000005</v>
      </c>
      <c r="G375" s="46">
        <v>0.67801388888888892</v>
      </c>
      <c r="H375" s="46">
        <v>0.6509652777777778</v>
      </c>
      <c r="I375" s="46">
        <v>2.704861111111112E-2</v>
      </c>
      <c r="J375" s="47" t="s">
        <v>533</v>
      </c>
      <c r="K375" s="48"/>
      <c r="L375" s="48"/>
    </row>
    <row r="376" spans="1:12" s="43" customFormat="1" ht="15" x14ac:dyDescent="0.25">
      <c r="A376" s="38" t="s">
        <v>557</v>
      </c>
      <c r="B376" s="39" t="s">
        <v>213</v>
      </c>
      <c r="C376" s="39" t="s">
        <v>766</v>
      </c>
      <c r="D376" s="40">
        <v>1.1314</v>
      </c>
      <c r="E376" s="40">
        <v>2.0341</v>
      </c>
      <c r="F376" s="40">
        <v>5.3</v>
      </c>
      <c r="G376" s="41">
        <v>0.78653616352201305</v>
      </c>
      <c r="H376" s="41">
        <v>0.61620754716981097</v>
      </c>
      <c r="I376" s="41">
        <v>0.17032861635220101</v>
      </c>
      <c r="J376" s="42" t="s">
        <v>532</v>
      </c>
    </row>
    <row r="377" spans="1:12" x14ac:dyDescent="0.25">
      <c r="A377" s="44">
        <v>2018</v>
      </c>
      <c r="B377" s="44" t="s">
        <v>213</v>
      </c>
      <c r="C377" s="44" t="s">
        <v>766</v>
      </c>
      <c r="D377" s="45">
        <v>1.1314</v>
      </c>
      <c r="E377" s="45">
        <v>2.0341</v>
      </c>
      <c r="F377" s="45">
        <v>5.3</v>
      </c>
      <c r="G377" s="46">
        <v>0.78653616352201261</v>
      </c>
      <c r="H377" s="46">
        <v>0.6162075471698113</v>
      </c>
      <c r="I377" s="46">
        <v>0.17032861635220131</v>
      </c>
      <c r="J377" s="47" t="s">
        <v>533</v>
      </c>
      <c r="K377" s="48"/>
      <c r="L377" s="48"/>
    </row>
    <row r="378" spans="1:12" s="43" customFormat="1" ht="15" x14ac:dyDescent="0.25">
      <c r="A378" s="38" t="s">
        <v>571</v>
      </c>
      <c r="B378" s="39" t="s">
        <v>486</v>
      </c>
      <c r="C378" s="39" t="s">
        <v>1246</v>
      </c>
      <c r="D378" s="40">
        <v>1.6960999999999999</v>
      </c>
      <c r="E378" s="40">
        <v>2.601</v>
      </c>
      <c r="F378" s="40">
        <v>5.5229999999999997</v>
      </c>
      <c r="G378" s="41">
        <v>0.69290240811153403</v>
      </c>
      <c r="H378" s="41">
        <v>0.52906029331884796</v>
      </c>
      <c r="I378" s="41">
        <v>0.16384211479268501</v>
      </c>
      <c r="J378" s="42" t="s">
        <v>532</v>
      </c>
    </row>
    <row r="379" spans="1:12" s="43" customFormat="1" ht="15" x14ac:dyDescent="0.25">
      <c r="A379" s="38" t="s">
        <v>701</v>
      </c>
      <c r="B379" s="39" t="s">
        <v>486</v>
      </c>
      <c r="C379" s="39" t="s">
        <v>1250</v>
      </c>
      <c r="D379" s="40">
        <v>1.6960999999999999</v>
      </c>
      <c r="E379" s="40">
        <v>1.9639</v>
      </c>
      <c r="F379" s="40">
        <v>5.5229999999999997</v>
      </c>
      <c r="G379" s="41">
        <v>0.69290240811153403</v>
      </c>
      <c r="H379" s="41">
        <v>0.64441426760818399</v>
      </c>
      <c r="I379" s="41">
        <v>4.8488140503349597E-2</v>
      </c>
      <c r="J379" s="42" t="s">
        <v>532</v>
      </c>
    </row>
    <row r="380" spans="1:12" s="43" customFormat="1" ht="15" x14ac:dyDescent="0.25">
      <c r="A380" s="38" t="s">
        <v>631</v>
      </c>
      <c r="B380" s="39" t="s">
        <v>486</v>
      </c>
      <c r="C380" s="39" t="s">
        <v>1254</v>
      </c>
      <c r="D380" s="40">
        <v>1.6960999999999999</v>
      </c>
      <c r="E380" s="40">
        <v>1.9186000000000001</v>
      </c>
      <c r="F380" s="40">
        <v>5.5229999999999997</v>
      </c>
      <c r="G380" s="41">
        <v>0.69290240811153403</v>
      </c>
      <c r="H380" s="41">
        <v>0.65261633170378397</v>
      </c>
      <c r="I380" s="41">
        <v>4.0286076407749401E-2</v>
      </c>
      <c r="J380" s="42" t="s">
        <v>532</v>
      </c>
    </row>
    <row r="381" spans="1:12" s="43" customFormat="1" ht="15" x14ac:dyDescent="0.25">
      <c r="A381" s="38" t="s">
        <v>630</v>
      </c>
      <c r="B381" s="39" t="s">
        <v>486</v>
      </c>
      <c r="C381" s="39" t="s">
        <v>1261</v>
      </c>
      <c r="D381" s="40">
        <v>1.6960999999999999</v>
      </c>
      <c r="E381" s="40">
        <v>1.9157</v>
      </c>
      <c r="F381" s="40">
        <v>5.5229999999999997</v>
      </c>
      <c r="G381" s="41">
        <v>0.69290240811153403</v>
      </c>
      <c r="H381" s="41">
        <v>0.65314140865471604</v>
      </c>
      <c r="I381" s="41">
        <v>3.9760999456816999E-2</v>
      </c>
      <c r="J381" s="42" t="s">
        <v>532</v>
      </c>
    </row>
    <row r="382" spans="1:12" x14ac:dyDescent="0.25">
      <c r="A382" s="44">
        <v>2018</v>
      </c>
      <c r="B382" s="44" t="s">
        <v>486</v>
      </c>
      <c r="C382" s="44" t="s">
        <v>1947</v>
      </c>
      <c r="D382" s="45">
        <v>1.6960999999999999</v>
      </c>
      <c r="E382" s="45">
        <v>1.9466876293297346</v>
      </c>
      <c r="F382" s="45">
        <v>5.5229999999999997</v>
      </c>
      <c r="G382" s="46">
        <v>0.69290240811153359</v>
      </c>
      <c r="H382" s="46">
        <v>0.64753075695641238</v>
      </c>
      <c r="I382" s="46">
        <v>4.5371651155121227E-2</v>
      </c>
      <c r="J382" s="47" t="s">
        <v>533</v>
      </c>
      <c r="K382" s="48"/>
      <c r="L382" s="48"/>
    </row>
    <row r="383" spans="1:12" s="43" customFormat="1" ht="15" x14ac:dyDescent="0.25">
      <c r="A383" s="38" t="s">
        <v>650</v>
      </c>
      <c r="B383" s="39" t="s">
        <v>291</v>
      </c>
      <c r="C383" s="39" t="s">
        <v>1685</v>
      </c>
      <c r="D383" s="40">
        <v>1.1892</v>
      </c>
      <c r="E383" s="40">
        <v>0.92779999999999996</v>
      </c>
      <c r="F383" s="40">
        <v>3.7090000000000001</v>
      </c>
      <c r="G383" s="41">
        <v>0.67936326053743201</v>
      </c>
      <c r="H383" s="41">
        <v>0.74985171205176604</v>
      </c>
      <c r="I383" s="41">
        <v>-7.0488451514334499E-2</v>
      </c>
      <c r="J383" s="42" t="s">
        <v>532</v>
      </c>
    </row>
    <row r="384" spans="1:12" x14ac:dyDescent="0.25">
      <c r="A384" s="44">
        <v>2018</v>
      </c>
      <c r="B384" s="44" t="s">
        <v>291</v>
      </c>
      <c r="C384" s="44" t="s">
        <v>1685</v>
      </c>
      <c r="D384" s="45">
        <v>1.1892</v>
      </c>
      <c r="E384" s="45">
        <v>0.92780000000000007</v>
      </c>
      <c r="F384" s="45">
        <v>3.7090000000000001</v>
      </c>
      <c r="G384" s="46">
        <v>0.67936326053743157</v>
      </c>
      <c r="H384" s="46">
        <v>0.74985171205176604</v>
      </c>
      <c r="I384" s="46">
        <v>-7.0488451514334471E-2</v>
      </c>
      <c r="J384" s="47" t="s">
        <v>533</v>
      </c>
      <c r="K384" s="48"/>
      <c r="L384" s="48"/>
    </row>
    <row r="385" spans="1:12" s="43" customFormat="1" ht="15" x14ac:dyDescent="0.25">
      <c r="A385" s="38" t="s">
        <v>653</v>
      </c>
      <c r="B385" s="39" t="s">
        <v>292</v>
      </c>
      <c r="C385" s="39" t="s">
        <v>1453</v>
      </c>
      <c r="D385" s="40">
        <v>0.86909999999999998</v>
      </c>
      <c r="E385" s="40">
        <v>0.87260000000000004</v>
      </c>
      <c r="F385" s="40">
        <v>3.319</v>
      </c>
      <c r="G385" s="41">
        <v>0.73814401928291595</v>
      </c>
      <c r="H385" s="41">
        <v>0.73708948478457403</v>
      </c>
      <c r="I385" s="41">
        <v>1.0545344983429201E-3</v>
      </c>
      <c r="J385" s="42" t="s">
        <v>532</v>
      </c>
    </row>
    <row r="386" spans="1:12" x14ac:dyDescent="0.25">
      <c r="A386" s="44">
        <v>2018</v>
      </c>
      <c r="B386" s="44" t="s">
        <v>292</v>
      </c>
      <c r="C386" s="44" t="s">
        <v>1453</v>
      </c>
      <c r="D386" s="45">
        <v>0.86909999999999998</v>
      </c>
      <c r="E386" s="45">
        <v>0.87260000000000004</v>
      </c>
      <c r="F386" s="45">
        <v>3.319</v>
      </c>
      <c r="G386" s="46">
        <v>0.73814401928291651</v>
      </c>
      <c r="H386" s="46">
        <v>0.73708948478457359</v>
      </c>
      <c r="I386" s="46">
        <v>1.0545344983429183E-3</v>
      </c>
      <c r="J386" s="47" t="s">
        <v>533</v>
      </c>
      <c r="K386" s="48"/>
      <c r="L386" s="48"/>
    </row>
    <row r="387" spans="1:12" s="43" customFormat="1" ht="15" x14ac:dyDescent="0.25">
      <c r="A387" s="38" t="s">
        <v>646</v>
      </c>
      <c r="B387" s="39" t="s">
        <v>293</v>
      </c>
      <c r="C387" s="39" t="s">
        <v>1692</v>
      </c>
      <c r="D387" s="40">
        <v>1.9312</v>
      </c>
      <c r="E387" s="40">
        <v>2.3363999999999998</v>
      </c>
      <c r="F387" s="40">
        <v>7.2750000000000004</v>
      </c>
      <c r="G387" s="41">
        <v>0.73454295532645997</v>
      </c>
      <c r="H387" s="41">
        <v>0.67884536082474201</v>
      </c>
      <c r="I387" s="41">
        <v>5.5697594501718101E-2</v>
      </c>
      <c r="J387" s="42" t="s">
        <v>532</v>
      </c>
    </row>
    <row r="388" spans="1:12" x14ac:dyDescent="0.25">
      <c r="A388" s="44">
        <v>2018</v>
      </c>
      <c r="B388" s="44" t="s">
        <v>293</v>
      </c>
      <c r="C388" s="44" t="s">
        <v>1692</v>
      </c>
      <c r="D388" s="45">
        <v>1.9312000000000002</v>
      </c>
      <c r="E388" s="45">
        <v>2.3363999999999998</v>
      </c>
      <c r="F388" s="45">
        <v>7.2750000000000004</v>
      </c>
      <c r="G388" s="46">
        <v>0.73454295532646052</v>
      </c>
      <c r="H388" s="46">
        <v>0.67884536082474234</v>
      </c>
      <c r="I388" s="46">
        <v>5.5697594501718073E-2</v>
      </c>
      <c r="J388" s="47" t="s">
        <v>533</v>
      </c>
      <c r="K388" s="48"/>
      <c r="L388" s="48"/>
    </row>
    <row r="389" spans="1:12" s="43" customFormat="1" ht="15" x14ac:dyDescent="0.25">
      <c r="A389" s="38" t="s">
        <v>589</v>
      </c>
      <c r="B389" s="39" t="s">
        <v>295</v>
      </c>
      <c r="C389" s="39" t="s">
        <v>1762</v>
      </c>
      <c r="D389" s="40">
        <v>2.839</v>
      </c>
      <c r="E389" s="40">
        <v>3.0061</v>
      </c>
      <c r="F389" s="40"/>
      <c r="G389" s="41"/>
      <c r="H389" s="41"/>
      <c r="I389" s="41"/>
      <c r="J389" s="42" t="s">
        <v>532</v>
      </c>
    </row>
    <row r="390" spans="1:12" x14ac:dyDescent="0.25">
      <c r="A390" s="44">
        <v>2018</v>
      </c>
      <c r="B390" s="44" t="s">
        <v>295</v>
      </c>
      <c r="C390" s="44" t="s">
        <v>1762</v>
      </c>
      <c r="D390" s="45">
        <v>2.839</v>
      </c>
      <c r="E390" s="45">
        <v>3.0061</v>
      </c>
      <c r="F390" s="45"/>
      <c r="J390" s="47" t="s">
        <v>533</v>
      </c>
      <c r="K390" s="48"/>
      <c r="L390" s="48"/>
    </row>
    <row r="391" spans="1:12" s="43" customFormat="1" ht="15" x14ac:dyDescent="0.25">
      <c r="A391" s="38" t="s">
        <v>534</v>
      </c>
      <c r="B391" s="39" t="s">
        <v>296</v>
      </c>
      <c r="C391" s="39" t="s">
        <v>1739</v>
      </c>
      <c r="D391" s="40">
        <v>1.9202999999999999</v>
      </c>
      <c r="E391" s="40">
        <v>1.9798</v>
      </c>
      <c r="F391" s="40">
        <v>5.5810000000000004</v>
      </c>
      <c r="G391" s="41">
        <v>0.65592187779967803</v>
      </c>
      <c r="H391" s="41">
        <v>0.64526070596667295</v>
      </c>
      <c r="I391" s="41">
        <v>1.06611718330049E-2</v>
      </c>
      <c r="J391" s="42" t="s">
        <v>532</v>
      </c>
    </row>
    <row r="392" spans="1:12" s="43" customFormat="1" ht="15" x14ac:dyDescent="0.25">
      <c r="A392" s="38" t="s">
        <v>657</v>
      </c>
      <c r="B392" s="39" t="s">
        <v>296</v>
      </c>
      <c r="C392" s="39" t="s">
        <v>1769</v>
      </c>
      <c r="D392" s="40">
        <v>1.9202999999999999</v>
      </c>
      <c r="E392" s="40">
        <v>2.3331</v>
      </c>
      <c r="F392" s="40">
        <v>5.5810000000000004</v>
      </c>
      <c r="G392" s="41">
        <v>0.65592187779967803</v>
      </c>
      <c r="H392" s="41">
        <v>0.58195663859523405</v>
      </c>
      <c r="I392" s="41">
        <v>7.3965239204443603E-2</v>
      </c>
      <c r="J392" s="42" t="s">
        <v>532</v>
      </c>
    </row>
    <row r="393" spans="1:12" x14ac:dyDescent="0.25">
      <c r="A393" s="44">
        <v>2018</v>
      </c>
      <c r="B393" s="44" t="s">
        <v>296</v>
      </c>
      <c r="C393" s="44" t="s">
        <v>1996</v>
      </c>
      <c r="D393" s="45">
        <v>1.9202999999999999</v>
      </c>
      <c r="E393" s="45">
        <v>2.0551511203319501</v>
      </c>
      <c r="F393" s="45">
        <v>5.5810000000000004</v>
      </c>
      <c r="G393" s="46">
        <v>0.65592187779967748</v>
      </c>
      <c r="H393" s="46">
        <v>0.63175934056048189</v>
      </c>
      <c r="I393" s="46">
        <v>2.4162537239195536E-2</v>
      </c>
      <c r="J393" s="47" t="s">
        <v>533</v>
      </c>
      <c r="K393" s="48"/>
      <c r="L393" s="48"/>
    </row>
    <row r="394" spans="1:12" s="43" customFormat="1" ht="15" x14ac:dyDescent="0.25">
      <c r="A394" s="38" t="s">
        <v>543</v>
      </c>
      <c r="B394" s="39" t="s">
        <v>297</v>
      </c>
      <c r="C394" s="39" t="s">
        <v>1651</v>
      </c>
      <c r="D394" s="40">
        <v>0.46899999999999997</v>
      </c>
      <c r="E394" s="40">
        <v>0.52429999999999999</v>
      </c>
      <c r="F394" s="40">
        <v>1.3340000000000001</v>
      </c>
      <c r="G394" s="41">
        <v>0.64842578710644705</v>
      </c>
      <c r="H394" s="41">
        <v>0.60697151424287799</v>
      </c>
      <c r="I394" s="41">
        <v>4.1454272863568203E-2</v>
      </c>
      <c r="J394" s="42" t="s">
        <v>532</v>
      </c>
    </row>
    <row r="395" spans="1:12" x14ac:dyDescent="0.25">
      <c r="A395" s="44">
        <v>2018</v>
      </c>
      <c r="B395" s="44" t="s">
        <v>297</v>
      </c>
      <c r="C395" s="44" t="s">
        <v>1651</v>
      </c>
      <c r="D395" s="45">
        <v>0.46899999999999992</v>
      </c>
      <c r="E395" s="45">
        <v>0.52429999999999999</v>
      </c>
      <c r="F395" s="45">
        <v>1.3340000000000001</v>
      </c>
      <c r="G395" s="46">
        <v>0.64842578710644672</v>
      </c>
      <c r="H395" s="46">
        <v>0.60697151424287854</v>
      </c>
      <c r="I395" s="46">
        <v>4.1454272863568176E-2</v>
      </c>
      <c r="J395" s="47" t="s">
        <v>533</v>
      </c>
      <c r="K395" s="48"/>
      <c r="L395" s="48"/>
    </row>
    <row r="396" spans="1:12" s="43" customFormat="1" ht="15" x14ac:dyDescent="0.25">
      <c r="A396" s="38" t="s">
        <v>543</v>
      </c>
      <c r="B396" s="39" t="s">
        <v>298</v>
      </c>
      <c r="C396" s="39" t="s">
        <v>977</v>
      </c>
      <c r="D396" s="40">
        <v>0.22220000000000001</v>
      </c>
      <c r="E396" s="40">
        <v>0.24629999999999999</v>
      </c>
      <c r="F396" s="40">
        <v>0.63300000000000001</v>
      </c>
      <c r="G396" s="41">
        <v>0.64897314375987403</v>
      </c>
      <c r="H396" s="41">
        <v>0.61090047393364899</v>
      </c>
      <c r="I396" s="41">
        <v>3.8072669826224301E-2</v>
      </c>
      <c r="J396" s="42" t="s">
        <v>532</v>
      </c>
    </row>
    <row r="397" spans="1:12" x14ac:dyDescent="0.25">
      <c r="A397" s="44">
        <v>2018</v>
      </c>
      <c r="B397" s="44" t="s">
        <v>298</v>
      </c>
      <c r="C397" s="44" t="s">
        <v>977</v>
      </c>
      <c r="D397" s="45">
        <v>0.22220000000000001</v>
      </c>
      <c r="E397" s="45">
        <v>0.24629999999999999</v>
      </c>
      <c r="F397" s="45">
        <v>0.63300000000000001</v>
      </c>
      <c r="G397" s="46">
        <v>0.64897314375987358</v>
      </c>
      <c r="H397" s="46">
        <v>0.61090047393364932</v>
      </c>
      <c r="I397" s="46">
        <v>3.8072669826224259E-2</v>
      </c>
      <c r="J397" s="47" t="s">
        <v>533</v>
      </c>
      <c r="K397" s="48"/>
      <c r="L397" s="48"/>
    </row>
    <row r="398" spans="1:12" s="43" customFormat="1" ht="15" x14ac:dyDescent="0.25">
      <c r="A398" s="38" t="s">
        <v>637</v>
      </c>
      <c r="B398" s="39" t="s">
        <v>299</v>
      </c>
      <c r="C398" s="39" t="s">
        <v>972</v>
      </c>
      <c r="D398" s="40">
        <v>2.4599000000000002</v>
      </c>
      <c r="E398" s="40">
        <v>2.1171000000000002</v>
      </c>
      <c r="F398" s="40"/>
      <c r="G398" s="41"/>
      <c r="H398" s="41"/>
      <c r="I398" s="41"/>
      <c r="J398" s="42" t="s">
        <v>532</v>
      </c>
    </row>
    <row r="399" spans="1:12" x14ac:dyDescent="0.25">
      <c r="A399" s="44">
        <v>2018</v>
      </c>
      <c r="B399" s="44" t="s">
        <v>299</v>
      </c>
      <c r="C399" s="44" t="s">
        <v>972</v>
      </c>
      <c r="D399" s="45">
        <v>2.4599000000000002</v>
      </c>
      <c r="E399" s="45">
        <v>2.1171000000000002</v>
      </c>
      <c r="F399" s="45"/>
      <c r="J399" s="47" t="s">
        <v>533</v>
      </c>
      <c r="K399" s="48"/>
      <c r="L399" s="48"/>
    </row>
    <row r="400" spans="1:12" s="43" customFormat="1" ht="15" x14ac:dyDescent="0.25">
      <c r="A400" s="38" t="s">
        <v>637</v>
      </c>
      <c r="B400" s="39" t="s">
        <v>300</v>
      </c>
      <c r="C400" s="39" t="s">
        <v>1752</v>
      </c>
      <c r="D400" s="40">
        <v>1.6828000000000001</v>
      </c>
      <c r="E400" s="40">
        <v>1.9413</v>
      </c>
      <c r="F400" s="40"/>
      <c r="G400" s="41"/>
      <c r="H400" s="41"/>
      <c r="I400" s="41"/>
      <c r="J400" s="42" t="s">
        <v>532</v>
      </c>
    </row>
    <row r="401" spans="1:12" s="43" customFormat="1" ht="15" x14ac:dyDescent="0.25">
      <c r="A401" s="38" t="s">
        <v>560</v>
      </c>
      <c r="B401" s="39" t="s">
        <v>300</v>
      </c>
      <c r="C401" s="39" t="s">
        <v>1756</v>
      </c>
      <c r="D401" s="40">
        <v>1.6828000000000001</v>
      </c>
      <c r="E401" s="40">
        <v>1.5162</v>
      </c>
      <c r="F401" s="40"/>
      <c r="G401" s="41"/>
      <c r="H401" s="41"/>
      <c r="I401" s="41"/>
      <c r="J401" s="42" t="s">
        <v>532</v>
      </c>
    </row>
    <row r="402" spans="1:12" s="43" customFormat="1" ht="15" x14ac:dyDescent="0.25">
      <c r="A402" s="38" t="s">
        <v>659</v>
      </c>
      <c r="B402" s="39" t="s">
        <v>300</v>
      </c>
      <c r="C402" s="39" t="s">
        <v>1805</v>
      </c>
      <c r="D402" s="40">
        <v>1.6828000000000001</v>
      </c>
      <c r="E402" s="40">
        <v>0.95069999999999999</v>
      </c>
      <c r="F402" s="40"/>
      <c r="G402" s="41"/>
      <c r="H402" s="41"/>
      <c r="I402" s="41"/>
      <c r="J402" s="42" t="s">
        <v>532</v>
      </c>
    </row>
    <row r="403" spans="1:12" x14ac:dyDescent="0.25">
      <c r="A403" s="44">
        <v>2018</v>
      </c>
      <c r="B403" s="44" t="s">
        <v>300</v>
      </c>
      <c r="C403" s="44" t="s">
        <v>1998</v>
      </c>
      <c r="D403" s="45">
        <v>1.6827999999999999</v>
      </c>
      <c r="E403" s="45">
        <v>1.3898158347676421</v>
      </c>
      <c r="F403" s="45"/>
      <c r="J403" s="47" t="s">
        <v>533</v>
      </c>
      <c r="K403" s="48"/>
      <c r="L403" s="48"/>
    </row>
    <row r="404" spans="1:12" s="43" customFormat="1" ht="15" x14ac:dyDescent="0.25">
      <c r="A404" s="38" t="s">
        <v>651</v>
      </c>
      <c r="B404" s="39" t="s">
        <v>301</v>
      </c>
      <c r="C404" s="39" t="s">
        <v>1637</v>
      </c>
      <c r="D404" s="40">
        <v>0.40360000000000001</v>
      </c>
      <c r="E404" s="40">
        <v>0.41789999999999999</v>
      </c>
      <c r="F404" s="40">
        <v>1.341</v>
      </c>
      <c r="G404" s="41">
        <v>0.69903057419836001</v>
      </c>
      <c r="H404" s="41">
        <v>0.68836689038031296</v>
      </c>
      <c r="I404" s="41">
        <v>1.06636838180462E-2</v>
      </c>
      <c r="J404" s="42" t="s">
        <v>532</v>
      </c>
    </row>
    <row r="405" spans="1:12" s="43" customFormat="1" ht="15" x14ac:dyDescent="0.25">
      <c r="A405" s="38" t="s">
        <v>645</v>
      </c>
      <c r="B405" s="39" t="s">
        <v>301</v>
      </c>
      <c r="C405" s="39" t="s">
        <v>1665</v>
      </c>
      <c r="D405" s="40">
        <v>0.40360000000000001</v>
      </c>
      <c r="E405" s="40">
        <v>0.48209999999999997</v>
      </c>
      <c r="F405" s="40">
        <v>1.341</v>
      </c>
      <c r="G405" s="41">
        <v>0.69903057419836001</v>
      </c>
      <c r="H405" s="41">
        <v>0.64049217002237102</v>
      </c>
      <c r="I405" s="41">
        <v>5.8538404175988101E-2</v>
      </c>
      <c r="J405" s="42" t="s">
        <v>532</v>
      </c>
    </row>
    <row r="406" spans="1:12" s="43" customFormat="1" ht="15" x14ac:dyDescent="0.25">
      <c r="A406" s="38" t="s">
        <v>650</v>
      </c>
      <c r="B406" s="39" t="s">
        <v>301</v>
      </c>
      <c r="C406" s="39" t="s">
        <v>1686</v>
      </c>
      <c r="D406" s="40">
        <v>0.40360000000000001</v>
      </c>
      <c r="E406" s="40">
        <v>0.31540000000000001</v>
      </c>
      <c r="F406" s="40">
        <v>1.341</v>
      </c>
      <c r="G406" s="41">
        <v>0.69903057419836001</v>
      </c>
      <c r="H406" s="41">
        <v>0.76480238627889596</v>
      </c>
      <c r="I406" s="41">
        <v>-6.5771812080536798E-2</v>
      </c>
      <c r="J406" s="42" t="s">
        <v>532</v>
      </c>
    </row>
    <row r="407" spans="1:12" x14ac:dyDescent="0.25">
      <c r="A407" s="44">
        <v>2018</v>
      </c>
      <c r="B407" s="44" t="s">
        <v>301</v>
      </c>
      <c r="C407" s="44" t="s">
        <v>1984</v>
      </c>
      <c r="D407" s="45">
        <v>0.40360000000000007</v>
      </c>
      <c r="E407" s="45">
        <v>0.44208498269896196</v>
      </c>
      <c r="F407" s="45">
        <v>1.3410000000000002</v>
      </c>
      <c r="G407" s="46">
        <v>0.69903057419835946</v>
      </c>
      <c r="H407" s="46">
        <v>0.67033185481061741</v>
      </c>
      <c r="I407" s="46">
        <v>2.8698719387741954E-2</v>
      </c>
      <c r="J407" s="47" t="s">
        <v>533</v>
      </c>
      <c r="K407" s="48"/>
      <c r="L407" s="48"/>
    </row>
    <row r="408" spans="1:12" s="43" customFormat="1" ht="15" x14ac:dyDescent="0.25">
      <c r="A408" s="38" t="s">
        <v>645</v>
      </c>
      <c r="B408" s="39" t="s">
        <v>302</v>
      </c>
      <c r="C408" s="39" t="s">
        <v>1666</v>
      </c>
      <c r="D408" s="40">
        <v>0.17960000000000001</v>
      </c>
      <c r="E408" s="40">
        <v>0.23549999999999999</v>
      </c>
      <c r="F408" s="40">
        <v>0.63</v>
      </c>
      <c r="G408" s="41">
        <v>0.71492063492063496</v>
      </c>
      <c r="H408" s="41">
        <v>0.62619047619047596</v>
      </c>
      <c r="I408" s="41">
        <v>8.8730158730158798E-2</v>
      </c>
      <c r="J408" s="42" t="s">
        <v>532</v>
      </c>
    </row>
    <row r="409" spans="1:12" x14ac:dyDescent="0.25">
      <c r="A409" s="44">
        <v>2018</v>
      </c>
      <c r="B409" s="44" t="s">
        <v>302</v>
      </c>
      <c r="C409" s="44" t="s">
        <v>1666</v>
      </c>
      <c r="D409" s="45">
        <v>0.17960000000000001</v>
      </c>
      <c r="E409" s="45">
        <v>0.23549999999999999</v>
      </c>
      <c r="F409" s="45">
        <v>0.63</v>
      </c>
      <c r="G409" s="46">
        <v>0.71492063492063496</v>
      </c>
      <c r="H409" s="46">
        <v>0.62619047619047619</v>
      </c>
      <c r="I409" s="46">
        <v>8.873015873015877E-2</v>
      </c>
      <c r="J409" s="47" t="s">
        <v>533</v>
      </c>
      <c r="K409" s="48"/>
      <c r="L409" s="48"/>
    </row>
    <row r="410" spans="1:12" s="43" customFormat="1" ht="15" x14ac:dyDescent="0.25">
      <c r="A410" s="38" t="s">
        <v>565</v>
      </c>
      <c r="B410" s="39" t="s">
        <v>93</v>
      </c>
      <c r="C410" s="39" t="s">
        <v>789</v>
      </c>
      <c r="D410" s="40">
        <v>19.562899999999999</v>
      </c>
      <c r="E410" s="40">
        <v>17.831700000000001</v>
      </c>
      <c r="F410" s="40">
        <v>54.418999999999997</v>
      </c>
      <c r="G410" s="41">
        <v>0.64051342362042696</v>
      </c>
      <c r="H410" s="41">
        <v>0.67232584207721602</v>
      </c>
      <c r="I410" s="41">
        <v>-3.1812418456788998E-2</v>
      </c>
      <c r="J410" s="42" t="s">
        <v>532</v>
      </c>
    </row>
    <row r="411" spans="1:12" s="43" customFormat="1" ht="15" x14ac:dyDescent="0.25">
      <c r="A411" s="38" t="s">
        <v>672</v>
      </c>
      <c r="B411" s="39" t="s">
        <v>93</v>
      </c>
      <c r="C411" s="39" t="s">
        <v>804</v>
      </c>
      <c r="D411" s="40">
        <v>19.562899999999999</v>
      </c>
      <c r="E411" s="40">
        <v>18.264399999999998</v>
      </c>
      <c r="F411" s="40">
        <v>54.418999999999997</v>
      </c>
      <c r="G411" s="41">
        <v>0.64051342362042696</v>
      </c>
      <c r="H411" s="41">
        <v>0.66437457505650599</v>
      </c>
      <c r="I411" s="41">
        <v>-2.3861151436079399E-2</v>
      </c>
      <c r="J411" s="42" t="s">
        <v>532</v>
      </c>
    </row>
    <row r="412" spans="1:12" s="43" customFormat="1" ht="15" x14ac:dyDescent="0.25">
      <c r="A412" s="38" t="s">
        <v>608</v>
      </c>
      <c r="B412" s="39" t="s">
        <v>93</v>
      </c>
      <c r="C412" s="39" t="s">
        <v>941</v>
      </c>
      <c r="D412" s="40">
        <v>19.562899999999999</v>
      </c>
      <c r="E412" s="40">
        <v>18.3111</v>
      </c>
      <c r="F412" s="40">
        <v>54.418999999999997</v>
      </c>
      <c r="G412" s="41">
        <v>0.64051342362042696</v>
      </c>
      <c r="H412" s="41">
        <v>0.66351641889781099</v>
      </c>
      <c r="I412" s="41">
        <v>-2.30029952773847E-2</v>
      </c>
      <c r="J412" s="42" t="s">
        <v>532</v>
      </c>
    </row>
    <row r="413" spans="1:12" s="43" customFormat="1" ht="15" x14ac:dyDescent="0.25">
      <c r="A413" s="38" t="s">
        <v>681</v>
      </c>
      <c r="B413" s="39" t="s">
        <v>93</v>
      </c>
      <c r="C413" s="39" t="s">
        <v>960</v>
      </c>
      <c r="D413" s="40">
        <v>19.562899999999999</v>
      </c>
      <c r="E413" s="40">
        <v>18.720500000000001</v>
      </c>
      <c r="F413" s="40">
        <v>54.418999999999997</v>
      </c>
      <c r="G413" s="41">
        <v>0.64051342362042696</v>
      </c>
      <c r="H413" s="41">
        <v>0.65599331115970505</v>
      </c>
      <c r="I413" s="41">
        <v>-1.5479887539278399E-2</v>
      </c>
      <c r="J413" s="42" t="s">
        <v>532</v>
      </c>
    </row>
    <row r="414" spans="1:12" s="43" customFormat="1" ht="15" x14ac:dyDescent="0.25">
      <c r="A414" s="38" t="s">
        <v>686</v>
      </c>
      <c r="B414" s="39" t="s">
        <v>93</v>
      </c>
      <c r="C414" s="39" t="s">
        <v>1089</v>
      </c>
      <c r="D414" s="40">
        <v>19.562899999999999</v>
      </c>
      <c r="E414" s="40">
        <v>18.0458</v>
      </c>
      <c r="F414" s="40">
        <v>54.418999999999997</v>
      </c>
      <c r="G414" s="41">
        <v>0.64051342362042696</v>
      </c>
      <c r="H414" s="41">
        <v>0.66839155442033105</v>
      </c>
      <c r="I414" s="41">
        <v>-2.7878130799904401E-2</v>
      </c>
      <c r="J414" s="42" t="s">
        <v>532</v>
      </c>
    </row>
    <row r="415" spans="1:12" s="43" customFormat="1" ht="15" x14ac:dyDescent="0.25">
      <c r="A415" s="38" t="s">
        <v>687</v>
      </c>
      <c r="B415" s="39" t="s">
        <v>93</v>
      </c>
      <c r="C415" s="39" t="s">
        <v>1101</v>
      </c>
      <c r="D415" s="40">
        <v>19.562899999999999</v>
      </c>
      <c r="E415" s="40">
        <v>17.09</v>
      </c>
      <c r="F415" s="40">
        <v>54.418999999999997</v>
      </c>
      <c r="G415" s="41">
        <v>0.64051342362042696</v>
      </c>
      <c r="H415" s="41">
        <v>0.68595527297451198</v>
      </c>
      <c r="I415" s="41">
        <v>-4.5441849354085802E-2</v>
      </c>
      <c r="J415" s="42" t="s">
        <v>532</v>
      </c>
    </row>
    <row r="416" spans="1:12" s="43" customFormat="1" ht="15" x14ac:dyDescent="0.25">
      <c r="A416" s="38" t="s">
        <v>694</v>
      </c>
      <c r="B416" s="39" t="s">
        <v>93</v>
      </c>
      <c r="C416" s="39" t="s">
        <v>1168</v>
      </c>
      <c r="D416" s="40">
        <v>18.026199999999999</v>
      </c>
      <c r="E416" s="40">
        <v>18.396599999999999</v>
      </c>
      <c r="F416" s="40">
        <v>54.418999999999997</v>
      </c>
      <c r="G416" s="41">
        <v>0.66875172274389405</v>
      </c>
      <c r="H416" s="41">
        <v>0.66194527646594004</v>
      </c>
      <c r="I416" s="41">
        <v>6.8064462779543504E-3</v>
      </c>
      <c r="J416" s="42" t="s">
        <v>532</v>
      </c>
    </row>
    <row r="417" spans="1:12" s="43" customFormat="1" ht="15" x14ac:dyDescent="0.25">
      <c r="A417" s="38" t="s">
        <v>629</v>
      </c>
      <c r="B417" s="39" t="s">
        <v>93</v>
      </c>
      <c r="C417" s="39" t="s">
        <v>1228</v>
      </c>
      <c r="D417" s="40">
        <v>18.026199999999999</v>
      </c>
      <c r="E417" s="40">
        <v>18.1343</v>
      </c>
      <c r="F417" s="40">
        <v>54.418999999999997</v>
      </c>
      <c r="G417" s="41">
        <v>0.66875172274389405</v>
      </c>
      <c r="H417" s="41">
        <v>0.66676528418383296</v>
      </c>
      <c r="I417" s="41">
        <v>1.98643856006164E-3</v>
      </c>
      <c r="J417" s="42" t="s">
        <v>532</v>
      </c>
    </row>
    <row r="418" spans="1:12" s="43" customFormat="1" ht="15" x14ac:dyDescent="0.25">
      <c r="A418" s="38" t="s">
        <v>700</v>
      </c>
      <c r="B418" s="39" t="s">
        <v>93</v>
      </c>
      <c r="C418" s="39" t="s">
        <v>1232</v>
      </c>
      <c r="D418" s="40">
        <v>18.026199999999999</v>
      </c>
      <c r="E418" s="40">
        <v>18.506799999999998</v>
      </c>
      <c r="F418" s="40">
        <v>54.418999999999997</v>
      </c>
      <c r="G418" s="41">
        <v>0.66875172274389405</v>
      </c>
      <c r="H418" s="41">
        <v>0.65992024844263997</v>
      </c>
      <c r="I418" s="41">
        <v>8.8314743012549695E-3</v>
      </c>
      <c r="J418" s="42" t="s">
        <v>532</v>
      </c>
    </row>
    <row r="419" spans="1:12" s="43" customFormat="1" ht="15" x14ac:dyDescent="0.25">
      <c r="A419" s="38" t="s">
        <v>603</v>
      </c>
      <c r="B419" s="39" t="s">
        <v>93</v>
      </c>
      <c r="C419" s="39" t="s">
        <v>796</v>
      </c>
      <c r="D419" s="40">
        <v>18.026199999999999</v>
      </c>
      <c r="E419" s="40">
        <v>18.506900000000002</v>
      </c>
      <c r="F419" s="40">
        <v>55.122999999999998</v>
      </c>
      <c r="G419" s="41">
        <v>0.67298223971844795</v>
      </c>
      <c r="H419" s="41">
        <v>0.66426174192260901</v>
      </c>
      <c r="I419" s="41"/>
      <c r="J419" s="42" t="s">
        <v>532</v>
      </c>
    </row>
    <row r="420" spans="1:12" s="43" customFormat="1" ht="15" x14ac:dyDescent="0.25">
      <c r="A420" s="38" t="s">
        <v>619</v>
      </c>
      <c r="B420" s="39" t="s">
        <v>93</v>
      </c>
      <c r="C420" s="39" t="s">
        <v>1429</v>
      </c>
      <c r="D420" s="40">
        <v>18.026199999999999</v>
      </c>
      <c r="E420" s="40">
        <v>18.3965</v>
      </c>
      <c r="F420" s="40">
        <v>55.122999999999998</v>
      </c>
      <c r="G420" s="41">
        <v>0.67298223971844795</v>
      </c>
      <c r="H420" s="41">
        <v>0.66626453567476396</v>
      </c>
      <c r="I420" s="41"/>
      <c r="J420" s="42" t="s">
        <v>532</v>
      </c>
    </row>
    <row r="421" spans="1:12" s="43" customFormat="1" ht="15" x14ac:dyDescent="0.25">
      <c r="A421" s="38" t="s">
        <v>558</v>
      </c>
      <c r="B421" s="39" t="s">
        <v>93</v>
      </c>
      <c r="C421" s="39" t="s">
        <v>1440</v>
      </c>
      <c r="D421" s="40">
        <v>18.026199999999999</v>
      </c>
      <c r="E421" s="40">
        <v>17.577200000000001</v>
      </c>
      <c r="F421" s="40">
        <v>55.122999999999998</v>
      </c>
      <c r="G421" s="41">
        <v>0.67298223971844795</v>
      </c>
      <c r="H421" s="41">
        <v>0.68112765996045199</v>
      </c>
      <c r="I421" s="41">
        <v>-8.1454202420041498E-3</v>
      </c>
      <c r="J421" s="42" t="s">
        <v>532</v>
      </c>
    </row>
    <row r="422" spans="1:12" s="43" customFormat="1" ht="15" x14ac:dyDescent="0.25">
      <c r="A422" s="38" t="s">
        <v>563</v>
      </c>
      <c r="B422" s="39" t="s">
        <v>93</v>
      </c>
      <c r="C422" s="39" t="s">
        <v>1460</v>
      </c>
      <c r="D422" s="40">
        <v>18.026199999999999</v>
      </c>
      <c r="E422" s="40">
        <v>18.506900000000002</v>
      </c>
      <c r="F422" s="40">
        <v>55.122999999999998</v>
      </c>
      <c r="G422" s="41">
        <v>0.67298223971844795</v>
      </c>
      <c r="H422" s="41">
        <v>0.66426174192260901</v>
      </c>
      <c r="I422" s="41">
        <v>8.7204977958386092E-3</v>
      </c>
      <c r="J422" s="42" t="s">
        <v>532</v>
      </c>
    </row>
    <row r="423" spans="1:12" s="43" customFormat="1" ht="15" x14ac:dyDescent="0.25">
      <c r="A423" s="38" t="s">
        <v>638</v>
      </c>
      <c r="B423" s="39" t="s">
        <v>93</v>
      </c>
      <c r="C423" s="39" t="s">
        <v>1499</v>
      </c>
      <c r="D423" s="40">
        <v>18.026199999999999</v>
      </c>
      <c r="E423" s="40">
        <v>17.9238</v>
      </c>
      <c r="F423" s="40">
        <v>55.122999999999998</v>
      </c>
      <c r="G423" s="41">
        <v>0.67298223971844795</v>
      </c>
      <c r="H423" s="41">
        <v>0.67483990348856204</v>
      </c>
      <c r="I423" s="41">
        <v>-1.85766377011398E-3</v>
      </c>
      <c r="J423" s="42" t="s">
        <v>532</v>
      </c>
    </row>
    <row r="424" spans="1:12" s="43" customFormat="1" ht="15" x14ac:dyDescent="0.25">
      <c r="A424" s="38" t="s">
        <v>548</v>
      </c>
      <c r="B424" s="39" t="s">
        <v>93</v>
      </c>
      <c r="C424" s="39" t="s">
        <v>827</v>
      </c>
      <c r="D424" s="40">
        <v>18.026199999999999</v>
      </c>
      <c r="E424" s="40">
        <v>18.3216</v>
      </c>
      <c r="F424" s="40">
        <v>55.122999999999998</v>
      </c>
      <c r="G424" s="41">
        <v>0.67298223971844795</v>
      </c>
      <c r="H424" s="41">
        <v>0.66762331513161499</v>
      </c>
      <c r="I424" s="41">
        <v>5.3589245868331803E-3</v>
      </c>
      <c r="J424" s="42" t="s">
        <v>532</v>
      </c>
    </row>
    <row r="425" spans="1:12" x14ac:dyDescent="0.25">
      <c r="A425" s="44">
        <v>2018</v>
      </c>
      <c r="B425" s="44" t="s">
        <v>93</v>
      </c>
      <c r="C425" s="44" t="s">
        <v>1847</v>
      </c>
      <c r="D425" s="45">
        <v>18.83293762636081</v>
      </c>
      <c r="E425" s="45">
        <v>18.212621656298602</v>
      </c>
      <c r="F425" s="45">
        <v>54.553531881804041</v>
      </c>
      <c r="G425" s="46">
        <v>0.65473560132147246</v>
      </c>
      <c r="H425" s="46">
        <v>0.66613582012493233</v>
      </c>
      <c r="I425" s="46">
        <v>-1.1709432209960527E-2</v>
      </c>
      <c r="J425" s="47" t="s">
        <v>533</v>
      </c>
      <c r="K425" s="48"/>
      <c r="L425" s="48"/>
    </row>
    <row r="426" spans="1:12" s="43" customFormat="1" ht="15" x14ac:dyDescent="0.25">
      <c r="A426" s="38" t="s">
        <v>655</v>
      </c>
      <c r="B426" s="39" t="s">
        <v>323</v>
      </c>
      <c r="C426" s="39" t="s">
        <v>1748</v>
      </c>
      <c r="D426" s="40">
        <v>3.2764000000000002</v>
      </c>
      <c r="E426" s="40">
        <v>3.3487</v>
      </c>
      <c r="F426" s="40">
        <v>8.2469999999999999</v>
      </c>
      <c r="G426" s="41">
        <v>0.60271613920213396</v>
      </c>
      <c r="H426" s="41">
        <v>0.593949314902389</v>
      </c>
      <c r="I426" s="41">
        <v>8.7668242997452905E-3</v>
      </c>
      <c r="J426" s="42" t="s">
        <v>532</v>
      </c>
    </row>
    <row r="427" spans="1:12" x14ac:dyDescent="0.25">
      <c r="A427" s="44">
        <v>2018</v>
      </c>
      <c r="B427" s="44" t="s">
        <v>323</v>
      </c>
      <c r="C427" s="44" t="s">
        <v>1748</v>
      </c>
      <c r="D427" s="45">
        <v>3.2764000000000002</v>
      </c>
      <c r="E427" s="45">
        <v>3.3487000000000005</v>
      </c>
      <c r="F427" s="45">
        <v>8.2469999999999999</v>
      </c>
      <c r="G427" s="46">
        <v>0.60271613920213407</v>
      </c>
      <c r="H427" s="46">
        <v>0.59394931490238878</v>
      </c>
      <c r="I427" s="46">
        <v>8.7668242997452905E-3</v>
      </c>
      <c r="J427" s="47" t="s">
        <v>533</v>
      </c>
      <c r="K427" s="48"/>
      <c r="L427" s="48"/>
    </row>
    <row r="428" spans="1:12" s="43" customFormat="1" ht="15" x14ac:dyDescent="0.25">
      <c r="A428" s="38" t="s">
        <v>544</v>
      </c>
      <c r="B428" s="39" t="s">
        <v>324</v>
      </c>
      <c r="C428" s="39" t="s">
        <v>1575</v>
      </c>
      <c r="D428" s="40">
        <v>2.1728000000000001</v>
      </c>
      <c r="E428" s="40">
        <v>2.1974999999999998</v>
      </c>
      <c r="F428" s="40">
        <v>5.734</v>
      </c>
      <c r="G428" s="41">
        <v>0.62106731775375001</v>
      </c>
      <c r="H428" s="41">
        <v>0.61675967910708096</v>
      </c>
      <c r="I428" s="41">
        <v>4.3076386466689397E-3</v>
      </c>
      <c r="J428" s="42" t="s">
        <v>532</v>
      </c>
    </row>
    <row r="429" spans="1:12" x14ac:dyDescent="0.25">
      <c r="A429" s="44">
        <v>2018</v>
      </c>
      <c r="B429" s="44" t="s">
        <v>324</v>
      </c>
      <c r="C429" s="44" t="s">
        <v>1575</v>
      </c>
      <c r="D429" s="45">
        <v>2.1728000000000001</v>
      </c>
      <c r="E429" s="45">
        <v>2.1974999999999998</v>
      </c>
      <c r="F429" s="45">
        <v>5.734</v>
      </c>
      <c r="G429" s="46">
        <v>0.62106731775374957</v>
      </c>
      <c r="H429" s="46">
        <v>0.61675967910708063</v>
      </c>
      <c r="I429" s="46">
        <v>4.3076386466689431E-3</v>
      </c>
      <c r="J429" s="47" t="s">
        <v>533</v>
      </c>
      <c r="K429" s="48"/>
      <c r="L429" s="48"/>
    </row>
    <row r="430" spans="1:12" s="43" customFormat="1" ht="15" x14ac:dyDescent="0.25">
      <c r="A430" s="38" t="s">
        <v>651</v>
      </c>
      <c r="B430" s="39" t="s">
        <v>325</v>
      </c>
      <c r="C430" s="39" t="s">
        <v>1616</v>
      </c>
      <c r="D430" s="40">
        <v>0.50309999999999999</v>
      </c>
      <c r="E430" s="40">
        <v>0.56159999999999999</v>
      </c>
      <c r="F430" s="40">
        <v>1.3340000000000001</v>
      </c>
      <c r="G430" s="41">
        <v>0.62286356821589195</v>
      </c>
      <c r="H430" s="41">
        <v>0.57901049475262401</v>
      </c>
      <c r="I430" s="41">
        <v>4.3853073463268402E-2</v>
      </c>
      <c r="J430" s="42" t="s">
        <v>532</v>
      </c>
    </row>
    <row r="431" spans="1:12" x14ac:dyDescent="0.25">
      <c r="A431" s="44">
        <v>2018</v>
      </c>
      <c r="B431" s="44" t="s">
        <v>325</v>
      </c>
      <c r="C431" s="44" t="s">
        <v>1616</v>
      </c>
      <c r="D431" s="45">
        <v>0.50309999999999999</v>
      </c>
      <c r="E431" s="45">
        <v>0.56159999999999999</v>
      </c>
      <c r="F431" s="45">
        <v>1.3340000000000001</v>
      </c>
      <c r="G431" s="46">
        <v>0.62286356821589206</v>
      </c>
      <c r="H431" s="46">
        <v>0.57901049475262367</v>
      </c>
      <c r="I431" s="46">
        <v>4.3853073463268381E-2</v>
      </c>
      <c r="J431" s="47" t="s">
        <v>533</v>
      </c>
      <c r="K431" s="48"/>
      <c r="L431" s="48"/>
    </row>
    <row r="432" spans="1:12" s="43" customFormat="1" ht="15" x14ac:dyDescent="0.25">
      <c r="A432" s="38" t="s">
        <v>651</v>
      </c>
      <c r="B432" s="39" t="s">
        <v>326</v>
      </c>
      <c r="C432" s="39" t="s">
        <v>1659</v>
      </c>
      <c r="D432" s="40">
        <v>0.23130000000000001</v>
      </c>
      <c r="E432" s="40">
        <v>0.26629999999999998</v>
      </c>
      <c r="F432" s="40">
        <v>0.68</v>
      </c>
      <c r="G432" s="41">
        <v>0.65985294117647098</v>
      </c>
      <c r="H432" s="41">
        <v>0.60838235294117604</v>
      </c>
      <c r="I432" s="41">
        <v>5.1470588235294198E-2</v>
      </c>
      <c r="J432" s="42" t="s">
        <v>532</v>
      </c>
    </row>
    <row r="433" spans="1:12" x14ac:dyDescent="0.25">
      <c r="A433" s="44">
        <v>2018</v>
      </c>
      <c r="B433" s="44" t="s">
        <v>326</v>
      </c>
      <c r="C433" s="44" t="s">
        <v>1659</v>
      </c>
      <c r="D433" s="45">
        <v>0.23130000000000001</v>
      </c>
      <c r="E433" s="45">
        <v>0.26629999999999998</v>
      </c>
      <c r="F433" s="45">
        <v>0.68</v>
      </c>
      <c r="G433" s="46">
        <v>0.65985294117647064</v>
      </c>
      <c r="H433" s="46">
        <v>0.60838235294117649</v>
      </c>
      <c r="I433" s="46">
        <v>5.1470588235294157E-2</v>
      </c>
      <c r="J433" s="47" t="s">
        <v>533</v>
      </c>
      <c r="K433" s="48"/>
      <c r="L433" s="48"/>
    </row>
    <row r="434" spans="1:12" s="43" customFormat="1" ht="15" x14ac:dyDescent="0.25">
      <c r="A434" s="38" t="s">
        <v>655</v>
      </c>
      <c r="B434" s="39" t="s">
        <v>327</v>
      </c>
      <c r="C434" s="39" t="s">
        <v>1067</v>
      </c>
      <c r="D434" s="40">
        <v>2.7835000000000001</v>
      </c>
      <c r="E434" s="40">
        <v>2.9956</v>
      </c>
      <c r="F434" s="40">
        <v>8.1999999999999993</v>
      </c>
      <c r="G434" s="41">
        <v>0.66054878048780497</v>
      </c>
      <c r="H434" s="41">
        <v>0.63468292682926797</v>
      </c>
      <c r="I434" s="41">
        <v>2.5865853658536601E-2</v>
      </c>
      <c r="J434" s="42" t="s">
        <v>532</v>
      </c>
    </row>
    <row r="435" spans="1:12" x14ac:dyDescent="0.25">
      <c r="A435" s="44">
        <v>2018</v>
      </c>
      <c r="B435" s="44" t="s">
        <v>327</v>
      </c>
      <c r="C435" s="44" t="s">
        <v>1067</v>
      </c>
      <c r="D435" s="45">
        <v>2.7835000000000001</v>
      </c>
      <c r="E435" s="45">
        <v>2.9956</v>
      </c>
      <c r="F435" s="45">
        <v>8.1999999999999993</v>
      </c>
      <c r="G435" s="46">
        <v>0.66054878048780485</v>
      </c>
      <c r="H435" s="46">
        <v>0.6346829268292683</v>
      </c>
      <c r="I435" s="46">
        <v>2.5865853658536553E-2</v>
      </c>
      <c r="J435" s="47" t="s">
        <v>533</v>
      </c>
      <c r="K435" s="48"/>
      <c r="L435" s="48"/>
    </row>
    <row r="436" spans="1:12" s="43" customFormat="1" ht="15" x14ac:dyDescent="0.25">
      <c r="A436" s="38" t="s">
        <v>544</v>
      </c>
      <c r="B436" s="39" t="s">
        <v>328</v>
      </c>
      <c r="C436" s="39" t="s">
        <v>1732</v>
      </c>
      <c r="D436" s="40">
        <v>1.8609</v>
      </c>
      <c r="E436" s="40">
        <v>1.8374999999999999</v>
      </c>
      <c r="F436" s="40">
        <v>5.7569999999999997</v>
      </c>
      <c r="G436" s="41">
        <v>0.67675872850442997</v>
      </c>
      <c r="H436" s="41">
        <v>0.68082334549244405</v>
      </c>
      <c r="I436" s="41">
        <v>-4.0646169880145201E-3</v>
      </c>
      <c r="J436" s="42" t="s">
        <v>532</v>
      </c>
    </row>
    <row r="437" spans="1:12" x14ac:dyDescent="0.25">
      <c r="A437" s="44">
        <v>2018</v>
      </c>
      <c r="B437" s="44" t="s">
        <v>328</v>
      </c>
      <c r="C437" s="44" t="s">
        <v>1732</v>
      </c>
      <c r="D437" s="45">
        <v>1.8608999999999998</v>
      </c>
      <c r="E437" s="45">
        <v>1.8375000000000001</v>
      </c>
      <c r="F437" s="45">
        <v>5.7569999999999997</v>
      </c>
      <c r="G437" s="46">
        <v>0.67675872850442942</v>
      </c>
      <c r="H437" s="46">
        <v>0.68082334549244394</v>
      </c>
      <c r="I437" s="46">
        <v>-4.0646169880145244E-3</v>
      </c>
      <c r="J437" s="47" t="s">
        <v>533</v>
      </c>
      <c r="K437" s="48"/>
      <c r="L437" s="48"/>
    </row>
    <row r="438" spans="1:12" s="43" customFormat="1" ht="15" x14ac:dyDescent="0.25">
      <c r="A438" s="38" t="s">
        <v>651</v>
      </c>
      <c r="B438" s="39" t="s">
        <v>329</v>
      </c>
      <c r="C438" s="39" t="s">
        <v>863</v>
      </c>
      <c r="D438" s="40">
        <v>0.4546</v>
      </c>
      <c r="E438" s="40">
        <v>0.49009999999999998</v>
      </c>
      <c r="F438" s="40">
        <v>1.341</v>
      </c>
      <c r="G438" s="41">
        <v>0.66099925428784501</v>
      </c>
      <c r="H438" s="41">
        <v>0.63452647278150598</v>
      </c>
      <c r="I438" s="41">
        <v>2.64727815063386E-2</v>
      </c>
      <c r="J438" s="42" t="s">
        <v>532</v>
      </c>
    </row>
    <row r="439" spans="1:12" x14ac:dyDescent="0.25">
      <c r="A439" s="44">
        <v>2018</v>
      </c>
      <c r="B439" s="44" t="s">
        <v>329</v>
      </c>
      <c r="C439" s="44" t="s">
        <v>863</v>
      </c>
      <c r="D439" s="45">
        <v>0.4546</v>
      </c>
      <c r="E439" s="45">
        <v>0.49009999999999998</v>
      </c>
      <c r="F439" s="45">
        <v>1.341</v>
      </c>
      <c r="G439" s="46">
        <v>0.6609992542878449</v>
      </c>
      <c r="H439" s="46">
        <v>0.63452647278150631</v>
      </c>
      <c r="I439" s="46">
        <v>2.6472781506338583E-2</v>
      </c>
      <c r="J439" s="47" t="s">
        <v>533</v>
      </c>
      <c r="K439" s="48"/>
      <c r="L439" s="48"/>
    </row>
    <row r="440" spans="1:12" s="43" customFormat="1" ht="15" x14ac:dyDescent="0.25">
      <c r="A440" s="38" t="s">
        <v>651</v>
      </c>
      <c r="B440" s="39" t="s">
        <v>330</v>
      </c>
      <c r="C440" s="39" t="s">
        <v>1660</v>
      </c>
      <c r="D440" s="40">
        <v>0.21129999999999999</v>
      </c>
      <c r="E440" s="40">
        <v>0.2298</v>
      </c>
      <c r="F440" s="40">
        <v>0.66800000000000004</v>
      </c>
      <c r="G440" s="41">
        <v>0.68368263473053903</v>
      </c>
      <c r="H440" s="41">
        <v>0.65598802395209599</v>
      </c>
      <c r="I440" s="41">
        <v>2.76946107784432E-2</v>
      </c>
      <c r="J440" s="42" t="s">
        <v>532</v>
      </c>
    </row>
    <row r="441" spans="1:12" x14ac:dyDescent="0.25">
      <c r="A441" s="44">
        <v>2018</v>
      </c>
      <c r="B441" s="44" t="s">
        <v>330</v>
      </c>
      <c r="C441" s="44" t="s">
        <v>1660</v>
      </c>
      <c r="D441" s="45">
        <v>0.21129999999999999</v>
      </c>
      <c r="E441" s="45">
        <v>0.2298</v>
      </c>
      <c r="F441" s="45">
        <v>0.66800000000000004</v>
      </c>
      <c r="G441" s="46">
        <v>0.68368263473053892</v>
      </c>
      <c r="H441" s="46">
        <v>0.65598802395209577</v>
      </c>
      <c r="I441" s="46">
        <v>2.7694610778443152E-2</v>
      </c>
      <c r="J441" s="47" t="s">
        <v>533</v>
      </c>
      <c r="K441" s="48"/>
      <c r="L441" s="48"/>
    </row>
    <row r="442" spans="1:12" s="43" customFormat="1" ht="15" x14ac:dyDescent="0.25">
      <c r="A442" s="38" t="s">
        <v>654</v>
      </c>
      <c r="B442" s="39" t="s">
        <v>331</v>
      </c>
      <c r="C442" s="39" t="s">
        <v>987</v>
      </c>
      <c r="D442" s="40">
        <v>2.7662</v>
      </c>
      <c r="E442" s="40">
        <v>2.8140999999999998</v>
      </c>
      <c r="F442" s="40">
        <v>7.827</v>
      </c>
      <c r="G442" s="41">
        <v>0.64658234317107399</v>
      </c>
      <c r="H442" s="41">
        <v>0.64046250159703599</v>
      </c>
      <c r="I442" s="41">
        <v>6.1198415740386604E-3</v>
      </c>
      <c r="J442" s="42" t="s">
        <v>532</v>
      </c>
    </row>
    <row r="443" spans="1:12" s="43" customFormat="1" ht="15" x14ac:dyDescent="0.25">
      <c r="A443" s="38" t="s">
        <v>655</v>
      </c>
      <c r="B443" s="39" t="s">
        <v>331</v>
      </c>
      <c r="C443" s="39" t="s">
        <v>1749</v>
      </c>
      <c r="D443" s="40">
        <v>2.7662</v>
      </c>
      <c r="E443" s="40">
        <v>2.9003000000000001</v>
      </c>
      <c r="F443" s="40">
        <v>7.827</v>
      </c>
      <c r="G443" s="41">
        <v>0.64658234317107399</v>
      </c>
      <c r="H443" s="41">
        <v>0.62944934202120895</v>
      </c>
      <c r="I443" s="41">
        <v>1.7133001149865799E-2</v>
      </c>
      <c r="J443" s="42" t="s">
        <v>532</v>
      </c>
    </row>
    <row r="444" spans="1:12" x14ac:dyDescent="0.25">
      <c r="A444" s="44">
        <v>2018</v>
      </c>
      <c r="B444" s="44" t="s">
        <v>331</v>
      </c>
      <c r="C444" s="44" t="s">
        <v>925</v>
      </c>
      <c r="D444" s="45">
        <v>2.7662</v>
      </c>
      <c r="E444" s="45">
        <v>2.8645163580246913</v>
      </c>
      <c r="F444" s="45">
        <v>7.827</v>
      </c>
      <c r="G444" s="46">
        <v>0.64658234317107455</v>
      </c>
      <c r="H444" s="46">
        <v>0.63402116289450738</v>
      </c>
      <c r="I444" s="46">
        <v>1.2561180276567201E-2</v>
      </c>
      <c r="J444" s="47" t="s">
        <v>533</v>
      </c>
      <c r="K444" s="48"/>
      <c r="L444" s="48"/>
    </row>
    <row r="445" spans="1:12" s="43" customFormat="1" ht="15" x14ac:dyDescent="0.25">
      <c r="A445" s="38" t="s">
        <v>654</v>
      </c>
      <c r="B445" s="39" t="s">
        <v>332</v>
      </c>
      <c r="C445" s="39" t="s">
        <v>1720</v>
      </c>
      <c r="D445" s="40">
        <v>1.8517999999999999</v>
      </c>
      <c r="E445" s="40">
        <v>1.7351000000000001</v>
      </c>
      <c r="F445" s="40">
        <v>5.4489999999999998</v>
      </c>
      <c r="G445" s="41">
        <v>0.66015782712424298</v>
      </c>
      <c r="H445" s="41">
        <v>0.68157460084419197</v>
      </c>
      <c r="I445" s="41">
        <v>-2.14167737199485E-2</v>
      </c>
      <c r="J445" s="42" t="s">
        <v>532</v>
      </c>
    </row>
    <row r="446" spans="1:12" x14ac:dyDescent="0.25">
      <c r="A446" s="44">
        <v>2018</v>
      </c>
      <c r="B446" s="44" t="s">
        <v>332</v>
      </c>
      <c r="C446" s="44" t="s">
        <v>1720</v>
      </c>
      <c r="D446" s="45">
        <v>1.8517999999999999</v>
      </c>
      <c r="E446" s="45">
        <v>1.7351000000000003</v>
      </c>
      <c r="F446" s="45">
        <v>5.4489999999999998</v>
      </c>
      <c r="G446" s="46">
        <v>0.66015782712424298</v>
      </c>
      <c r="H446" s="46">
        <v>0.68157460084419152</v>
      </c>
      <c r="I446" s="46">
        <v>-2.1416773719948545E-2</v>
      </c>
      <c r="J446" s="47" t="s">
        <v>533</v>
      </c>
      <c r="K446" s="48"/>
      <c r="L446" s="48"/>
    </row>
    <row r="447" spans="1:12" s="43" customFormat="1" ht="15" x14ac:dyDescent="0.25">
      <c r="A447" s="38" t="s">
        <v>543</v>
      </c>
      <c r="B447" s="39" t="s">
        <v>333</v>
      </c>
      <c r="C447" s="39" t="s">
        <v>1652</v>
      </c>
      <c r="D447" s="40">
        <v>0.42770000000000002</v>
      </c>
      <c r="E447" s="40">
        <v>0.4698</v>
      </c>
      <c r="F447" s="40">
        <v>1.3340000000000001</v>
      </c>
      <c r="G447" s="41">
        <v>0.67938530734632696</v>
      </c>
      <c r="H447" s="41">
        <v>0.647826086956522</v>
      </c>
      <c r="I447" s="41">
        <v>3.1559220389805097E-2</v>
      </c>
      <c r="J447" s="42" t="s">
        <v>532</v>
      </c>
    </row>
    <row r="448" spans="1:12" x14ac:dyDescent="0.25">
      <c r="A448" s="44">
        <v>2018</v>
      </c>
      <c r="B448" s="44" t="s">
        <v>333</v>
      </c>
      <c r="C448" s="44" t="s">
        <v>1652</v>
      </c>
      <c r="D448" s="45">
        <v>0.42770000000000008</v>
      </c>
      <c r="E448" s="45">
        <v>0.4698</v>
      </c>
      <c r="F448" s="45">
        <v>1.3340000000000001</v>
      </c>
      <c r="G448" s="46">
        <v>0.67938530734632685</v>
      </c>
      <c r="H448" s="46">
        <v>0.64782608695652177</v>
      </c>
      <c r="I448" s="46">
        <v>3.1559220389805076E-2</v>
      </c>
      <c r="J448" s="47" t="s">
        <v>533</v>
      </c>
      <c r="K448" s="48"/>
      <c r="L448" s="48"/>
    </row>
    <row r="449" spans="1:12" s="43" customFormat="1" ht="15" x14ac:dyDescent="0.25">
      <c r="A449" s="38" t="s">
        <v>543</v>
      </c>
      <c r="B449" s="39" t="s">
        <v>334</v>
      </c>
      <c r="C449" s="39" t="s">
        <v>1653</v>
      </c>
      <c r="D449" s="40">
        <v>0.19800000000000001</v>
      </c>
      <c r="E449" s="40">
        <v>0.22009999999999999</v>
      </c>
      <c r="F449" s="40">
        <v>0.63300000000000001</v>
      </c>
      <c r="G449" s="41">
        <v>0.68720379146919397</v>
      </c>
      <c r="H449" s="41">
        <v>0.65229067930489704</v>
      </c>
      <c r="I449" s="41">
        <v>3.4913112164296899E-2</v>
      </c>
      <c r="J449" s="42" t="s">
        <v>532</v>
      </c>
    </row>
    <row r="450" spans="1:12" x14ac:dyDescent="0.25">
      <c r="A450" s="44">
        <v>2018</v>
      </c>
      <c r="B450" s="44" t="s">
        <v>334</v>
      </c>
      <c r="C450" s="44" t="s">
        <v>1653</v>
      </c>
      <c r="D450" s="45">
        <v>0.19800000000000001</v>
      </c>
      <c r="E450" s="45">
        <v>0.22009999999999999</v>
      </c>
      <c r="F450" s="45">
        <v>0.63300000000000001</v>
      </c>
      <c r="G450" s="46">
        <v>0.6872037914691943</v>
      </c>
      <c r="H450" s="46">
        <v>0.65229067930489737</v>
      </c>
      <c r="I450" s="46">
        <v>3.4913112164296933E-2</v>
      </c>
      <c r="J450" s="47" t="s">
        <v>533</v>
      </c>
      <c r="K450" s="48"/>
      <c r="L450" s="48"/>
    </row>
    <row r="451" spans="1:12" s="43" customFormat="1" ht="15" x14ac:dyDescent="0.25">
      <c r="A451" s="38" t="s">
        <v>602</v>
      </c>
      <c r="B451" s="39" t="s">
        <v>130</v>
      </c>
      <c r="C451" s="39" t="s">
        <v>908</v>
      </c>
      <c r="D451" s="40">
        <v>14.448600000000001</v>
      </c>
      <c r="E451" s="40">
        <v>19.5793</v>
      </c>
      <c r="F451" s="40">
        <v>41.808</v>
      </c>
      <c r="G451" s="41">
        <v>0.654405855338691</v>
      </c>
      <c r="H451" s="41">
        <v>0.53168532338308505</v>
      </c>
      <c r="I451" s="41">
        <v>0.122720531955607</v>
      </c>
      <c r="J451" s="42" t="s">
        <v>532</v>
      </c>
    </row>
    <row r="452" spans="1:12" s="43" customFormat="1" ht="15" x14ac:dyDescent="0.25">
      <c r="A452" s="38" t="s">
        <v>702</v>
      </c>
      <c r="B452" s="39" t="s">
        <v>130</v>
      </c>
      <c r="C452" s="39" t="s">
        <v>1275</v>
      </c>
      <c r="D452" s="40">
        <v>16.344799999999999</v>
      </c>
      <c r="E452" s="40">
        <v>19.7014</v>
      </c>
      <c r="F452" s="40">
        <v>41.808</v>
      </c>
      <c r="G452" s="41">
        <v>0.60905089934940704</v>
      </c>
      <c r="H452" s="41">
        <v>0.52876482969766603</v>
      </c>
      <c r="I452" s="41">
        <v>8.0286069651741399E-2</v>
      </c>
      <c r="J452" s="42" t="s">
        <v>532</v>
      </c>
    </row>
    <row r="453" spans="1:12" s="43" customFormat="1" ht="15" x14ac:dyDescent="0.25">
      <c r="A453" s="38" t="s">
        <v>570</v>
      </c>
      <c r="B453" s="39" t="s">
        <v>130</v>
      </c>
      <c r="C453" s="39" t="s">
        <v>1239</v>
      </c>
      <c r="D453" s="40">
        <v>16.344799999999999</v>
      </c>
      <c r="E453" s="40">
        <v>22.461400000000001</v>
      </c>
      <c r="F453" s="40">
        <v>42.341000000000001</v>
      </c>
      <c r="G453" s="41">
        <v>0.61397227273800803</v>
      </c>
      <c r="H453" s="41">
        <v>0.46951182069389003</v>
      </c>
      <c r="I453" s="41">
        <v>0.144460452044118</v>
      </c>
      <c r="J453" s="42" t="s">
        <v>532</v>
      </c>
    </row>
    <row r="454" spans="1:12" x14ac:dyDescent="0.25">
      <c r="A454" s="44">
        <v>2018</v>
      </c>
      <c r="B454" s="44" t="s">
        <v>130</v>
      </c>
      <c r="C454" s="44" t="s">
        <v>1883</v>
      </c>
      <c r="D454" s="45">
        <v>15.3789332197615</v>
      </c>
      <c r="E454" s="45">
        <v>20.06472555366269</v>
      </c>
      <c r="F454" s="45">
        <v>41.890174616695063</v>
      </c>
      <c r="G454" s="46">
        <v>0.63291208526501908</v>
      </c>
      <c r="H454" s="46">
        <v>0.52111718114076366</v>
      </c>
      <c r="I454" s="46">
        <v>0.1117949041242555</v>
      </c>
      <c r="J454" s="47" t="s">
        <v>533</v>
      </c>
      <c r="K454" s="48"/>
      <c r="L454" s="48"/>
    </row>
    <row r="455" spans="1:12" s="43" customFormat="1" ht="15" x14ac:dyDescent="0.25">
      <c r="A455" s="38" t="s">
        <v>608</v>
      </c>
      <c r="B455" s="39" t="s">
        <v>131</v>
      </c>
      <c r="C455" s="39" t="s">
        <v>942</v>
      </c>
      <c r="D455" s="40">
        <v>17.405899999999999</v>
      </c>
      <c r="E455" s="40">
        <v>17.2818</v>
      </c>
      <c r="F455" s="40">
        <v>43.956000000000003</v>
      </c>
      <c r="G455" s="41">
        <v>0.60401537901537905</v>
      </c>
      <c r="H455" s="41">
        <v>0.60683865683865701</v>
      </c>
      <c r="I455" s="41">
        <v>-2.8232778232778499E-3</v>
      </c>
      <c r="J455" s="42" t="s">
        <v>532</v>
      </c>
    </row>
    <row r="456" spans="1:12" s="43" customFormat="1" ht="15" x14ac:dyDescent="0.25">
      <c r="A456" s="38" t="s">
        <v>609</v>
      </c>
      <c r="B456" s="39" t="s">
        <v>131</v>
      </c>
      <c r="C456" s="39" t="s">
        <v>1026</v>
      </c>
      <c r="D456" s="40">
        <v>17.405899999999999</v>
      </c>
      <c r="E456" s="40">
        <v>16.7423</v>
      </c>
      <c r="F456" s="40">
        <v>43.956000000000003</v>
      </c>
      <c r="G456" s="41">
        <v>0.60401537901537905</v>
      </c>
      <c r="H456" s="41">
        <v>0.61911229411229396</v>
      </c>
      <c r="I456" s="41">
        <v>-1.50969150969151E-2</v>
      </c>
      <c r="J456" s="42" t="s">
        <v>532</v>
      </c>
    </row>
    <row r="457" spans="1:12" s="43" customFormat="1" ht="15" x14ac:dyDescent="0.25">
      <c r="A457" s="38" t="s">
        <v>618</v>
      </c>
      <c r="B457" s="39" t="s">
        <v>131</v>
      </c>
      <c r="C457" s="39" t="s">
        <v>1080</v>
      </c>
      <c r="D457" s="40">
        <v>17.405899999999999</v>
      </c>
      <c r="E457" s="40">
        <v>16.801500000000001</v>
      </c>
      <c r="F457" s="40">
        <v>43.956000000000003</v>
      </c>
      <c r="G457" s="41">
        <v>0.60401537901537905</v>
      </c>
      <c r="H457" s="41">
        <v>0.61776549276549297</v>
      </c>
      <c r="I457" s="41">
        <v>-1.37501137501137E-2</v>
      </c>
      <c r="J457" s="42" t="s">
        <v>532</v>
      </c>
    </row>
    <row r="458" spans="1:12" s="43" customFormat="1" ht="15" x14ac:dyDescent="0.25">
      <c r="A458" s="38" t="s">
        <v>624</v>
      </c>
      <c r="B458" s="39" t="s">
        <v>131</v>
      </c>
      <c r="C458" s="39" t="s">
        <v>1175</v>
      </c>
      <c r="D458" s="40">
        <v>16.845099999999999</v>
      </c>
      <c r="E458" s="40">
        <v>16.789400000000001</v>
      </c>
      <c r="F458" s="40">
        <v>43.956000000000003</v>
      </c>
      <c r="G458" s="41">
        <v>0.61677359177359203</v>
      </c>
      <c r="H458" s="41">
        <v>0.61804076804076802</v>
      </c>
      <c r="I458" s="41">
        <v>-1.26717626717632E-3</v>
      </c>
      <c r="J458" s="42" t="s">
        <v>532</v>
      </c>
    </row>
    <row r="459" spans="1:12" s="43" customFormat="1" ht="15" x14ac:dyDescent="0.25">
      <c r="A459" s="38" t="s">
        <v>633</v>
      </c>
      <c r="B459" s="39" t="s">
        <v>131</v>
      </c>
      <c r="C459" s="39" t="s">
        <v>1400</v>
      </c>
      <c r="D459" s="40">
        <v>16.845099999999999</v>
      </c>
      <c r="E459" s="40">
        <v>15.1623</v>
      </c>
      <c r="F459" s="40">
        <v>44.615000000000002</v>
      </c>
      <c r="G459" s="41">
        <v>0.62243415891516296</v>
      </c>
      <c r="H459" s="41">
        <v>0.66015241510702705</v>
      </c>
      <c r="I459" s="41">
        <v>-3.77182561918636E-2</v>
      </c>
      <c r="J459" s="42" t="s">
        <v>532</v>
      </c>
    </row>
    <row r="460" spans="1:12" s="43" customFormat="1" ht="15" x14ac:dyDescent="0.25">
      <c r="A460" s="38" t="s">
        <v>610</v>
      </c>
      <c r="B460" s="39" t="s">
        <v>131</v>
      </c>
      <c r="C460" s="39" t="s">
        <v>1540</v>
      </c>
      <c r="D460" s="40">
        <v>16.845099999999999</v>
      </c>
      <c r="E460" s="40">
        <v>17.642399999999999</v>
      </c>
      <c r="F460" s="40">
        <v>44.615000000000002</v>
      </c>
      <c r="G460" s="41">
        <v>0.62243415891516296</v>
      </c>
      <c r="H460" s="41">
        <v>0.60456348761627299</v>
      </c>
      <c r="I460" s="41">
        <v>1.78706712988904E-2</v>
      </c>
      <c r="J460" s="42" t="s">
        <v>532</v>
      </c>
    </row>
    <row r="461" spans="1:12" x14ac:dyDescent="0.25">
      <c r="A461" s="44">
        <v>2018</v>
      </c>
      <c r="B461" s="44" t="s">
        <v>131</v>
      </c>
      <c r="C461" s="44" t="s">
        <v>1902</v>
      </c>
      <c r="D461" s="45">
        <v>17.1038903900156</v>
      </c>
      <c r="E461" s="45">
        <v>16.703318627145087</v>
      </c>
      <c r="F461" s="45">
        <v>44.165420124804996</v>
      </c>
      <c r="G461" s="46">
        <v>0.61268494620862879</v>
      </c>
      <c r="H461" s="46">
        <v>0.6217555584855452</v>
      </c>
      <c r="I461" s="46">
        <v>-9.0706122769164295E-3</v>
      </c>
      <c r="J461" s="47" t="s">
        <v>533</v>
      </c>
      <c r="K461" s="48"/>
      <c r="L461" s="48"/>
    </row>
    <row r="462" spans="1:12" s="43" customFormat="1" ht="15" x14ac:dyDescent="0.25">
      <c r="A462" s="38" t="s">
        <v>551</v>
      </c>
      <c r="B462" s="39" t="s">
        <v>132</v>
      </c>
      <c r="C462" s="39" t="s">
        <v>1395</v>
      </c>
      <c r="D462" s="40">
        <v>14.2759</v>
      </c>
      <c r="E462" s="40">
        <v>17.256799999999998</v>
      </c>
      <c r="F462" s="40">
        <v>41.142000000000003</v>
      </c>
      <c r="G462" s="41">
        <v>0.65300909046716205</v>
      </c>
      <c r="H462" s="41">
        <v>0.58055515045452399</v>
      </c>
      <c r="I462" s="41">
        <v>7.2453940012638995E-2</v>
      </c>
      <c r="J462" s="42" t="s">
        <v>532</v>
      </c>
    </row>
    <row r="463" spans="1:12" x14ac:dyDescent="0.25">
      <c r="A463" s="44">
        <v>2018</v>
      </c>
      <c r="B463" s="44" t="s">
        <v>132</v>
      </c>
      <c r="C463" s="44" t="s">
        <v>1395</v>
      </c>
      <c r="D463" s="45">
        <v>14.2759</v>
      </c>
      <c r="E463" s="45">
        <v>17.256799999999998</v>
      </c>
      <c r="F463" s="45">
        <v>41.142000000000003</v>
      </c>
      <c r="G463" s="46">
        <v>0.65300909046716249</v>
      </c>
      <c r="H463" s="46">
        <v>0.58055515045452344</v>
      </c>
      <c r="I463" s="46">
        <v>7.2453940012639051E-2</v>
      </c>
      <c r="J463" s="47" t="s">
        <v>533</v>
      </c>
      <c r="K463" s="48"/>
      <c r="L463" s="48"/>
    </row>
    <row r="464" spans="1:12" s="43" customFormat="1" ht="15" x14ac:dyDescent="0.25">
      <c r="A464" s="38" t="s">
        <v>672</v>
      </c>
      <c r="B464" s="39" t="s">
        <v>136</v>
      </c>
      <c r="C464" s="39" t="s">
        <v>808</v>
      </c>
      <c r="D464" s="40">
        <v>1.9318</v>
      </c>
      <c r="E464" s="40">
        <v>1.9259999999999999</v>
      </c>
      <c r="F464" s="40">
        <v>5.4889999999999999</v>
      </c>
      <c r="G464" s="41">
        <v>0.648059755875387</v>
      </c>
      <c r="H464" s="41">
        <v>0.64911034189591299</v>
      </c>
      <c r="I464" s="41">
        <v>-1.0505860205258801E-3</v>
      </c>
      <c r="J464" s="42" t="s">
        <v>532</v>
      </c>
    </row>
    <row r="465" spans="1:12" s="43" customFormat="1" ht="15" x14ac:dyDescent="0.25">
      <c r="A465" s="38" t="s">
        <v>687</v>
      </c>
      <c r="B465" s="39" t="s">
        <v>136</v>
      </c>
      <c r="C465" s="39" t="s">
        <v>1085</v>
      </c>
      <c r="D465" s="40">
        <v>1.9318</v>
      </c>
      <c r="E465" s="40">
        <v>1.7272000000000001</v>
      </c>
      <c r="F465" s="40">
        <v>5.4889999999999999</v>
      </c>
      <c r="G465" s="41">
        <v>0.648059755875387</v>
      </c>
      <c r="H465" s="41">
        <v>0.68532519584623797</v>
      </c>
      <c r="I465" s="41">
        <v>-3.7265439970850897E-2</v>
      </c>
      <c r="J465" s="42" t="s">
        <v>532</v>
      </c>
    </row>
    <row r="466" spans="1:12" s="43" customFormat="1" ht="15" x14ac:dyDescent="0.25">
      <c r="A466" s="38" t="s">
        <v>629</v>
      </c>
      <c r="B466" s="39" t="s">
        <v>136</v>
      </c>
      <c r="C466" s="39" t="s">
        <v>1229</v>
      </c>
      <c r="D466" s="40">
        <v>1.7636000000000001</v>
      </c>
      <c r="E466" s="40">
        <v>1.7850999999999999</v>
      </c>
      <c r="F466" s="40">
        <v>5.4889999999999999</v>
      </c>
      <c r="G466" s="41">
        <v>0.67870286026598603</v>
      </c>
      <c r="H466" s="41">
        <v>0.67478593550737798</v>
      </c>
      <c r="I466" s="41">
        <v>3.9169247586081602E-3</v>
      </c>
      <c r="J466" s="42" t="s">
        <v>532</v>
      </c>
    </row>
    <row r="467" spans="1:12" s="43" customFormat="1" ht="15" x14ac:dyDescent="0.25">
      <c r="A467" s="38" t="s">
        <v>574</v>
      </c>
      <c r="B467" s="39" t="s">
        <v>136</v>
      </c>
      <c r="C467" s="39" t="s">
        <v>1560</v>
      </c>
      <c r="D467" s="40">
        <v>1.7636000000000001</v>
      </c>
      <c r="E467" s="40">
        <v>2.0941999999999998</v>
      </c>
      <c r="F467" s="40">
        <v>5.5739999999999998</v>
      </c>
      <c r="G467" s="41">
        <v>0.68360243989953395</v>
      </c>
      <c r="H467" s="41">
        <v>0.62429135270900604</v>
      </c>
      <c r="I467" s="41">
        <v>5.9311087190527502E-2</v>
      </c>
      <c r="J467" s="42" t="s">
        <v>532</v>
      </c>
    </row>
    <row r="468" spans="1:12" x14ac:dyDescent="0.25">
      <c r="A468" s="44">
        <v>2018</v>
      </c>
      <c r="B468" s="44" t="s">
        <v>136</v>
      </c>
      <c r="C468" s="44" t="s">
        <v>1852</v>
      </c>
      <c r="D468" s="45">
        <v>1.8610732786885247</v>
      </c>
      <c r="E468" s="45">
        <v>1.88605</v>
      </c>
      <c r="F468" s="45">
        <v>5.5016106557377045</v>
      </c>
      <c r="G468" s="46">
        <v>0.66167183494591952</v>
      </c>
      <c r="H468" s="46">
        <v>0.65725385110089607</v>
      </c>
      <c r="I468" s="46">
        <v>4.417983845023456E-3</v>
      </c>
      <c r="J468" s="47" t="s">
        <v>533</v>
      </c>
      <c r="K468" s="48"/>
      <c r="L468" s="48"/>
    </row>
    <row r="469" spans="1:12" s="43" customFormat="1" ht="15" x14ac:dyDescent="0.25">
      <c r="A469" s="38" t="s">
        <v>687</v>
      </c>
      <c r="B469" s="39" t="s">
        <v>137</v>
      </c>
      <c r="C469" s="39" t="s">
        <v>1103</v>
      </c>
      <c r="D469" s="40">
        <v>2.9051</v>
      </c>
      <c r="E469" s="40">
        <v>2.5585</v>
      </c>
      <c r="F469" s="40">
        <v>7.1619999999999999</v>
      </c>
      <c r="G469" s="41">
        <v>0.59437308014521095</v>
      </c>
      <c r="H469" s="41">
        <v>0.64276505631573999</v>
      </c>
      <c r="I469" s="41">
        <v>-4.8391976170529601E-2</v>
      </c>
      <c r="J469" s="42" t="s">
        <v>532</v>
      </c>
    </row>
    <row r="470" spans="1:12" s="43" customFormat="1" ht="15" x14ac:dyDescent="0.25">
      <c r="A470" s="38" t="s">
        <v>624</v>
      </c>
      <c r="B470" s="39" t="s">
        <v>137</v>
      </c>
      <c r="C470" s="39" t="s">
        <v>1031</v>
      </c>
      <c r="D470" s="40">
        <v>2.6741999999999999</v>
      </c>
      <c r="E470" s="40"/>
      <c r="F470" s="40">
        <v>7.1619999999999999</v>
      </c>
      <c r="G470" s="41">
        <v>0.62661267802289899</v>
      </c>
      <c r="H470" s="41"/>
      <c r="I470" s="41"/>
      <c r="J470" s="42" t="s">
        <v>532</v>
      </c>
    </row>
    <row r="471" spans="1:12" s="43" customFormat="1" ht="15" x14ac:dyDescent="0.25">
      <c r="A471" s="38" t="s">
        <v>696</v>
      </c>
      <c r="B471" s="39" t="s">
        <v>137</v>
      </c>
      <c r="C471" s="39" t="s">
        <v>1017</v>
      </c>
      <c r="D471" s="40">
        <v>2.6741999999999999</v>
      </c>
      <c r="E471" s="40"/>
      <c r="F471" s="40">
        <v>7.1619999999999999</v>
      </c>
      <c r="G471" s="41">
        <v>0.62661267802289899</v>
      </c>
      <c r="H471" s="41"/>
      <c r="I471" s="41"/>
      <c r="J471" s="42" t="s">
        <v>532</v>
      </c>
    </row>
    <row r="472" spans="1:12" s="43" customFormat="1" ht="15" x14ac:dyDescent="0.25">
      <c r="A472" s="38" t="s">
        <v>629</v>
      </c>
      <c r="B472" s="39" t="s">
        <v>137</v>
      </c>
      <c r="C472" s="39" t="s">
        <v>889</v>
      </c>
      <c r="D472" s="40">
        <v>2.6741999999999999</v>
      </c>
      <c r="E472" s="40">
        <v>2.7174999999999998</v>
      </c>
      <c r="F472" s="40">
        <v>7.1619999999999999</v>
      </c>
      <c r="G472" s="41">
        <v>0.62661267802289899</v>
      </c>
      <c r="H472" s="41">
        <v>0.620569207856279</v>
      </c>
      <c r="I472" s="41">
        <v>6.0434701666201001E-3</v>
      </c>
      <c r="J472" s="42" t="s">
        <v>532</v>
      </c>
    </row>
    <row r="473" spans="1:12" s="43" customFormat="1" ht="15" x14ac:dyDescent="0.25">
      <c r="A473" s="38" t="s">
        <v>700</v>
      </c>
      <c r="B473" s="39" t="s">
        <v>137</v>
      </c>
      <c r="C473" s="39" t="s">
        <v>1234</v>
      </c>
      <c r="D473" s="40">
        <v>2.6741999999999999</v>
      </c>
      <c r="E473" s="40">
        <v>2.9142999999999999</v>
      </c>
      <c r="F473" s="40">
        <v>7.1619999999999999</v>
      </c>
      <c r="G473" s="41">
        <v>0.62661267802289899</v>
      </c>
      <c r="H473" s="41">
        <v>0.59308852275900603</v>
      </c>
      <c r="I473" s="41">
        <v>3.3524155263892699E-2</v>
      </c>
      <c r="J473" s="42" t="s">
        <v>532</v>
      </c>
    </row>
    <row r="474" spans="1:12" s="43" customFormat="1" ht="15" x14ac:dyDescent="0.25">
      <c r="A474" s="38" t="s">
        <v>597</v>
      </c>
      <c r="B474" s="39" t="s">
        <v>137</v>
      </c>
      <c r="C474" s="39" t="s">
        <v>1448</v>
      </c>
      <c r="D474" s="40">
        <v>2.6741999999999999</v>
      </c>
      <c r="E474" s="40">
        <v>3.1819000000000002</v>
      </c>
      <c r="F474" s="40">
        <v>7.2480000000000002</v>
      </c>
      <c r="G474" s="41">
        <v>0.63104304635761599</v>
      </c>
      <c r="H474" s="41">
        <v>0.560996136865342</v>
      </c>
      <c r="I474" s="41">
        <v>7.0046909492273601E-2</v>
      </c>
      <c r="J474" s="42" t="s">
        <v>532</v>
      </c>
    </row>
    <row r="475" spans="1:12" s="43" customFormat="1" ht="15" x14ac:dyDescent="0.25">
      <c r="A475" s="38" t="s">
        <v>599</v>
      </c>
      <c r="B475" s="39" t="s">
        <v>137</v>
      </c>
      <c r="C475" s="39" t="s">
        <v>1551</v>
      </c>
      <c r="D475" s="40">
        <v>2.6741999999999999</v>
      </c>
      <c r="E475" s="40">
        <v>2.6217000000000001</v>
      </c>
      <c r="F475" s="40">
        <v>7.2480000000000002</v>
      </c>
      <c r="G475" s="41">
        <v>0.63104304635761599</v>
      </c>
      <c r="H475" s="41">
        <v>0.63828642384106005</v>
      </c>
      <c r="I475" s="41">
        <v>-7.2433774834437196E-3</v>
      </c>
      <c r="J475" s="42" t="s">
        <v>532</v>
      </c>
    </row>
    <row r="476" spans="1:12" s="43" customFormat="1" ht="15" x14ac:dyDescent="0.25">
      <c r="A476" s="38" t="s">
        <v>574</v>
      </c>
      <c r="B476" s="39" t="s">
        <v>137</v>
      </c>
      <c r="C476" s="39" t="s">
        <v>1551</v>
      </c>
      <c r="D476" s="40">
        <v>2.6741999999999999</v>
      </c>
      <c r="E476" s="40">
        <v>3.3098000000000001</v>
      </c>
      <c r="F476" s="40">
        <v>7.2480000000000002</v>
      </c>
      <c r="G476" s="41">
        <v>0.63104304635761599</v>
      </c>
      <c r="H476" s="41">
        <v>0.54334988962472397</v>
      </c>
      <c r="I476" s="41">
        <v>8.7693156732891797E-2</v>
      </c>
      <c r="J476" s="42" t="s">
        <v>532</v>
      </c>
    </row>
    <row r="477" spans="1:12" x14ac:dyDescent="0.25">
      <c r="A477" s="44">
        <v>2018</v>
      </c>
      <c r="B477" s="44" t="s">
        <v>137</v>
      </c>
      <c r="C477" s="44" t="s">
        <v>1939</v>
      </c>
      <c r="D477" s="45">
        <v>2.7444092227144581</v>
      </c>
      <c r="E477" s="45">
        <v>2.2586258558195733</v>
      </c>
      <c r="F477" s="45">
        <v>7.1766854611357216</v>
      </c>
      <c r="G477" s="46">
        <v>0.61756619384096789</v>
      </c>
      <c r="H477" s="46">
        <v>0.50508737117797364</v>
      </c>
      <c r="I477" s="46">
        <v>-5.7896217561171064E-4</v>
      </c>
      <c r="J477" s="47" t="s">
        <v>533</v>
      </c>
      <c r="K477" s="48"/>
      <c r="L477" s="48"/>
    </row>
    <row r="478" spans="1:12" s="43" customFormat="1" ht="15" x14ac:dyDescent="0.25">
      <c r="A478" s="38" t="s">
        <v>678</v>
      </c>
      <c r="B478" s="39" t="s">
        <v>138</v>
      </c>
      <c r="C478" s="39" t="s">
        <v>932</v>
      </c>
      <c r="D478" s="40">
        <v>0.94510000000000005</v>
      </c>
      <c r="E478" s="40">
        <v>0.89139999999999997</v>
      </c>
      <c r="F478" s="40">
        <v>2.3570000000000002</v>
      </c>
      <c r="G478" s="41">
        <v>0.599024183283836</v>
      </c>
      <c r="H478" s="41">
        <v>0.62181445340121599</v>
      </c>
      <c r="I478" s="41">
        <v>-2.2790270117380901E-2</v>
      </c>
      <c r="J478" s="42" t="s">
        <v>532</v>
      </c>
    </row>
    <row r="479" spans="1:12" s="43" customFormat="1" ht="15" x14ac:dyDescent="0.25">
      <c r="A479" s="38" t="s">
        <v>686</v>
      </c>
      <c r="B479" s="39" t="s">
        <v>138</v>
      </c>
      <c r="C479" s="39" t="s">
        <v>1092</v>
      </c>
      <c r="D479" s="40">
        <v>0.94510000000000005</v>
      </c>
      <c r="E479" s="40">
        <v>0.90969999999999995</v>
      </c>
      <c r="F479" s="40">
        <v>2.3570000000000002</v>
      </c>
      <c r="G479" s="41">
        <v>0.599024183283836</v>
      </c>
      <c r="H479" s="41">
        <v>0.61403266864658501</v>
      </c>
      <c r="I479" s="41">
        <v>-1.5008485362749201E-2</v>
      </c>
      <c r="J479" s="42" t="s">
        <v>532</v>
      </c>
    </row>
    <row r="480" spans="1:12" s="43" customFormat="1" ht="15" x14ac:dyDescent="0.25">
      <c r="A480" s="38" t="s">
        <v>564</v>
      </c>
      <c r="B480" s="39" t="s">
        <v>138</v>
      </c>
      <c r="C480" s="39" t="s">
        <v>1452</v>
      </c>
      <c r="D480" s="40">
        <v>0.88490000000000002</v>
      </c>
      <c r="E480" s="40">
        <v>1.0805</v>
      </c>
      <c r="F480" s="40">
        <v>2.3889999999999998</v>
      </c>
      <c r="G480" s="41">
        <v>0.629593972373378</v>
      </c>
      <c r="H480" s="41">
        <v>0.54773266359704198</v>
      </c>
      <c r="I480" s="41">
        <v>8.1861308776336003E-2</v>
      </c>
      <c r="J480" s="42" t="s">
        <v>532</v>
      </c>
    </row>
    <row r="481" spans="1:12" s="43" customFormat="1" ht="15" x14ac:dyDescent="0.25">
      <c r="A481" s="38" t="s">
        <v>712</v>
      </c>
      <c r="B481" s="39" t="s">
        <v>138</v>
      </c>
      <c r="C481" s="39" t="s">
        <v>943</v>
      </c>
      <c r="D481" s="40">
        <v>0.88490000000000002</v>
      </c>
      <c r="E481" s="40">
        <v>1.2769999999999999</v>
      </c>
      <c r="F481" s="40">
        <v>2.3889999999999998</v>
      </c>
      <c r="G481" s="41">
        <v>0.629593972373378</v>
      </c>
      <c r="H481" s="41">
        <v>0.46546672247802401</v>
      </c>
      <c r="I481" s="41">
        <v>0.16412724989535399</v>
      </c>
      <c r="J481" s="42" t="s">
        <v>532</v>
      </c>
    </row>
    <row r="482" spans="1:12" s="43" customFormat="1" ht="15" x14ac:dyDescent="0.25">
      <c r="A482" s="38" t="s">
        <v>574</v>
      </c>
      <c r="B482" s="39" t="s">
        <v>138</v>
      </c>
      <c r="C482" s="39" t="s">
        <v>1561</v>
      </c>
      <c r="D482" s="40">
        <v>0.88490000000000002</v>
      </c>
      <c r="E482" s="40">
        <v>1.0629</v>
      </c>
      <c r="F482" s="40">
        <v>2.3889999999999998</v>
      </c>
      <c r="G482" s="41">
        <v>0.629593972373378</v>
      </c>
      <c r="H482" s="41">
        <v>0.55508580996232704</v>
      </c>
      <c r="I482" s="41">
        <v>7.4508162411050696E-2</v>
      </c>
      <c r="J482" s="42" t="s">
        <v>532</v>
      </c>
    </row>
    <row r="483" spans="1:12" x14ac:dyDescent="0.25">
      <c r="A483" s="44">
        <v>2018</v>
      </c>
      <c r="B483" s="44" t="s">
        <v>138</v>
      </c>
      <c r="C483" s="44" t="s">
        <v>1897</v>
      </c>
      <c r="D483" s="45">
        <v>0.92633142023346315</v>
      </c>
      <c r="E483" s="45">
        <v>0.96724997568093363</v>
      </c>
      <c r="F483" s="45">
        <v>2.366976653696498</v>
      </c>
      <c r="G483" s="46">
        <v>0.60855493951262773</v>
      </c>
      <c r="H483" s="46">
        <v>0.59160366817550591</v>
      </c>
      <c r="I483" s="46">
        <v>1.6951271337121786E-2</v>
      </c>
      <c r="J483" s="47" t="s">
        <v>533</v>
      </c>
      <c r="K483" s="48"/>
      <c r="L483" s="48"/>
    </row>
    <row r="484" spans="1:12" s="43" customFormat="1" ht="15" x14ac:dyDescent="0.25">
      <c r="A484" s="38" t="s">
        <v>653</v>
      </c>
      <c r="B484" s="39" t="s">
        <v>335</v>
      </c>
      <c r="C484" s="39" t="s">
        <v>1701</v>
      </c>
      <c r="D484" s="40">
        <v>5.5801999999999996</v>
      </c>
      <c r="E484" s="40">
        <v>5.0011999999999999</v>
      </c>
      <c r="F484" s="40">
        <v>20.783999999999999</v>
      </c>
      <c r="G484" s="41">
        <v>0.73151623043366698</v>
      </c>
      <c r="H484" s="41">
        <v>0.75937259430330994</v>
      </c>
      <c r="I484" s="41">
        <v>-2.78563638696433E-2</v>
      </c>
      <c r="J484" s="42" t="s">
        <v>532</v>
      </c>
    </row>
    <row r="485" spans="1:12" x14ac:dyDescent="0.25">
      <c r="A485" s="44">
        <v>2018</v>
      </c>
      <c r="B485" s="44" t="s">
        <v>335</v>
      </c>
      <c r="C485" s="44" t="s">
        <v>1701</v>
      </c>
      <c r="D485" s="45">
        <v>5.5801999999999996</v>
      </c>
      <c r="E485" s="45">
        <v>5.0011999999999999</v>
      </c>
      <c r="F485" s="45">
        <v>20.783999999999999</v>
      </c>
      <c r="G485" s="46">
        <v>0.73151623043366687</v>
      </c>
      <c r="H485" s="46">
        <v>0.75937259430331017</v>
      </c>
      <c r="I485" s="46">
        <v>-2.7856363869643297E-2</v>
      </c>
      <c r="J485" s="47" t="s">
        <v>533</v>
      </c>
      <c r="K485" s="48"/>
      <c r="L485" s="48"/>
    </row>
    <row r="486" spans="1:12" s="43" customFormat="1" ht="15" x14ac:dyDescent="0.25">
      <c r="A486" s="38" t="s">
        <v>654</v>
      </c>
      <c r="B486" s="39" t="s">
        <v>341</v>
      </c>
      <c r="C486" s="39" t="s">
        <v>1411</v>
      </c>
      <c r="D486" s="40">
        <v>1.4651000000000001</v>
      </c>
      <c r="E486" s="40">
        <v>1.5249999999999999</v>
      </c>
      <c r="F486" s="40">
        <v>3.585</v>
      </c>
      <c r="G486" s="41">
        <v>0.59132496513249699</v>
      </c>
      <c r="H486" s="41">
        <v>0.57461645746164602</v>
      </c>
      <c r="I486" s="41">
        <v>1.67085076708509E-2</v>
      </c>
      <c r="J486" s="42" t="s">
        <v>532</v>
      </c>
    </row>
    <row r="487" spans="1:12" x14ac:dyDescent="0.25">
      <c r="A487" s="44">
        <v>2018</v>
      </c>
      <c r="B487" s="44" t="s">
        <v>341</v>
      </c>
      <c r="C487" s="44" t="s">
        <v>1411</v>
      </c>
      <c r="D487" s="45">
        <v>1.4651000000000001</v>
      </c>
      <c r="E487" s="45">
        <v>1.5249999999999999</v>
      </c>
      <c r="F487" s="45">
        <v>3.585</v>
      </c>
      <c r="G487" s="46">
        <v>0.59132496513249666</v>
      </c>
      <c r="H487" s="46">
        <v>0.5746164574616458</v>
      </c>
      <c r="I487" s="46">
        <v>1.6708507670850858E-2</v>
      </c>
      <c r="J487" s="47" t="s">
        <v>533</v>
      </c>
      <c r="K487" s="48"/>
      <c r="L487" s="48"/>
    </row>
    <row r="488" spans="1:12" s="43" customFormat="1" ht="15" x14ac:dyDescent="0.25">
      <c r="A488" s="38" t="s">
        <v>544</v>
      </c>
      <c r="B488" s="39" t="s">
        <v>342</v>
      </c>
      <c r="C488" s="39" t="s">
        <v>1688</v>
      </c>
      <c r="D488" s="40">
        <v>1.4610000000000001</v>
      </c>
      <c r="E488" s="40">
        <v>1.3514999999999999</v>
      </c>
      <c r="F488" s="40">
        <v>3.702</v>
      </c>
      <c r="G488" s="41">
        <v>0.60534846029173395</v>
      </c>
      <c r="H488" s="41">
        <v>0.63492706645056696</v>
      </c>
      <c r="I488" s="41">
        <v>-2.9578606158832999E-2</v>
      </c>
      <c r="J488" s="42" t="s">
        <v>532</v>
      </c>
    </row>
    <row r="489" spans="1:12" s="43" customFormat="1" ht="15" x14ac:dyDescent="0.25">
      <c r="A489" s="38" t="s">
        <v>658</v>
      </c>
      <c r="B489" s="39" t="s">
        <v>342</v>
      </c>
      <c r="C489" s="39" t="s">
        <v>834</v>
      </c>
      <c r="D489" s="40">
        <v>1.4610000000000001</v>
      </c>
      <c r="E489" s="40">
        <v>1.4059999999999999</v>
      </c>
      <c r="F489" s="40">
        <v>3.702</v>
      </c>
      <c r="G489" s="41">
        <v>0.60534846029173395</v>
      </c>
      <c r="H489" s="41">
        <v>0.62020529443544004</v>
      </c>
      <c r="I489" s="41">
        <v>-1.48568341437061E-2</v>
      </c>
      <c r="J489" s="42" t="s">
        <v>532</v>
      </c>
    </row>
    <row r="490" spans="1:12" s="43" customFormat="1" ht="15" x14ac:dyDescent="0.25">
      <c r="A490" s="38" t="s">
        <v>637</v>
      </c>
      <c r="B490" s="39" t="s">
        <v>342</v>
      </c>
      <c r="C490" s="39" t="s">
        <v>1753</v>
      </c>
      <c r="D490" s="40">
        <v>1.4610000000000001</v>
      </c>
      <c r="E490" s="40">
        <v>1.3416999999999999</v>
      </c>
      <c r="F490" s="40">
        <v>3.702</v>
      </c>
      <c r="G490" s="41">
        <v>0.60534846029173395</v>
      </c>
      <c r="H490" s="41">
        <v>0.63757428417071904</v>
      </c>
      <c r="I490" s="41">
        <v>-3.2225823878984303E-2</v>
      </c>
      <c r="J490" s="42" t="s">
        <v>532</v>
      </c>
    </row>
    <row r="491" spans="1:12" x14ac:dyDescent="0.25">
      <c r="A491" s="44">
        <v>2018</v>
      </c>
      <c r="B491" s="44" t="s">
        <v>342</v>
      </c>
      <c r="C491" s="44" t="s">
        <v>1995</v>
      </c>
      <c r="D491" s="45">
        <v>1.4609999999999999</v>
      </c>
      <c r="E491" s="45">
        <v>1.3827646357615893</v>
      </c>
      <c r="F491" s="45">
        <v>3.702</v>
      </c>
      <c r="G491" s="46">
        <v>0.60534846029173428</v>
      </c>
      <c r="H491" s="46">
        <v>0.62648172994014339</v>
      </c>
      <c r="I491" s="46">
        <v>-2.1133269648409107E-2</v>
      </c>
      <c r="J491" s="47" t="s">
        <v>533</v>
      </c>
      <c r="K491" s="48"/>
      <c r="L491" s="48"/>
    </row>
    <row r="492" spans="1:12" s="43" customFormat="1" ht="15" x14ac:dyDescent="0.25">
      <c r="A492" s="38" t="s">
        <v>534</v>
      </c>
      <c r="B492" s="39" t="s">
        <v>343</v>
      </c>
      <c r="C492" s="39" t="s">
        <v>1374</v>
      </c>
      <c r="D492" s="40">
        <v>1.4913000000000001</v>
      </c>
      <c r="E492" s="40">
        <v>1.3848</v>
      </c>
      <c r="F492" s="40">
        <v>3.585</v>
      </c>
      <c r="G492" s="41">
        <v>0.58401673640167395</v>
      </c>
      <c r="H492" s="41">
        <v>0.613723849372385</v>
      </c>
      <c r="I492" s="41">
        <v>-2.97071129707112E-2</v>
      </c>
      <c r="J492" s="42" t="s">
        <v>532</v>
      </c>
    </row>
    <row r="493" spans="1:12" x14ac:dyDescent="0.25">
      <c r="A493" s="44">
        <v>2018</v>
      </c>
      <c r="B493" s="44" t="s">
        <v>343</v>
      </c>
      <c r="C493" s="44" t="s">
        <v>1374</v>
      </c>
      <c r="D493" s="45">
        <v>1.4913000000000001</v>
      </c>
      <c r="E493" s="45">
        <v>1.3848</v>
      </c>
      <c r="F493" s="45">
        <v>3.585</v>
      </c>
      <c r="G493" s="46">
        <v>0.58401673640167373</v>
      </c>
      <c r="H493" s="46">
        <v>0.61372384937238489</v>
      </c>
      <c r="I493" s="46">
        <v>-2.9707112970711162E-2</v>
      </c>
      <c r="J493" s="47" t="s">
        <v>533</v>
      </c>
      <c r="K493" s="48"/>
      <c r="L493" s="48"/>
    </row>
    <row r="494" spans="1:12" s="43" customFormat="1" ht="15" x14ac:dyDescent="0.25">
      <c r="A494" s="38" t="s">
        <v>544</v>
      </c>
      <c r="B494" s="39" t="s">
        <v>344</v>
      </c>
      <c r="C494" s="39" t="s">
        <v>1733</v>
      </c>
      <c r="D494" s="40">
        <v>1.6718</v>
      </c>
      <c r="E494" s="40">
        <v>1.5299</v>
      </c>
      <c r="F494" s="40">
        <v>3.7160000000000002</v>
      </c>
      <c r="G494" s="41">
        <v>0.55010764262648004</v>
      </c>
      <c r="H494" s="41">
        <v>0.58829386437029096</v>
      </c>
      <c r="I494" s="41">
        <v>-3.8186221743810603E-2</v>
      </c>
      <c r="J494" s="42" t="s">
        <v>532</v>
      </c>
    </row>
    <row r="495" spans="1:12" x14ac:dyDescent="0.25">
      <c r="A495" s="44">
        <v>2018</v>
      </c>
      <c r="B495" s="44" t="s">
        <v>344</v>
      </c>
      <c r="C495" s="44" t="s">
        <v>1733</v>
      </c>
      <c r="D495" s="45">
        <v>1.6718</v>
      </c>
      <c r="E495" s="45">
        <v>1.5299</v>
      </c>
      <c r="F495" s="45">
        <v>3.7160000000000002</v>
      </c>
      <c r="G495" s="46">
        <v>0.55010764262648004</v>
      </c>
      <c r="H495" s="46">
        <v>0.58829386437029063</v>
      </c>
      <c r="I495" s="46">
        <v>-3.8186221743810589E-2</v>
      </c>
      <c r="J495" s="47" t="s">
        <v>533</v>
      </c>
      <c r="K495" s="48"/>
      <c r="L495" s="48"/>
    </row>
    <row r="496" spans="1:12" s="43" customFormat="1" ht="15" x14ac:dyDescent="0.25">
      <c r="A496" s="38" t="s">
        <v>560</v>
      </c>
      <c r="B496" s="39" t="s">
        <v>345</v>
      </c>
      <c r="C496" s="39" t="s">
        <v>828</v>
      </c>
      <c r="D496" s="40">
        <v>1.3222</v>
      </c>
      <c r="E496" s="40">
        <v>1.2122999999999999</v>
      </c>
      <c r="F496" s="40"/>
      <c r="G496" s="41"/>
      <c r="H496" s="41"/>
      <c r="I496" s="41"/>
      <c r="J496" s="42" t="s">
        <v>532</v>
      </c>
    </row>
    <row r="497" spans="1:12" s="43" customFormat="1" ht="15" x14ac:dyDescent="0.25">
      <c r="A497" s="38" t="s">
        <v>656</v>
      </c>
      <c r="B497" s="39" t="s">
        <v>345</v>
      </c>
      <c r="C497" s="39" t="s">
        <v>1759</v>
      </c>
      <c r="D497" s="40">
        <v>1.3222</v>
      </c>
      <c r="E497" s="40">
        <v>1.0029999999999999</v>
      </c>
      <c r="F497" s="40"/>
      <c r="G497" s="41"/>
      <c r="H497" s="41"/>
      <c r="I497" s="41"/>
      <c r="J497" s="42" t="s">
        <v>532</v>
      </c>
    </row>
    <row r="498" spans="1:12" s="43" customFormat="1" ht="15" x14ac:dyDescent="0.25">
      <c r="A498" s="38" t="s">
        <v>659</v>
      </c>
      <c r="B498" s="39" t="s">
        <v>345</v>
      </c>
      <c r="C498" s="39" t="s">
        <v>1806</v>
      </c>
      <c r="D498" s="40">
        <v>1.3222</v>
      </c>
      <c r="E498" s="40">
        <v>0.8931</v>
      </c>
      <c r="F498" s="40"/>
      <c r="G498" s="41"/>
      <c r="H498" s="41"/>
      <c r="I498" s="41"/>
      <c r="J498" s="42" t="s">
        <v>532</v>
      </c>
    </row>
    <row r="499" spans="1:12" x14ac:dyDescent="0.25">
      <c r="A499" s="44">
        <v>2018</v>
      </c>
      <c r="B499" s="44" t="s">
        <v>345</v>
      </c>
      <c r="C499" s="44" t="s">
        <v>2001</v>
      </c>
      <c r="D499" s="45">
        <v>1.3222</v>
      </c>
      <c r="E499" s="45">
        <v>1.0072270603228548</v>
      </c>
      <c r="F499" s="45"/>
      <c r="J499" s="47" t="s">
        <v>533</v>
      </c>
      <c r="K499" s="48"/>
      <c r="L499" s="48"/>
    </row>
    <row r="500" spans="1:12" s="43" customFormat="1" ht="15" x14ac:dyDescent="0.25">
      <c r="A500" s="38" t="s">
        <v>649</v>
      </c>
      <c r="B500" s="39" t="s">
        <v>362</v>
      </c>
      <c r="C500" s="39" t="s">
        <v>1679</v>
      </c>
      <c r="D500" s="40">
        <v>2.4620000000000002</v>
      </c>
      <c r="E500" s="40">
        <v>3.0792999999999999</v>
      </c>
      <c r="F500" s="40">
        <v>9.9499999999999993</v>
      </c>
      <c r="G500" s="41">
        <v>0.75256113902847599</v>
      </c>
      <c r="H500" s="41">
        <v>0.69052261306532603</v>
      </c>
      <c r="I500" s="41">
        <v>6.2038525963149099E-2</v>
      </c>
      <c r="J500" s="42" t="s">
        <v>532</v>
      </c>
    </row>
    <row r="501" spans="1:12" x14ac:dyDescent="0.25">
      <c r="A501" s="44">
        <v>2018</v>
      </c>
      <c r="B501" s="44" t="s">
        <v>362</v>
      </c>
      <c r="C501" s="44" t="s">
        <v>1679</v>
      </c>
      <c r="D501" s="45">
        <v>2.4620000000000002</v>
      </c>
      <c r="E501" s="45">
        <v>3.0792999999999999</v>
      </c>
      <c r="F501" s="45">
        <v>9.9499999999999993</v>
      </c>
      <c r="G501" s="46">
        <v>0.75256113902847566</v>
      </c>
      <c r="H501" s="46">
        <v>0.69052261306532647</v>
      </c>
      <c r="I501" s="46">
        <v>6.2038525963149078E-2</v>
      </c>
      <c r="J501" s="47" t="s">
        <v>533</v>
      </c>
      <c r="K501" s="48"/>
      <c r="L501" s="48"/>
    </row>
    <row r="502" spans="1:12" s="43" customFormat="1" ht="15" x14ac:dyDescent="0.25">
      <c r="A502" s="38" t="s">
        <v>645</v>
      </c>
      <c r="B502" s="39" t="s">
        <v>170</v>
      </c>
      <c r="C502" s="39" t="s">
        <v>1671</v>
      </c>
      <c r="D502" s="40">
        <v>5.8632999999999997</v>
      </c>
      <c r="E502" s="40">
        <v>1.0685</v>
      </c>
      <c r="F502" s="40">
        <v>3.3340000000000001</v>
      </c>
      <c r="G502" s="41">
        <v>-0.75863827234553105</v>
      </c>
      <c r="H502" s="41">
        <v>0.67951409718056399</v>
      </c>
      <c r="I502" s="41">
        <v>-1.4381523695261</v>
      </c>
      <c r="J502" s="42" t="s">
        <v>532</v>
      </c>
    </row>
    <row r="503" spans="1:12" s="43" customFormat="1" ht="15" x14ac:dyDescent="0.25">
      <c r="A503" s="38" t="s">
        <v>649</v>
      </c>
      <c r="B503" s="39" t="s">
        <v>170</v>
      </c>
      <c r="C503" s="39" t="s">
        <v>1680</v>
      </c>
      <c r="D503" s="40">
        <v>5.8632999999999997</v>
      </c>
      <c r="E503" s="40">
        <v>1.0659000000000001</v>
      </c>
      <c r="F503" s="40">
        <v>3.3340000000000001</v>
      </c>
      <c r="G503" s="41">
        <v>-0.75863827234553105</v>
      </c>
      <c r="H503" s="41">
        <v>0.68029394121175801</v>
      </c>
      <c r="I503" s="41">
        <v>-1.43893221355729</v>
      </c>
      <c r="J503" s="42" t="s">
        <v>532</v>
      </c>
    </row>
    <row r="504" spans="1:12" s="43" customFormat="1" ht="15" x14ac:dyDescent="0.25">
      <c r="A504" s="38" t="s">
        <v>650</v>
      </c>
      <c r="B504" s="39" t="s">
        <v>170</v>
      </c>
      <c r="C504" s="39" t="s">
        <v>1689</v>
      </c>
      <c r="D504" s="40">
        <v>1.4657</v>
      </c>
      <c r="E504" s="40">
        <v>1.0604</v>
      </c>
      <c r="F504" s="40">
        <v>3.3340000000000001</v>
      </c>
      <c r="G504" s="41">
        <v>0.56037792441511702</v>
      </c>
      <c r="H504" s="41">
        <v>0.68194361127774406</v>
      </c>
      <c r="I504" s="41">
        <v>-0.121565686862627</v>
      </c>
      <c r="J504" s="42" t="s">
        <v>532</v>
      </c>
    </row>
    <row r="505" spans="1:12" s="43" customFormat="1" ht="15" x14ac:dyDescent="0.25">
      <c r="A505" s="38" t="s">
        <v>646</v>
      </c>
      <c r="B505" s="39" t="s">
        <v>170</v>
      </c>
      <c r="C505" s="39" t="s">
        <v>1694</v>
      </c>
      <c r="D505" s="40">
        <v>5.8632999999999997</v>
      </c>
      <c r="E505" s="40">
        <v>1.0673999999999999</v>
      </c>
      <c r="F505" s="40">
        <v>3.3340000000000001</v>
      </c>
      <c r="G505" s="41">
        <v>-0.75863827234553105</v>
      </c>
      <c r="H505" s="41">
        <v>0.67984403119376102</v>
      </c>
      <c r="I505" s="41">
        <v>-1.43848230353929</v>
      </c>
      <c r="J505" s="42" t="s">
        <v>532</v>
      </c>
    </row>
    <row r="506" spans="1:12" x14ac:dyDescent="0.25">
      <c r="A506" s="44">
        <v>2018</v>
      </c>
      <c r="B506" s="44" t="s">
        <v>170</v>
      </c>
      <c r="C506" s="44" t="s">
        <v>1235</v>
      </c>
      <c r="D506" s="45">
        <v>5.5047355795148247</v>
      </c>
      <c r="E506" s="45">
        <v>1.0666469676549866</v>
      </c>
      <c r="F506" s="45">
        <v>3.3340000000000001</v>
      </c>
      <c r="G506" s="46">
        <v>-0.65109045576329505</v>
      </c>
      <c r="H506" s="46">
        <v>0.68006989572435939</v>
      </c>
      <c r="I506" s="46">
        <v>-1.3311603514876542</v>
      </c>
      <c r="J506" s="47" t="s">
        <v>533</v>
      </c>
      <c r="K506" s="48"/>
      <c r="L506" s="48"/>
    </row>
    <row r="507" spans="1:12" s="43" customFormat="1" ht="15" x14ac:dyDescent="0.25">
      <c r="A507" s="38" t="s">
        <v>650</v>
      </c>
      <c r="B507" s="39" t="s">
        <v>390</v>
      </c>
      <c r="C507" s="39" t="s">
        <v>1690</v>
      </c>
      <c r="D507" s="40">
        <v>2.4378000000000002</v>
      </c>
      <c r="E507" s="40">
        <v>2.4477000000000002</v>
      </c>
      <c r="F507" s="40">
        <v>7.03</v>
      </c>
      <c r="G507" s="41">
        <v>0.65323138928402102</v>
      </c>
      <c r="H507" s="41">
        <v>0.65182076813655798</v>
      </c>
      <c r="I507" s="41">
        <v>1.41062114746338E-3</v>
      </c>
      <c r="J507" s="42" t="s">
        <v>532</v>
      </c>
    </row>
    <row r="508" spans="1:12" s="43" customFormat="1" ht="15" x14ac:dyDescent="0.25">
      <c r="A508" s="38" t="s">
        <v>646</v>
      </c>
      <c r="B508" s="39" t="s">
        <v>390</v>
      </c>
      <c r="C508" s="39" t="s">
        <v>1695</v>
      </c>
      <c r="D508" s="40">
        <v>2.4378000000000002</v>
      </c>
      <c r="E508" s="40">
        <v>2.4773999999999998</v>
      </c>
      <c r="F508" s="40">
        <v>7.03</v>
      </c>
      <c r="G508" s="41">
        <v>0.65323138928402102</v>
      </c>
      <c r="H508" s="41">
        <v>0.64759601706970105</v>
      </c>
      <c r="I508" s="41">
        <v>5.6353722143196398E-3</v>
      </c>
      <c r="J508" s="42" t="s">
        <v>532</v>
      </c>
    </row>
    <row r="509" spans="1:12" x14ac:dyDescent="0.25">
      <c r="A509" s="44">
        <v>2018</v>
      </c>
      <c r="B509" s="44" t="s">
        <v>390</v>
      </c>
      <c r="C509" s="44" t="s">
        <v>1848</v>
      </c>
      <c r="D509" s="45">
        <v>2.4378000000000002</v>
      </c>
      <c r="E509" s="45">
        <v>2.4679637474541751</v>
      </c>
      <c r="F509" s="45">
        <v>7.0300000000000011</v>
      </c>
      <c r="G509" s="46">
        <v>0.65323138928402091</v>
      </c>
      <c r="H509" s="46">
        <v>0.64893830050438472</v>
      </c>
      <c r="I509" s="46">
        <v>4.2930887796361868E-3</v>
      </c>
      <c r="J509" s="47" t="s">
        <v>533</v>
      </c>
      <c r="K509" s="48"/>
      <c r="L509" s="48"/>
    </row>
    <row r="510" spans="1:12" s="43" customFormat="1" ht="15" x14ac:dyDescent="0.25">
      <c r="A510" s="38" t="s">
        <v>618</v>
      </c>
      <c r="B510" s="39" t="s">
        <v>202</v>
      </c>
      <c r="C510" s="39" t="s">
        <v>1083</v>
      </c>
      <c r="D510" s="40">
        <v>17.367799999999999</v>
      </c>
      <c r="E510" s="40">
        <v>17.089600000000001</v>
      </c>
      <c r="F510" s="40">
        <v>49.17</v>
      </c>
      <c r="G510" s="41">
        <v>0.64678055725035599</v>
      </c>
      <c r="H510" s="41">
        <v>0.65243847874720395</v>
      </c>
      <c r="I510" s="41">
        <v>-5.6579214968475204E-3</v>
      </c>
      <c r="J510" s="42" t="s">
        <v>532</v>
      </c>
    </row>
    <row r="511" spans="1:12" s="43" customFormat="1" ht="15" x14ac:dyDescent="0.25">
      <c r="A511" s="38" t="s">
        <v>624</v>
      </c>
      <c r="B511" s="39" t="s">
        <v>202</v>
      </c>
      <c r="C511" s="39" t="s">
        <v>1176</v>
      </c>
      <c r="D511" s="40">
        <v>16.845099999999999</v>
      </c>
      <c r="E511" s="40">
        <v>17.4754</v>
      </c>
      <c r="F511" s="40">
        <v>49.17</v>
      </c>
      <c r="G511" s="41">
        <v>0.65741102298149301</v>
      </c>
      <c r="H511" s="41">
        <v>0.64459223103518404</v>
      </c>
      <c r="I511" s="41">
        <v>1.28187919463088E-2</v>
      </c>
      <c r="J511" s="42" t="s">
        <v>532</v>
      </c>
    </row>
    <row r="512" spans="1:12" s="43" customFormat="1" ht="15" x14ac:dyDescent="0.25">
      <c r="A512" s="38" t="s">
        <v>633</v>
      </c>
      <c r="B512" s="39" t="s">
        <v>202</v>
      </c>
      <c r="C512" s="39" t="s">
        <v>935</v>
      </c>
      <c r="D512" s="40">
        <v>16.845099999999999</v>
      </c>
      <c r="E512" s="40">
        <v>15.378299999999999</v>
      </c>
      <c r="F512" s="40">
        <v>49.814</v>
      </c>
      <c r="G512" s="41">
        <v>0.661840044967278</v>
      </c>
      <c r="H512" s="41">
        <v>0.69128558236640303</v>
      </c>
      <c r="I512" s="41">
        <v>-2.9445537399124599E-2</v>
      </c>
      <c r="J512" s="42" t="s">
        <v>532</v>
      </c>
    </row>
    <row r="513" spans="1:12" s="43" customFormat="1" ht="15" x14ac:dyDescent="0.25">
      <c r="A513" s="38" t="s">
        <v>599</v>
      </c>
      <c r="B513" s="39" t="s">
        <v>202</v>
      </c>
      <c r="C513" s="39" t="s">
        <v>1555</v>
      </c>
      <c r="D513" s="40">
        <v>16.845099999999999</v>
      </c>
      <c r="E513" s="40">
        <v>19.895</v>
      </c>
      <c r="F513" s="40">
        <v>49.814</v>
      </c>
      <c r="G513" s="41">
        <v>0.661840044967278</v>
      </c>
      <c r="H513" s="41">
        <v>0.60061428514072401</v>
      </c>
      <c r="I513" s="41">
        <v>6.1225759826554899E-2</v>
      </c>
      <c r="J513" s="42" t="s">
        <v>532</v>
      </c>
    </row>
    <row r="514" spans="1:12" s="43" customFormat="1" ht="15" x14ac:dyDescent="0.25">
      <c r="A514" s="38" t="s">
        <v>545</v>
      </c>
      <c r="B514" s="39" t="s">
        <v>202</v>
      </c>
      <c r="C514" s="39" t="s">
        <v>1072</v>
      </c>
      <c r="D514" s="40">
        <v>16.845099999999999</v>
      </c>
      <c r="E514" s="40">
        <v>19.895</v>
      </c>
      <c r="F514" s="40">
        <v>49.814</v>
      </c>
      <c r="G514" s="41">
        <v>0.661840044967278</v>
      </c>
      <c r="H514" s="41">
        <v>0.60061428514072401</v>
      </c>
      <c r="I514" s="41">
        <v>6.1225759826554899E-2</v>
      </c>
      <c r="J514" s="42" t="s">
        <v>532</v>
      </c>
    </row>
    <row r="515" spans="1:12" x14ac:dyDescent="0.25">
      <c r="A515" s="44">
        <v>2018</v>
      </c>
      <c r="B515" s="44" t="s">
        <v>202</v>
      </c>
      <c r="C515" s="44" t="s">
        <v>1932</v>
      </c>
      <c r="D515" s="45">
        <v>16.991677248677245</v>
      </c>
      <c r="E515" s="45">
        <v>17.472454056437389</v>
      </c>
      <c r="F515" s="45">
        <v>49.415333333333336</v>
      </c>
      <c r="G515" s="46">
        <v>0.6561172393795156</v>
      </c>
      <c r="H515" s="46">
        <v>0.64643019406629476</v>
      </c>
      <c r="I515" s="46">
        <v>9.6870453132208677E-3</v>
      </c>
      <c r="J515" s="47" t="s">
        <v>533</v>
      </c>
      <c r="K515" s="48"/>
      <c r="L515" s="48"/>
    </row>
    <row r="516" spans="1:12" s="43" customFormat="1" ht="15" x14ac:dyDescent="0.25">
      <c r="A516" s="38" t="s">
        <v>618</v>
      </c>
      <c r="B516" s="39" t="s">
        <v>203</v>
      </c>
      <c r="C516" s="39" t="s">
        <v>752</v>
      </c>
      <c r="D516" s="40">
        <v>17.367799999999999</v>
      </c>
      <c r="E516" s="40">
        <v>18.017600000000002</v>
      </c>
      <c r="F516" s="40">
        <v>49.433</v>
      </c>
      <c r="G516" s="41">
        <v>0.64865980215645402</v>
      </c>
      <c r="H516" s="41">
        <v>0.63551473711892903</v>
      </c>
      <c r="I516" s="41">
        <v>1.31450650375257E-2</v>
      </c>
      <c r="J516" s="42" t="s">
        <v>532</v>
      </c>
    </row>
    <row r="517" spans="1:12" s="43" customFormat="1" ht="15" x14ac:dyDescent="0.25">
      <c r="A517" s="38" t="s">
        <v>537</v>
      </c>
      <c r="B517" s="39" t="s">
        <v>203</v>
      </c>
      <c r="C517" s="39" t="s">
        <v>1115</v>
      </c>
      <c r="D517" s="40">
        <v>17.367799999999999</v>
      </c>
      <c r="E517" s="40">
        <v>16.7089</v>
      </c>
      <c r="F517" s="40">
        <v>49.433</v>
      </c>
      <c r="G517" s="41">
        <v>0.64865980215645402</v>
      </c>
      <c r="H517" s="41">
        <v>0.66198895474682895</v>
      </c>
      <c r="I517" s="41">
        <v>-1.33291525903748E-2</v>
      </c>
      <c r="J517" s="42" t="s">
        <v>532</v>
      </c>
    </row>
    <row r="518" spans="1:12" s="43" customFormat="1" ht="15" x14ac:dyDescent="0.25">
      <c r="A518" s="38" t="s">
        <v>633</v>
      </c>
      <c r="B518" s="39" t="s">
        <v>203</v>
      </c>
      <c r="C518" s="39" t="s">
        <v>1403</v>
      </c>
      <c r="D518" s="40">
        <v>16.845099999999999</v>
      </c>
      <c r="E518" s="40">
        <v>15.393800000000001</v>
      </c>
      <c r="F518" s="40">
        <v>50.103999999999999</v>
      </c>
      <c r="G518" s="41">
        <v>0.66379730161264605</v>
      </c>
      <c r="H518" s="41">
        <v>0.692763052850072</v>
      </c>
      <c r="I518" s="41">
        <v>-2.8965751237426299E-2</v>
      </c>
      <c r="J518" s="42" t="s">
        <v>532</v>
      </c>
    </row>
    <row r="519" spans="1:12" s="43" customFormat="1" ht="15" x14ac:dyDescent="0.25">
      <c r="A519" s="38" t="s">
        <v>599</v>
      </c>
      <c r="B519" s="39" t="s">
        <v>203</v>
      </c>
      <c r="C519" s="39" t="s">
        <v>796</v>
      </c>
      <c r="D519" s="40">
        <v>16.845099999999999</v>
      </c>
      <c r="E519" s="40">
        <v>17.6692</v>
      </c>
      <c r="F519" s="40">
        <v>50.103999999999999</v>
      </c>
      <c r="G519" s="41">
        <v>0.66379730161264605</v>
      </c>
      <c r="H519" s="41">
        <v>0.64734951301293298</v>
      </c>
      <c r="I519" s="41">
        <v>1.64477885997126E-2</v>
      </c>
      <c r="J519" s="42" t="s">
        <v>532</v>
      </c>
    </row>
    <row r="520" spans="1:12" x14ac:dyDescent="0.25">
      <c r="A520" s="44">
        <v>2018</v>
      </c>
      <c r="B520" s="44" t="s">
        <v>203</v>
      </c>
      <c r="C520" s="44" t="s">
        <v>1933</v>
      </c>
      <c r="D520" s="45">
        <v>16.961995828505213</v>
      </c>
      <c r="E520" s="45">
        <v>16.573942757821552</v>
      </c>
      <c r="F520" s="45">
        <v>49.953938586326764</v>
      </c>
      <c r="G520" s="46">
        <v>0.66041197438779631</v>
      </c>
      <c r="H520" s="46">
        <v>0.66812823843674796</v>
      </c>
      <c r="I520" s="46">
        <v>-7.7162640489516002E-3</v>
      </c>
      <c r="J520" s="47" t="s">
        <v>533</v>
      </c>
      <c r="K520" s="48"/>
      <c r="L520" s="48"/>
    </row>
    <row r="521" spans="1:12" s="43" customFormat="1" ht="15" x14ac:dyDescent="0.25">
      <c r="A521" s="38" t="s">
        <v>678</v>
      </c>
      <c r="B521" s="39" t="s">
        <v>204</v>
      </c>
      <c r="C521" s="39" t="s">
        <v>935</v>
      </c>
      <c r="D521" s="40">
        <v>19.5505</v>
      </c>
      <c r="E521" s="40">
        <v>18.823599999999999</v>
      </c>
      <c r="F521" s="40">
        <v>59.351999999999997</v>
      </c>
      <c r="G521" s="41">
        <v>0.67060082221323603</v>
      </c>
      <c r="H521" s="41">
        <v>0.68284809273487002</v>
      </c>
      <c r="I521" s="41">
        <v>-1.22472705216338E-2</v>
      </c>
      <c r="J521" s="42" t="s">
        <v>532</v>
      </c>
    </row>
    <row r="522" spans="1:12" s="43" customFormat="1" ht="15" x14ac:dyDescent="0.25">
      <c r="A522" s="38" t="s">
        <v>694</v>
      </c>
      <c r="B522" s="39" t="s">
        <v>204</v>
      </c>
      <c r="C522" s="39" t="s">
        <v>1169</v>
      </c>
      <c r="D522" s="40">
        <v>18.026199999999999</v>
      </c>
      <c r="E522" s="40">
        <v>19.212499999999999</v>
      </c>
      <c r="F522" s="40">
        <v>59.351999999999997</v>
      </c>
      <c r="G522" s="41">
        <v>0.69628319180482601</v>
      </c>
      <c r="H522" s="41">
        <v>0.67629565979242501</v>
      </c>
      <c r="I522" s="41">
        <v>1.99875320124006E-2</v>
      </c>
      <c r="J522" s="42" t="s">
        <v>532</v>
      </c>
    </row>
    <row r="523" spans="1:12" s="43" customFormat="1" ht="15" x14ac:dyDescent="0.25">
      <c r="A523" s="38" t="s">
        <v>558</v>
      </c>
      <c r="B523" s="39" t="s">
        <v>204</v>
      </c>
      <c r="C523" s="39" t="s">
        <v>1444</v>
      </c>
      <c r="D523" s="40">
        <v>18.026199999999999</v>
      </c>
      <c r="E523" s="40">
        <v>16.3523</v>
      </c>
      <c r="F523" s="40">
        <v>60.201000000000001</v>
      </c>
      <c r="G523" s="41">
        <v>0.70056643577349198</v>
      </c>
      <c r="H523" s="41">
        <v>0.72837162173385805</v>
      </c>
      <c r="I523" s="41">
        <v>-2.7805185960366099E-2</v>
      </c>
      <c r="J523" s="42" t="s">
        <v>532</v>
      </c>
    </row>
    <row r="524" spans="1:12" s="43" customFormat="1" ht="15" x14ac:dyDescent="0.25">
      <c r="A524" s="38" t="s">
        <v>599</v>
      </c>
      <c r="B524" s="39" t="s">
        <v>204</v>
      </c>
      <c r="C524" s="39" t="s">
        <v>1048</v>
      </c>
      <c r="D524" s="40">
        <v>18.026199999999999</v>
      </c>
      <c r="E524" s="40">
        <v>16.570699999999999</v>
      </c>
      <c r="F524" s="40">
        <v>60.201000000000001</v>
      </c>
      <c r="G524" s="41">
        <v>0.70056643577349198</v>
      </c>
      <c r="H524" s="41">
        <v>0.72474377502034903</v>
      </c>
      <c r="I524" s="41">
        <v>-2.4177339246856399E-2</v>
      </c>
      <c r="J524" s="42" t="s">
        <v>532</v>
      </c>
    </row>
    <row r="525" spans="1:12" x14ac:dyDescent="0.25">
      <c r="A525" s="44">
        <v>2018</v>
      </c>
      <c r="B525" s="44" t="s">
        <v>204</v>
      </c>
      <c r="C525" s="44" t="s">
        <v>1775</v>
      </c>
      <c r="D525" s="45">
        <v>18.205169931271474</v>
      </c>
      <c r="E525" s="45">
        <v>18.041426403207332</v>
      </c>
      <c r="F525" s="45">
        <v>59.691405498281789</v>
      </c>
      <c r="G525" s="46">
        <v>0.69498010963062928</v>
      </c>
      <c r="H525" s="46">
        <v>0.69758423955277793</v>
      </c>
      <c r="I525" s="46">
        <v>-2.6041299221485569E-3</v>
      </c>
      <c r="J525" s="47" t="s">
        <v>533</v>
      </c>
      <c r="K525" s="48"/>
      <c r="L525" s="48"/>
    </row>
    <row r="526" spans="1:12" s="43" customFormat="1" ht="15" x14ac:dyDescent="0.25">
      <c r="A526" s="38" t="s">
        <v>678</v>
      </c>
      <c r="B526" s="39" t="s">
        <v>205</v>
      </c>
      <c r="C526" s="39" t="s">
        <v>936</v>
      </c>
      <c r="D526" s="40">
        <v>19.5505</v>
      </c>
      <c r="E526" s="40">
        <v>18.716200000000001</v>
      </c>
      <c r="F526" s="40">
        <v>59.676000000000002</v>
      </c>
      <c r="G526" s="41">
        <v>0.67238923520343197</v>
      </c>
      <c r="H526" s="41">
        <v>0.68636972987465605</v>
      </c>
      <c r="I526" s="41">
        <v>-1.39804946712246E-2</v>
      </c>
      <c r="J526" s="42" t="s">
        <v>532</v>
      </c>
    </row>
    <row r="527" spans="1:12" s="43" customFormat="1" ht="15" x14ac:dyDescent="0.25">
      <c r="A527" s="38" t="s">
        <v>689</v>
      </c>
      <c r="B527" s="39" t="s">
        <v>205</v>
      </c>
      <c r="C527" s="39" t="s">
        <v>1120</v>
      </c>
      <c r="D527" s="40">
        <v>19.5505</v>
      </c>
      <c r="E527" s="40">
        <v>17.051200000000001</v>
      </c>
      <c r="F527" s="40">
        <v>59.676000000000002</v>
      </c>
      <c r="G527" s="41">
        <v>0.67238923520343197</v>
      </c>
      <c r="H527" s="41">
        <v>0.71427039345800603</v>
      </c>
      <c r="I527" s="41">
        <v>-4.1881158254574703E-2</v>
      </c>
      <c r="J527" s="42" t="s">
        <v>532</v>
      </c>
    </row>
    <row r="528" spans="1:12" s="43" customFormat="1" ht="15" x14ac:dyDescent="0.25">
      <c r="A528" s="38" t="s">
        <v>558</v>
      </c>
      <c r="B528" s="39" t="s">
        <v>205</v>
      </c>
      <c r="C528" s="39" t="s">
        <v>986</v>
      </c>
      <c r="D528" s="40">
        <v>18.026199999999999</v>
      </c>
      <c r="E528" s="40">
        <v>16.6388</v>
      </c>
      <c r="F528" s="40">
        <v>60.591000000000001</v>
      </c>
      <c r="G528" s="41">
        <v>0.70249376970177102</v>
      </c>
      <c r="H528" s="41">
        <v>0.72539155980261105</v>
      </c>
      <c r="I528" s="41">
        <v>-2.2897790100840001E-2</v>
      </c>
      <c r="J528" s="42" t="s">
        <v>532</v>
      </c>
    </row>
    <row r="529" spans="1:12" x14ac:dyDescent="0.25">
      <c r="A529" s="44">
        <v>2018</v>
      </c>
      <c r="B529" s="44" t="s">
        <v>205</v>
      </c>
      <c r="C529" s="44" t="s">
        <v>1899</v>
      </c>
      <c r="D529" s="45">
        <v>18.263276232201534</v>
      </c>
      <c r="E529" s="45">
        <v>16.95460591456736</v>
      </c>
      <c r="F529" s="45">
        <v>60.448688937568456</v>
      </c>
      <c r="G529" s="46">
        <v>0.69781157485098888</v>
      </c>
      <c r="H529" s="46">
        <v>0.71944468445164045</v>
      </c>
      <c r="I529" s="46">
        <v>-2.1633109600651658E-2</v>
      </c>
      <c r="J529" s="47" t="s">
        <v>533</v>
      </c>
      <c r="K529" s="48"/>
      <c r="L529" s="48"/>
    </row>
    <row r="530" spans="1:12" s="43" customFormat="1" ht="15" x14ac:dyDescent="0.25">
      <c r="A530" s="38" t="s">
        <v>586</v>
      </c>
      <c r="B530" s="39" t="s">
        <v>206</v>
      </c>
      <c r="C530" s="39" t="s">
        <v>834</v>
      </c>
      <c r="D530" s="40">
        <v>0.45300000000000001</v>
      </c>
      <c r="E530" s="40">
        <v>0.52329999999999999</v>
      </c>
      <c r="F530" s="40">
        <v>1.49</v>
      </c>
      <c r="G530" s="41">
        <v>0.69600671140939596</v>
      </c>
      <c r="H530" s="41">
        <v>0.64879194630872505</v>
      </c>
      <c r="I530" s="41">
        <v>4.7214765100671102E-2</v>
      </c>
      <c r="J530" s="42" t="s">
        <v>532</v>
      </c>
    </row>
    <row r="531" spans="1:12" s="43" customFormat="1" ht="15" x14ac:dyDescent="0.25">
      <c r="A531" s="38" t="s">
        <v>577</v>
      </c>
      <c r="B531" s="39" t="s">
        <v>206</v>
      </c>
      <c r="C531" s="39" t="s">
        <v>1345</v>
      </c>
      <c r="D531" s="40">
        <v>0.45300000000000001</v>
      </c>
      <c r="E531" s="40">
        <v>0.48180000000000001</v>
      </c>
      <c r="F531" s="40">
        <v>1.526</v>
      </c>
      <c r="G531" s="41">
        <v>0.70317824377457405</v>
      </c>
      <c r="H531" s="41">
        <v>0.68427260812581903</v>
      </c>
      <c r="I531" s="41">
        <v>1.8905635648754901E-2</v>
      </c>
      <c r="J531" s="42" t="s">
        <v>532</v>
      </c>
    </row>
    <row r="532" spans="1:12" x14ac:dyDescent="0.25">
      <c r="A532" s="44">
        <v>2018</v>
      </c>
      <c r="B532" s="44" t="s">
        <v>206</v>
      </c>
      <c r="C532" s="44" t="s">
        <v>1863</v>
      </c>
      <c r="D532" s="45">
        <v>0.45299999999999996</v>
      </c>
      <c r="E532" s="45">
        <v>0.49956944190301922</v>
      </c>
      <c r="F532" s="45">
        <v>1.5105855443732845</v>
      </c>
      <c r="G532" s="46">
        <v>0.70010754190183544</v>
      </c>
      <c r="H532" s="46">
        <v>0.66908052237064974</v>
      </c>
      <c r="I532" s="46">
        <v>3.1027019531185647E-2</v>
      </c>
      <c r="J532" s="47" t="s">
        <v>533</v>
      </c>
      <c r="K532" s="48"/>
      <c r="L532" s="48"/>
    </row>
    <row r="533" spans="1:12" s="43" customFormat="1" ht="15" x14ac:dyDescent="0.25">
      <c r="A533" s="38" t="s">
        <v>649</v>
      </c>
      <c r="B533" s="39" t="s">
        <v>415</v>
      </c>
      <c r="C533" s="39" t="s">
        <v>1681</v>
      </c>
      <c r="D533" s="40">
        <v>4.1372</v>
      </c>
      <c r="E533" s="40">
        <v>5.8173000000000004</v>
      </c>
      <c r="F533" s="40">
        <v>18.539000000000001</v>
      </c>
      <c r="G533" s="41">
        <v>0.77683801715302903</v>
      </c>
      <c r="H533" s="41">
        <v>0.68621284858945997</v>
      </c>
      <c r="I533" s="41">
        <v>9.0625168563568698E-2</v>
      </c>
      <c r="J533" s="42" t="s">
        <v>532</v>
      </c>
    </row>
    <row r="534" spans="1:12" x14ac:dyDescent="0.25">
      <c r="A534" s="44">
        <v>2018</v>
      </c>
      <c r="B534" s="44" t="s">
        <v>415</v>
      </c>
      <c r="C534" s="44" t="s">
        <v>1681</v>
      </c>
      <c r="D534" s="45">
        <v>4.1372</v>
      </c>
      <c r="E534" s="45">
        <v>5.8173000000000004</v>
      </c>
      <c r="F534" s="45">
        <v>18.539000000000001</v>
      </c>
      <c r="G534" s="46">
        <v>0.7768380171530288</v>
      </c>
      <c r="H534" s="46">
        <v>0.68621284858946008</v>
      </c>
      <c r="I534" s="46">
        <v>9.0625168563568725E-2</v>
      </c>
      <c r="J534" s="47" t="s">
        <v>533</v>
      </c>
      <c r="K534" s="48"/>
      <c r="L534" s="48"/>
    </row>
    <row r="535" spans="1:12" s="43" customFormat="1" ht="15" x14ac:dyDescent="0.25">
      <c r="A535" s="38" t="s">
        <v>645</v>
      </c>
      <c r="B535" s="39" t="s">
        <v>435</v>
      </c>
      <c r="C535" s="39" t="s">
        <v>937</v>
      </c>
      <c r="D535" s="40">
        <v>4.3761999999999999</v>
      </c>
      <c r="E535" s="40">
        <v>4.5278</v>
      </c>
      <c r="F535" s="40">
        <v>18.37</v>
      </c>
      <c r="G535" s="41">
        <v>0.76177463255307598</v>
      </c>
      <c r="H535" s="41">
        <v>0.75352204681545998</v>
      </c>
      <c r="I535" s="41">
        <v>8.2525857376155604E-3</v>
      </c>
      <c r="J535" s="42" t="s">
        <v>532</v>
      </c>
    </row>
    <row r="536" spans="1:12" x14ac:dyDescent="0.25">
      <c r="A536" s="44">
        <v>2018</v>
      </c>
      <c r="B536" s="44" t="s">
        <v>435</v>
      </c>
      <c r="C536" s="44" t="s">
        <v>937</v>
      </c>
      <c r="D536" s="45">
        <v>4.3761999999999999</v>
      </c>
      <c r="E536" s="45">
        <v>4.5278</v>
      </c>
      <c r="F536" s="45">
        <v>18.37</v>
      </c>
      <c r="G536" s="46">
        <v>0.76177463255307565</v>
      </c>
      <c r="H536" s="46">
        <v>0.75352204681546031</v>
      </c>
      <c r="I536" s="46">
        <v>8.2525857376155587E-3</v>
      </c>
      <c r="J536" s="47" t="s">
        <v>533</v>
      </c>
      <c r="K536" s="48"/>
      <c r="L536" s="48"/>
    </row>
    <row r="537" spans="1:12" s="43" customFormat="1" ht="15" x14ac:dyDescent="0.25">
      <c r="A537" s="38" t="s">
        <v>649</v>
      </c>
      <c r="B537" s="39" t="s">
        <v>436</v>
      </c>
      <c r="C537" s="39" t="s">
        <v>1682</v>
      </c>
      <c r="D537" s="40">
        <v>9.3935999999999993</v>
      </c>
      <c r="E537" s="40">
        <v>2.5954999999999999</v>
      </c>
      <c r="F537" s="40">
        <v>9.94</v>
      </c>
      <c r="G537" s="41">
        <v>5.4969818913480899E-2</v>
      </c>
      <c r="H537" s="41">
        <v>0.73888329979879297</v>
      </c>
      <c r="I537" s="41">
        <v>-0.68391348088531201</v>
      </c>
      <c r="J537" s="42" t="s">
        <v>532</v>
      </c>
    </row>
    <row r="538" spans="1:12" x14ac:dyDescent="0.25">
      <c r="A538" s="44">
        <v>2018</v>
      </c>
      <c r="B538" s="44" t="s">
        <v>436</v>
      </c>
      <c r="C538" s="44" t="s">
        <v>1682</v>
      </c>
      <c r="D538" s="45">
        <v>9.3935999999999993</v>
      </c>
      <c r="E538" s="45">
        <v>2.5954999999999999</v>
      </c>
      <c r="F538" s="45">
        <v>9.94</v>
      </c>
      <c r="G538" s="46">
        <v>5.4969818913480913E-2</v>
      </c>
      <c r="H538" s="46">
        <v>0.73888329979879275</v>
      </c>
      <c r="I538" s="46">
        <v>-0.68391348088531179</v>
      </c>
      <c r="J538" s="47" t="s">
        <v>533</v>
      </c>
      <c r="K538" s="48"/>
      <c r="L538" s="48"/>
    </row>
    <row r="539" spans="1:12" s="43" customFormat="1" ht="15" x14ac:dyDescent="0.25">
      <c r="A539" s="38" t="s">
        <v>575</v>
      </c>
      <c r="B539" s="39" t="s">
        <v>444</v>
      </c>
      <c r="C539" s="39" t="s">
        <v>1582</v>
      </c>
      <c r="D539" s="40">
        <v>2.097</v>
      </c>
      <c r="E539" s="40"/>
      <c r="F539" s="40">
        <v>6.4</v>
      </c>
      <c r="G539" s="41">
        <v>0.67233593749999998</v>
      </c>
      <c r="H539" s="41"/>
      <c r="I539" s="41"/>
      <c r="J539" s="42" t="s">
        <v>532</v>
      </c>
    </row>
    <row r="540" spans="1:12" x14ac:dyDescent="0.25">
      <c r="A540" s="44">
        <v>2018</v>
      </c>
      <c r="B540" s="44" t="s">
        <v>444</v>
      </c>
      <c r="C540" s="44" t="s">
        <v>1582</v>
      </c>
      <c r="D540" s="45">
        <v>2.097</v>
      </c>
      <c r="F540" s="45">
        <v>6.4</v>
      </c>
      <c r="G540" s="46">
        <v>0.67233593750000009</v>
      </c>
      <c r="J540" s="47" t="s">
        <v>533</v>
      </c>
      <c r="K540" s="48"/>
      <c r="L540" s="48"/>
    </row>
    <row r="541" spans="1:12" s="43" customFormat="1" ht="15" x14ac:dyDescent="0.25">
      <c r="A541" s="38" t="s">
        <v>658</v>
      </c>
      <c r="B541" s="39" t="s">
        <v>438</v>
      </c>
      <c r="C541" s="39" t="s">
        <v>1744</v>
      </c>
      <c r="D541" s="40">
        <v>1.4899</v>
      </c>
      <c r="E541" s="40">
        <v>1.3757999999999999</v>
      </c>
      <c r="F541" s="40">
        <v>4.4770000000000003</v>
      </c>
      <c r="G541" s="41">
        <v>0.66720646266100803</v>
      </c>
      <c r="H541" s="41">
        <v>0.69269600178691104</v>
      </c>
      <c r="I541" s="41">
        <v>-2.5489539125902801E-2</v>
      </c>
      <c r="J541" s="42" t="s">
        <v>532</v>
      </c>
    </row>
    <row r="542" spans="1:12" x14ac:dyDescent="0.25">
      <c r="A542" s="44">
        <v>2018</v>
      </c>
      <c r="B542" s="44" t="s">
        <v>438</v>
      </c>
      <c r="C542" s="44" t="s">
        <v>1744</v>
      </c>
      <c r="D542" s="45">
        <v>1.4899</v>
      </c>
      <c r="E542" s="45">
        <v>1.3757999999999999</v>
      </c>
      <c r="F542" s="45">
        <v>4.4770000000000003</v>
      </c>
      <c r="G542" s="46">
        <v>0.66720646266100814</v>
      </c>
      <c r="H542" s="46">
        <v>0.69269600178691093</v>
      </c>
      <c r="I542" s="46">
        <v>-2.5489539125902794E-2</v>
      </c>
      <c r="J542" s="47" t="s">
        <v>533</v>
      </c>
      <c r="K542" s="48"/>
      <c r="L542" s="48"/>
    </row>
    <row r="543" spans="1:12" s="43" customFormat="1" ht="15" x14ac:dyDescent="0.25">
      <c r="A543" s="38" t="s">
        <v>658</v>
      </c>
      <c r="B543" s="39" t="s">
        <v>439</v>
      </c>
      <c r="C543" s="39" t="s">
        <v>1745</v>
      </c>
      <c r="D543" s="40">
        <v>1.8985000000000001</v>
      </c>
      <c r="E543" s="40">
        <v>1.9830000000000001</v>
      </c>
      <c r="F543" s="40">
        <v>5.7750000000000004</v>
      </c>
      <c r="G543" s="41">
        <v>0.67125108225108199</v>
      </c>
      <c r="H543" s="41">
        <v>0.656623376623377</v>
      </c>
      <c r="I543" s="41">
        <v>1.46277056277055E-2</v>
      </c>
      <c r="J543" s="42" t="s">
        <v>532</v>
      </c>
    </row>
    <row r="544" spans="1:12" x14ac:dyDescent="0.25">
      <c r="A544" s="44">
        <v>2018</v>
      </c>
      <c r="B544" s="44" t="s">
        <v>439</v>
      </c>
      <c r="C544" s="44" t="s">
        <v>1745</v>
      </c>
      <c r="D544" s="45">
        <v>1.8985000000000003</v>
      </c>
      <c r="E544" s="45">
        <v>1.9830000000000001</v>
      </c>
      <c r="F544" s="45">
        <v>5.7750000000000004</v>
      </c>
      <c r="G544" s="46">
        <v>0.67125108225108221</v>
      </c>
      <c r="H544" s="46">
        <v>0.65662337662337666</v>
      </c>
      <c r="I544" s="46">
        <v>1.4627705627705543E-2</v>
      </c>
      <c r="J544" s="47" t="s">
        <v>533</v>
      </c>
      <c r="K544" s="48"/>
      <c r="L544" s="48"/>
    </row>
    <row r="545" spans="1:12" s="43" customFormat="1" ht="15" x14ac:dyDescent="0.25">
      <c r="A545" s="38" t="s">
        <v>645</v>
      </c>
      <c r="B545" s="39" t="s">
        <v>434</v>
      </c>
      <c r="C545" s="39" t="s">
        <v>1132</v>
      </c>
      <c r="D545" s="40">
        <v>0.43359999999999999</v>
      </c>
      <c r="E545" s="40">
        <v>0.52010000000000001</v>
      </c>
      <c r="F545" s="40">
        <v>1.5629999999999999</v>
      </c>
      <c r="G545" s="41">
        <v>0.72256877799104302</v>
      </c>
      <c r="H545" s="41">
        <v>0.66724248240563</v>
      </c>
      <c r="I545" s="41">
        <v>5.5326295585412702E-2</v>
      </c>
      <c r="J545" s="42" t="s">
        <v>532</v>
      </c>
    </row>
    <row r="546" spans="1:12" x14ac:dyDescent="0.25">
      <c r="A546" s="44">
        <v>2018</v>
      </c>
      <c r="B546" s="44" t="s">
        <v>434</v>
      </c>
      <c r="C546" s="44" t="s">
        <v>1132</v>
      </c>
      <c r="D546" s="45">
        <v>0.43359999999999999</v>
      </c>
      <c r="E546" s="45">
        <v>0.52010000000000001</v>
      </c>
      <c r="F546" s="45">
        <v>1.5629999999999999</v>
      </c>
      <c r="G546" s="46">
        <v>0.72256877799104291</v>
      </c>
      <c r="H546" s="46">
        <v>0.66724248240563033</v>
      </c>
      <c r="I546" s="46">
        <v>5.5326295585412688E-2</v>
      </c>
      <c r="J546" s="47" t="s">
        <v>533</v>
      </c>
      <c r="K546" s="48"/>
      <c r="L546" s="48"/>
    </row>
    <row r="547" spans="1:12" s="43" customFormat="1" ht="15" x14ac:dyDescent="0.25">
      <c r="A547" s="38" t="s">
        <v>646</v>
      </c>
      <c r="B547" s="39" t="s">
        <v>497</v>
      </c>
      <c r="C547" s="39" t="s">
        <v>1696</v>
      </c>
      <c r="D547" s="40">
        <v>4.6948999999999996</v>
      </c>
      <c r="E547" s="40">
        <v>4.8029000000000002</v>
      </c>
      <c r="F547" s="40">
        <v>19.074000000000002</v>
      </c>
      <c r="G547" s="41">
        <v>0.75385865576177002</v>
      </c>
      <c r="H547" s="41">
        <v>0.74819649785047704</v>
      </c>
      <c r="I547" s="41">
        <v>5.6621579112928798E-3</v>
      </c>
      <c r="J547" s="42" t="s">
        <v>532</v>
      </c>
    </row>
    <row r="548" spans="1:12" x14ac:dyDescent="0.25">
      <c r="A548" s="44">
        <v>2018</v>
      </c>
      <c r="B548" s="44" t="s">
        <v>497</v>
      </c>
      <c r="C548" s="44" t="s">
        <v>1696</v>
      </c>
      <c r="D548" s="45">
        <v>4.6948999999999996</v>
      </c>
      <c r="E548" s="45">
        <v>4.8029000000000002</v>
      </c>
      <c r="F548" s="45">
        <v>19.074000000000002</v>
      </c>
      <c r="G548" s="46">
        <v>0.75385865576176991</v>
      </c>
      <c r="H548" s="46">
        <v>0.74819649785047715</v>
      </c>
      <c r="I548" s="46">
        <v>5.6621579112928755E-3</v>
      </c>
      <c r="J548" s="47" t="s">
        <v>533</v>
      </c>
      <c r="K548" s="48"/>
      <c r="L548" s="48"/>
    </row>
    <row r="549" spans="1:12" s="43" customFormat="1" ht="15" x14ac:dyDescent="0.25">
      <c r="A549" s="38" t="s">
        <v>646</v>
      </c>
      <c r="B549" s="39" t="s">
        <v>498</v>
      </c>
      <c r="C549" s="39" t="s">
        <v>978</v>
      </c>
      <c r="D549" s="40">
        <v>4.6264000000000003</v>
      </c>
      <c r="E549" s="40">
        <v>4.7150999999999996</v>
      </c>
      <c r="F549" s="40">
        <v>17.303999999999998</v>
      </c>
      <c r="G549" s="41">
        <v>0.73263985205732796</v>
      </c>
      <c r="H549" s="41">
        <v>0.72751386962552</v>
      </c>
      <c r="I549" s="41">
        <v>5.1259824318076203E-3</v>
      </c>
      <c r="J549" s="42" t="s">
        <v>532</v>
      </c>
    </row>
    <row r="550" spans="1:12" s="43" customFormat="1" ht="15" x14ac:dyDescent="0.25">
      <c r="A550" s="38" t="s">
        <v>575</v>
      </c>
      <c r="B550" s="39" t="s">
        <v>498</v>
      </c>
      <c r="C550" s="39" t="s">
        <v>1708</v>
      </c>
      <c r="D550" s="40">
        <v>4.6264000000000003</v>
      </c>
      <c r="E550" s="40">
        <v>5.6741999999999999</v>
      </c>
      <c r="F550" s="40">
        <v>17.303999999999998</v>
      </c>
      <c r="G550" s="41">
        <v>0.73263985205732796</v>
      </c>
      <c r="H550" s="41">
        <v>0.67208737864077694</v>
      </c>
      <c r="I550" s="41">
        <v>6.0552473416550998E-2</v>
      </c>
      <c r="J550" s="42" t="s">
        <v>532</v>
      </c>
    </row>
    <row r="551" spans="1:12" x14ac:dyDescent="0.25">
      <c r="A551" s="44">
        <v>2018</v>
      </c>
      <c r="B551" s="44" t="s">
        <v>498</v>
      </c>
      <c r="C551" s="44" t="s">
        <v>1988</v>
      </c>
      <c r="D551" s="45">
        <v>4.6264000000000003</v>
      </c>
      <c r="E551" s="45">
        <v>5.2997765765765763</v>
      </c>
      <c r="F551" s="45">
        <v>17.303999999999998</v>
      </c>
      <c r="G551" s="46">
        <v>0.73263985205732773</v>
      </c>
      <c r="H551" s="46">
        <v>0.69372534809428021</v>
      </c>
      <c r="I551" s="46">
        <v>3.8914503963047589E-2</v>
      </c>
      <c r="J551" s="47" t="s">
        <v>533</v>
      </c>
      <c r="K551" s="48"/>
      <c r="L551" s="48"/>
    </row>
    <row r="552" spans="1:12" s="43" customFormat="1" ht="15" x14ac:dyDescent="0.25">
      <c r="A552" s="38" t="s">
        <v>575</v>
      </c>
      <c r="B552" s="39" t="s">
        <v>505</v>
      </c>
      <c r="C552" s="39" t="s">
        <v>1709</v>
      </c>
      <c r="D552" s="40">
        <v>4.3053999999999997</v>
      </c>
      <c r="E552" s="40">
        <v>4.7560000000000002</v>
      </c>
      <c r="F552" s="40">
        <v>18.573</v>
      </c>
      <c r="G552" s="41">
        <v>0.76819038389059402</v>
      </c>
      <c r="H552" s="41">
        <v>0.74392935982340003</v>
      </c>
      <c r="I552" s="41">
        <v>2.4261024067194301E-2</v>
      </c>
      <c r="J552" s="42" t="s">
        <v>532</v>
      </c>
    </row>
    <row r="553" spans="1:12" x14ac:dyDescent="0.25">
      <c r="A553" s="44">
        <v>2018</v>
      </c>
      <c r="B553" s="44" t="s">
        <v>505</v>
      </c>
      <c r="C553" s="44" t="s">
        <v>1709</v>
      </c>
      <c r="D553" s="45">
        <v>4.3053999999999997</v>
      </c>
      <c r="E553" s="45">
        <v>4.7560000000000002</v>
      </c>
      <c r="F553" s="45">
        <v>18.573000000000004</v>
      </c>
      <c r="G553" s="46">
        <v>0.7681903838905938</v>
      </c>
      <c r="H553" s="46">
        <v>0.74392935982339947</v>
      </c>
      <c r="I553" s="46">
        <v>2.4261024067194329E-2</v>
      </c>
      <c r="J553" s="47" t="s">
        <v>533</v>
      </c>
      <c r="K553" s="48"/>
      <c r="L553" s="48"/>
    </row>
    <row r="554" spans="1:12" s="43" customFormat="1" ht="15" x14ac:dyDescent="0.25">
      <c r="A554" s="38" t="s">
        <v>554</v>
      </c>
      <c r="B554" s="39" t="s">
        <v>510</v>
      </c>
      <c r="C554" s="39" t="s">
        <v>1691</v>
      </c>
      <c r="D554" s="40">
        <v>0</v>
      </c>
      <c r="E554" s="40">
        <v>6.6748000000000003</v>
      </c>
      <c r="F554" s="40">
        <v>19.72</v>
      </c>
      <c r="G554" s="41">
        <v>1</v>
      </c>
      <c r="H554" s="41">
        <v>0.66152129817444205</v>
      </c>
      <c r="I554" s="41">
        <v>0.338478701825558</v>
      </c>
      <c r="J554" s="42" t="s">
        <v>532</v>
      </c>
    </row>
    <row r="555" spans="1:12" s="43" customFormat="1" ht="15" x14ac:dyDescent="0.25">
      <c r="A555" s="38" t="s">
        <v>656</v>
      </c>
      <c r="B555" s="39" t="s">
        <v>510</v>
      </c>
      <c r="C555" s="39" t="s">
        <v>1055</v>
      </c>
      <c r="D555" s="40">
        <v>0</v>
      </c>
      <c r="E555" s="40">
        <v>6.4992000000000001</v>
      </c>
      <c r="F555" s="40">
        <v>19.72</v>
      </c>
      <c r="G555" s="41">
        <v>1</v>
      </c>
      <c r="H555" s="41">
        <v>0.67042596348884398</v>
      </c>
      <c r="I555" s="41">
        <v>0.32957403651115602</v>
      </c>
      <c r="J555" s="42" t="s">
        <v>532</v>
      </c>
    </row>
    <row r="556" spans="1:12" x14ac:dyDescent="0.25">
      <c r="A556" s="44">
        <v>2018</v>
      </c>
      <c r="B556" s="44" t="s">
        <v>510</v>
      </c>
      <c r="C556" s="44" t="s">
        <v>1088</v>
      </c>
      <c r="D556" s="45">
        <v>0</v>
      </c>
      <c r="E556" s="45">
        <v>6.5680023391812874</v>
      </c>
      <c r="F556" s="45">
        <v>19.72</v>
      </c>
      <c r="G556" s="46">
        <v>1</v>
      </c>
      <c r="H556" s="46">
        <v>0.66693700105571563</v>
      </c>
      <c r="I556" s="46">
        <v>0.33306299894428437</v>
      </c>
      <c r="J556" s="47" t="s">
        <v>533</v>
      </c>
      <c r="K556" s="48"/>
      <c r="L556" s="48"/>
    </row>
    <row r="557" spans="1:12" s="43" customFormat="1" ht="15" x14ac:dyDescent="0.25">
      <c r="A557" s="38" t="s">
        <v>653</v>
      </c>
      <c r="B557" s="39" t="s">
        <v>501</v>
      </c>
      <c r="C557" s="39" t="s">
        <v>1702</v>
      </c>
      <c r="D557" s="40">
        <v>3.0794000000000001</v>
      </c>
      <c r="E557" s="40">
        <v>3.0295000000000001</v>
      </c>
      <c r="F557" s="40">
        <v>11.631</v>
      </c>
      <c r="G557" s="41">
        <v>0.73524202562118501</v>
      </c>
      <c r="H557" s="41">
        <v>0.73953228441234597</v>
      </c>
      <c r="I557" s="41">
        <v>-4.2902587911615199E-3</v>
      </c>
      <c r="J557" s="42" t="s">
        <v>532</v>
      </c>
    </row>
    <row r="558" spans="1:12" x14ac:dyDescent="0.25">
      <c r="A558" s="44">
        <v>2018</v>
      </c>
      <c r="B558" s="44" t="s">
        <v>501</v>
      </c>
      <c r="C558" s="44" t="s">
        <v>1702</v>
      </c>
      <c r="D558" s="45">
        <v>3.0794000000000001</v>
      </c>
      <c r="E558" s="45">
        <v>3.0295000000000001</v>
      </c>
      <c r="F558" s="45">
        <v>11.631</v>
      </c>
      <c r="G558" s="46">
        <v>0.73524202562118479</v>
      </c>
      <c r="H558" s="46">
        <v>0.7395322844123462</v>
      </c>
      <c r="I558" s="46">
        <v>-4.2902587911615164E-3</v>
      </c>
      <c r="J558" s="47" t="s">
        <v>533</v>
      </c>
      <c r="K558" s="48"/>
      <c r="L558" s="48"/>
    </row>
    <row r="559" spans="1:12" s="43" customFormat="1" ht="15" x14ac:dyDescent="0.25">
      <c r="A559" s="38" t="s">
        <v>646</v>
      </c>
      <c r="B559" s="39" t="s">
        <v>499</v>
      </c>
      <c r="C559" s="39" t="s">
        <v>1697</v>
      </c>
      <c r="D559" s="40">
        <v>2.8479999999999999</v>
      </c>
      <c r="E559" s="40">
        <v>2.8026</v>
      </c>
      <c r="F559" s="40">
        <v>9.8529999999999998</v>
      </c>
      <c r="G559" s="41">
        <v>0.71095097939713803</v>
      </c>
      <c r="H559" s="41">
        <v>0.71555871308231001</v>
      </c>
      <c r="I559" s="41">
        <v>-4.6077336851720902E-3</v>
      </c>
      <c r="J559" s="42" t="s">
        <v>532</v>
      </c>
    </row>
    <row r="560" spans="1:12" x14ac:dyDescent="0.25">
      <c r="A560" s="44">
        <v>2018</v>
      </c>
      <c r="B560" s="44" t="s">
        <v>499</v>
      </c>
      <c r="C560" s="44" t="s">
        <v>1697</v>
      </c>
      <c r="D560" s="45">
        <v>2.8479999999999999</v>
      </c>
      <c r="E560" s="45">
        <v>2.8026</v>
      </c>
      <c r="F560" s="45">
        <v>9.8529999999999998</v>
      </c>
      <c r="G560" s="46">
        <v>0.71095097939713792</v>
      </c>
      <c r="H560" s="46">
        <v>0.71555871308231001</v>
      </c>
      <c r="I560" s="46">
        <v>-4.6077336851720885E-3</v>
      </c>
      <c r="J560" s="47" t="s">
        <v>533</v>
      </c>
      <c r="K560" s="48"/>
      <c r="L560" s="48"/>
    </row>
    <row r="561" spans="1:12" s="43" customFormat="1" ht="15" x14ac:dyDescent="0.25">
      <c r="A561" s="38" t="s">
        <v>575</v>
      </c>
      <c r="B561" s="39" t="s">
        <v>506</v>
      </c>
      <c r="C561" s="39" t="s">
        <v>1710</v>
      </c>
      <c r="D561" s="40">
        <v>2.5750000000000002</v>
      </c>
      <c r="E561" s="40">
        <v>2.9207999999999998</v>
      </c>
      <c r="F561" s="40">
        <v>8.109</v>
      </c>
      <c r="G561" s="41">
        <v>0.682451596990998</v>
      </c>
      <c r="H561" s="41">
        <v>0.639807621161672</v>
      </c>
      <c r="I561" s="41">
        <v>4.2643975829325401E-2</v>
      </c>
      <c r="J561" s="42" t="s">
        <v>532</v>
      </c>
    </row>
    <row r="562" spans="1:12" s="43" customFormat="1" ht="15" x14ac:dyDescent="0.25">
      <c r="A562" s="38" t="s">
        <v>635</v>
      </c>
      <c r="B562" s="39" t="s">
        <v>506</v>
      </c>
      <c r="C562" s="39" t="s">
        <v>1717</v>
      </c>
      <c r="D562" s="40">
        <v>2.5750000000000002</v>
      </c>
      <c r="E562" s="40">
        <v>2.8199000000000001</v>
      </c>
      <c r="F562" s="40">
        <v>8.109</v>
      </c>
      <c r="G562" s="41">
        <v>0.682451596990998</v>
      </c>
      <c r="H562" s="41">
        <v>0.65225058576889905</v>
      </c>
      <c r="I562" s="41">
        <v>3.0201011222098999E-2</v>
      </c>
      <c r="J562" s="42" t="s">
        <v>532</v>
      </c>
    </row>
    <row r="563" spans="1:12" x14ac:dyDescent="0.25">
      <c r="A563" s="44">
        <v>2018</v>
      </c>
      <c r="B563" s="44" t="s">
        <v>506</v>
      </c>
      <c r="C563" s="44" t="s">
        <v>1992</v>
      </c>
      <c r="D563" s="45">
        <v>2.5750000000000006</v>
      </c>
      <c r="E563" s="45">
        <v>2.8364789752650177</v>
      </c>
      <c r="F563" s="45">
        <v>8.109</v>
      </c>
      <c r="G563" s="46">
        <v>0.68245159699099767</v>
      </c>
      <c r="H563" s="46">
        <v>0.65020607038290568</v>
      </c>
      <c r="I563" s="46">
        <v>3.2245526608091997E-2</v>
      </c>
      <c r="J563" s="47" t="s">
        <v>533</v>
      </c>
      <c r="K563" s="48"/>
      <c r="L563" s="48"/>
    </row>
    <row r="564" spans="1:12" s="43" customFormat="1" ht="15" x14ac:dyDescent="0.25">
      <c r="A564" s="38" t="s">
        <v>653</v>
      </c>
      <c r="B564" s="39" t="s">
        <v>502</v>
      </c>
      <c r="C564" s="39" t="s">
        <v>1304</v>
      </c>
      <c r="D564" s="40">
        <v>2.5621999999999998</v>
      </c>
      <c r="E564" s="40">
        <v>2.5486</v>
      </c>
      <c r="F564" s="40">
        <v>9.3170000000000002</v>
      </c>
      <c r="G564" s="41">
        <v>0.72499731673285395</v>
      </c>
      <c r="H564" s="41">
        <v>0.72645701406032004</v>
      </c>
      <c r="I564" s="41">
        <v>-1.45969732746587E-3</v>
      </c>
      <c r="J564" s="42" t="s">
        <v>532</v>
      </c>
    </row>
    <row r="565" spans="1:12" s="43" customFormat="1" ht="15" x14ac:dyDescent="0.25">
      <c r="A565" s="38" t="s">
        <v>575</v>
      </c>
      <c r="B565" s="39" t="s">
        <v>502</v>
      </c>
      <c r="C565" s="39" t="s">
        <v>1711</v>
      </c>
      <c r="D565" s="40">
        <v>2.5621999999999998</v>
      </c>
      <c r="E565" s="40">
        <v>2.5486</v>
      </c>
      <c r="F565" s="40">
        <v>9.3170000000000002</v>
      </c>
      <c r="G565" s="41">
        <v>0.72499731673285395</v>
      </c>
      <c r="H565" s="41">
        <v>0.72645701406032004</v>
      </c>
      <c r="I565" s="41">
        <v>-1.45969732746587E-3</v>
      </c>
      <c r="J565" s="42" t="s">
        <v>532</v>
      </c>
    </row>
    <row r="566" spans="1:12" x14ac:dyDescent="0.25">
      <c r="A566" s="44">
        <v>2018</v>
      </c>
      <c r="B566" s="44" t="s">
        <v>502</v>
      </c>
      <c r="C566" s="44" t="s">
        <v>1990</v>
      </c>
      <c r="D566" s="45">
        <v>2.5621999999999998</v>
      </c>
      <c r="E566" s="45">
        <v>2.5486</v>
      </c>
      <c r="F566" s="45">
        <v>9.3170000000000002</v>
      </c>
      <c r="G566" s="46">
        <v>0.72499731673285406</v>
      </c>
      <c r="H566" s="46">
        <v>0.72645701406031993</v>
      </c>
      <c r="I566" s="46">
        <v>-1.4596973274658698E-3</v>
      </c>
      <c r="J566" s="47" t="s">
        <v>533</v>
      </c>
      <c r="K566" s="48"/>
      <c r="L566" s="48"/>
    </row>
    <row r="567" spans="1:12" s="43" customFormat="1" ht="15" x14ac:dyDescent="0.25">
      <c r="A567" s="38" t="s">
        <v>654</v>
      </c>
      <c r="B567" s="39" t="s">
        <v>511</v>
      </c>
      <c r="C567" s="39" t="s">
        <v>1722</v>
      </c>
      <c r="D567" s="40">
        <v>0</v>
      </c>
      <c r="E567" s="40">
        <v>2.9685999999999999</v>
      </c>
      <c r="F567" s="40">
        <v>7.97</v>
      </c>
      <c r="G567" s="41">
        <v>1</v>
      </c>
      <c r="H567" s="41">
        <v>0.62752823086574705</v>
      </c>
      <c r="I567" s="41">
        <v>0.37247176913425301</v>
      </c>
      <c r="J567" s="42" t="s">
        <v>532</v>
      </c>
    </row>
    <row r="568" spans="1:12" x14ac:dyDescent="0.25">
      <c r="A568" s="44">
        <v>2018</v>
      </c>
      <c r="B568" s="44" t="s">
        <v>511</v>
      </c>
      <c r="C568" s="44" t="s">
        <v>1722</v>
      </c>
      <c r="D568" s="45">
        <v>0</v>
      </c>
      <c r="E568" s="45">
        <v>2.9685999999999999</v>
      </c>
      <c r="F568" s="45">
        <v>7.97</v>
      </c>
      <c r="G568" s="46">
        <v>1</v>
      </c>
      <c r="H568" s="46">
        <v>0.62752823086574661</v>
      </c>
      <c r="I568" s="46">
        <v>0.37247176913425334</v>
      </c>
      <c r="J568" s="47" t="s">
        <v>533</v>
      </c>
      <c r="K568" s="48"/>
      <c r="L568" s="48"/>
    </row>
    <row r="569" spans="1:12" s="43" customFormat="1" ht="15" x14ac:dyDescent="0.25">
      <c r="A569" s="38" t="s">
        <v>653</v>
      </c>
      <c r="B569" s="39" t="s">
        <v>503</v>
      </c>
      <c r="C569" s="39" t="s">
        <v>1703</v>
      </c>
      <c r="D569" s="40">
        <v>2.1474000000000002</v>
      </c>
      <c r="E569" s="40">
        <v>2.0249999999999999</v>
      </c>
      <c r="F569" s="40">
        <v>8.4610000000000003</v>
      </c>
      <c r="G569" s="41">
        <v>0.74620021274081105</v>
      </c>
      <c r="H569" s="41">
        <v>0.76066658787377395</v>
      </c>
      <c r="I569" s="41">
        <v>-1.4466375132963E-2</v>
      </c>
      <c r="J569" s="42" t="s">
        <v>532</v>
      </c>
    </row>
    <row r="570" spans="1:12" x14ac:dyDescent="0.25">
      <c r="A570" s="44">
        <v>2018</v>
      </c>
      <c r="B570" s="44" t="s">
        <v>503</v>
      </c>
      <c r="C570" s="44" t="s">
        <v>1703</v>
      </c>
      <c r="D570" s="45">
        <v>2.1474000000000002</v>
      </c>
      <c r="E570" s="45">
        <v>2.0249999999999999</v>
      </c>
      <c r="F570" s="45">
        <v>8.4610000000000003</v>
      </c>
      <c r="G570" s="46">
        <v>0.74620021274081072</v>
      </c>
      <c r="H570" s="46">
        <v>0.76066658787377361</v>
      </c>
      <c r="I570" s="46">
        <v>-1.4466375132963002E-2</v>
      </c>
      <c r="J570" s="47" t="s">
        <v>533</v>
      </c>
      <c r="K570" s="48"/>
      <c r="L570" s="48"/>
    </row>
    <row r="571" spans="1:12" s="43" customFormat="1" ht="15" x14ac:dyDescent="0.25">
      <c r="A571" s="38" t="s">
        <v>646</v>
      </c>
      <c r="B571" s="39" t="s">
        <v>500</v>
      </c>
      <c r="C571" s="39" t="s">
        <v>959</v>
      </c>
      <c r="D571" s="40">
        <v>2.0482</v>
      </c>
      <c r="E571" s="40">
        <v>1.9218999999999999</v>
      </c>
      <c r="F571" s="40">
        <v>7.5960000000000001</v>
      </c>
      <c r="G571" s="41">
        <v>0.73035808320168505</v>
      </c>
      <c r="H571" s="41">
        <v>0.74698525539757799</v>
      </c>
      <c r="I571" s="41">
        <v>-1.6627172195892499E-2</v>
      </c>
      <c r="J571" s="42" t="s">
        <v>532</v>
      </c>
    </row>
    <row r="572" spans="1:12" x14ac:dyDescent="0.25">
      <c r="A572" s="44">
        <v>2018</v>
      </c>
      <c r="B572" s="44" t="s">
        <v>500</v>
      </c>
      <c r="C572" s="44" t="s">
        <v>959</v>
      </c>
      <c r="D572" s="45">
        <v>2.0482</v>
      </c>
      <c r="E572" s="45">
        <v>1.9218999999999999</v>
      </c>
      <c r="F572" s="45">
        <v>7.5960000000000001</v>
      </c>
      <c r="G572" s="46">
        <v>0.73035808320168516</v>
      </c>
      <c r="H572" s="46">
        <v>0.74698525539757765</v>
      </c>
      <c r="I572" s="46">
        <v>-1.6627172195892492E-2</v>
      </c>
      <c r="J572" s="47" t="s">
        <v>533</v>
      </c>
      <c r="K572" s="48"/>
      <c r="L572" s="48"/>
    </row>
    <row r="573" spans="1:12" s="43" customFormat="1" ht="15" x14ac:dyDescent="0.25">
      <c r="A573" s="38" t="s">
        <v>575</v>
      </c>
      <c r="B573" s="39" t="s">
        <v>507</v>
      </c>
      <c r="C573" s="39" t="s">
        <v>1192</v>
      </c>
      <c r="D573" s="40">
        <v>2.1648999999999998</v>
      </c>
      <c r="E573" s="40">
        <v>2.2648999999999999</v>
      </c>
      <c r="F573" s="40">
        <v>7.524</v>
      </c>
      <c r="G573" s="41">
        <v>0.71226741095162205</v>
      </c>
      <c r="H573" s="41">
        <v>0.69897660818713403</v>
      </c>
      <c r="I573" s="41">
        <v>1.3290802764487001E-2</v>
      </c>
      <c r="J573" s="42" t="s">
        <v>532</v>
      </c>
    </row>
    <row r="574" spans="1:12" x14ac:dyDescent="0.25">
      <c r="A574" s="44">
        <v>2018</v>
      </c>
      <c r="B574" s="44" t="s">
        <v>507</v>
      </c>
      <c r="C574" s="44" t="s">
        <v>1192</v>
      </c>
      <c r="D574" s="45">
        <v>2.1648999999999998</v>
      </c>
      <c r="E574" s="45">
        <v>2.2648999999999999</v>
      </c>
      <c r="F574" s="45">
        <v>7.524</v>
      </c>
      <c r="G574" s="46">
        <v>0.71226741095162149</v>
      </c>
      <c r="H574" s="46">
        <v>0.69897660818713447</v>
      </c>
      <c r="I574" s="46">
        <v>1.329080276448702E-2</v>
      </c>
      <c r="J574" s="47" t="s">
        <v>533</v>
      </c>
      <c r="K574" s="48"/>
      <c r="L574" s="48"/>
    </row>
    <row r="575" spans="1:12" s="43" customFormat="1" ht="15" x14ac:dyDescent="0.25">
      <c r="A575" s="38" t="s">
        <v>653</v>
      </c>
      <c r="B575" s="39" t="s">
        <v>504</v>
      </c>
      <c r="C575" s="39" t="s">
        <v>912</v>
      </c>
      <c r="D575" s="40">
        <v>1.0673999999999999</v>
      </c>
      <c r="E575" s="40">
        <v>1.0569</v>
      </c>
      <c r="F575" s="40">
        <v>3.9020000000000001</v>
      </c>
      <c r="G575" s="41">
        <v>0.72644797539723205</v>
      </c>
      <c r="H575" s="41">
        <v>0.72913890312660201</v>
      </c>
      <c r="I575" s="41">
        <v>-2.6909277293696299E-3</v>
      </c>
      <c r="J575" s="42" t="s">
        <v>532</v>
      </c>
    </row>
    <row r="576" spans="1:12" x14ac:dyDescent="0.25">
      <c r="A576" s="44">
        <v>2018</v>
      </c>
      <c r="B576" s="44" t="s">
        <v>504</v>
      </c>
      <c r="C576" s="44" t="s">
        <v>912</v>
      </c>
      <c r="D576" s="45">
        <v>1.0673999999999999</v>
      </c>
      <c r="E576" s="45">
        <v>1.0569</v>
      </c>
      <c r="F576" s="45">
        <v>3.9020000000000001</v>
      </c>
      <c r="G576" s="46">
        <v>0.72644797539723216</v>
      </c>
      <c r="H576" s="46">
        <v>0.72913890312660168</v>
      </c>
      <c r="I576" s="46">
        <v>-2.6909277293696299E-3</v>
      </c>
      <c r="J576" s="47" t="s">
        <v>533</v>
      </c>
      <c r="K576" s="48"/>
      <c r="L576" s="48"/>
    </row>
    <row r="577" spans="1:12" s="43" customFormat="1" ht="15" x14ac:dyDescent="0.25">
      <c r="A577" s="38" t="s">
        <v>575</v>
      </c>
      <c r="B577" s="39" t="s">
        <v>508</v>
      </c>
      <c r="C577" s="39" t="s">
        <v>1712</v>
      </c>
      <c r="D577" s="40">
        <v>1.1043000000000001</v>
      </c>
      <c r="E577" s="40">
        <v>1.2013</v>
      </c>
      <c r="F577" s="40">
        <v>3.4249999999999998</v>
      </c>
      <c r="G577" s="41">
        <v>0.67757664233576598</v>
      </c>
      <c r="H577" s="41">
        <v>0.64925547445255505</v>
      </c>
      <c r="I577" s="41">
        <v>2.8321167883211502E-2</v>
      </c>
      <c r="J577" s="42" t="s">
        <v>532</v>
      </c>
    </row>
    <row r="578" spans="1:12" x14ac:dyDescent="0.25">
      <c r="A578" s="44">
        <v>2018</v>
      </c>
      <c r="B578" s="44" t="s">
        <v>508</v>
      </c>
      <c r="C578" s="44" t="s">
        <v>1712</v>
      </c>
      <c r="D578" s="45">
        <v>1.1043000000000001</v>
      </c>
      <c r="E578" s="45">
        <v>1.2013</v>
      </c>
      <c r="F578" s="45">
        <v>3.4249999999999998</v>
      </c>
      <c r="G578" s="46">
        <v>0.67757664233576631</v>
      </c>
      <c r="H578" s="46">
        <v>0.64925547445255483</v>
      </c>
      <c r="I578" s="46">
        <v>2.8321167883211484E-2</v>
      </c>
      <c r="J578" s="47" t="s">
        <v>533</v>
      </c>
      <c r="K578" s="48"/>
      <c r="L578" s="48"/>
    </row>
    <row r="579" spans="1:12" s="43" customFormat="1" ht="15" x14ac:dyDescent="0.25">
      <c r="A579" s="38" t="s">
        <v>650</v>
      </c>
      <c r="B579" s="39" t="s">
        <v>496</v>
      </c>
      <c r="C579" s="39" t="s">
        <v>1691</v>
      </c>
      <c r="D579" s="40">
        <v>4.9923999999999999</v>
      </c>
      <c r="E579" s="40">
        <v>5.1567999999999996</v>
      </c>
      <c r="F579" s="40">
        <v>18.396999999999998</v>
      </c>
      <c r="G579" s="41">
        <v>0.72862966788063299</v>
      </c>
      <c r="H579" s="41">
        <v>0.71969342827634897</v>
      </c>
      <c r="I579" s="41">
        <v>8.9362396042833598E-3</v>
      </c>
      <c r="J579" s="42" t="s">
        <v>532</v>
      </c>
    </row>
    <row r="580" spans="1:12" s="43" customFormat="1" ht="15" x14ac:dyDescent="0.25">
      <c r="A580" s="38" t="s">
        <v>575</v>
      </c>
      <c r="B580" s="39" t="s">
        <v>496</v>
      </c>
      <c r="C580" s="39" t="s">
        <v>1713</v>
      </c>
      <c r="D580" s="40">
        <v>4.9923999999999999</v>
      </c>
      <c r="E580" s="40">
        <v>4.3887</v>
      </c>
      <c r="F580" s="40">
        <v>18.396999999999998</v>
      </c>
      <c r="G580" s="41">
        <v>0.72862966788063299</v>
      </c>
      <c r="H580" s="41">
        <v>0.76144480078273602</v>
      </c>
      <c r="I580" s="41">
        <v>-3.2815132902103597E-2</v>
      </c>
      <c r="J580" s="42" t="s">
        <v>532</v>
      </c>
    </row>
    <row r="581" spans="1:12" s="43" customFormat="1" ht="15" x14ac:dyDescent="0.25">
      <c r="A581" s="38" t="s">
        <v>635</v>
      </c>
      <c r="B581" s="39" t="s">
        <v>496</v>
      </c>
      <c r="C581" s="39" t="s">
        <v>1718</v>
      </c>
      <c r="D581" s="40">
        <v>4.9923999999999999</v>
      </c>
      <c r="E581" s="40">
        <v>4.2305000000000001</v>
      </c>
      <c r="F581" s="40">
        <v>18.396999999999998</v>
      </c>
      <c r="G581" s="41">
        <v>0.72862966788063299</v>
      </c>
      <c r="H581" s="41">
        <v>0.77004402891775803</v>
      </c>
      <c r="I581" s="41">
        <v>-4.1414361037125702E-2</v>
      </c>
      <c r="J581" s="42" t="s">
        <v>532</v>
      </c>
    </row>
    <row r="582" spans="1:12" s="43" customFormat="1" ht="15" x14ac:dyDescent="0.25">
      <c r="A582" s="38" t="s">
        <v>554</v>
      </c>
      <c r="B582" s="39" t="s">
        <v>496</v>
      </c>
      <c r="C582" s="39" t="s">
        <v>1729</v>
      </c>
      <c r="D582" s="40">
        <v>4.9923999999999999</v>
      </c>
      <c r="E582" s="40">
        <v>3.6212</v>
      </c>
      <c r="F582" s="40">
        <v>18.396999999999998</v>
      </c>
      <c r="G582" s="41">
        <v>0.72862966788063299</v>
      </c>
      <c r="H582" s="41">
        <v>0.80316355927596905</v>
      </c>
      <c r="I582" s="41">
        <v>-7.4533891395336296E-2</v>
      </c>
      <c r="J582" s="42" t="s">
        <v>532</v>
      </c>
    </row>
    <row r="583" spans="1:12" x14ac:dyDescent="0.25">
      <c r="A583" s="44">
        <v>2018</v>
      </c>
      <c r="B583" s="44" t="s">
        <v>496</v>
      </c>
      <c r="C583" s="44" t="s">
        <v>1987</v>
      </c>
      <c r="D583" s="45">
        <v>4.9923999999999991</v>
      </c>
      <c r="E583" s="45">
        <v>4.3286713600000004</v>
      </c>
      <c r="F583" s="45">
        <v>18.396999999999998</v>
      </c>
      <c r="G583" s="46">
        <v>0.72862966788063244</v>
      </c>
      <c r="H583" s="46">
        <v>0.76470775887372933</v>
      </c>
      <c r="I583" s="46">
        <v>-3.607809099309673E-2</v>
      </c>
      <c r="J583" s="47" t="s">
        <v>533</v>
      </c>
      <c r="K583" s="48"/>
      <c r="L583" s="48"/>
    </row>
    <row r="584" spans="1:12" s="43" customFormat="1" ht="15" x14ac:dyDescent="0.25">
      <c r="A584" s="38" t="s">
        <v>645</v>
      </c>
      <c r="B584" s="39" t="s">
        <v>494</v>
      </c>
      <c r="C584" s="39" t="s">
        <v>1619</v>
      </c>
      <c r="D584" s="40">
        <v>1.7916000000000001</v>
      </c>
      <c r="E584" s="40">
        <v>1.7825</v>
      </c>
      <c r="F584" s="40">
        <v>7.7880000000000003</v>
      </c>
      <c r="G584" s="41">
        <v>0.76995377503852103</v>
      </c>
      <c r="H584" s="41">
        <v>0.77112223934257795</v>
      </c>
      <c r="I584" s="41">
        <v>-1.16846430405759E-3</v>
      </c>
      <c r="J584" s="42" t="s">
        <v>532</v>
      </c>
    </row>
    <row r="585" spans="1:12" s="43" customFormat="1" ht="15" x14ac:dyDescent="0.25">
      <c r="A585" s="38" t="s">
        <v>649</v>
      </c>
      <c r="B585" s="39" t="s">
        <v>494</v>
      </c>
      <c r="C585" s="39" t="s">
        <v>1601</v>
      </c>
      <c r="D585" s="40">
        <v>1.7916000000000001</v>
      </c>
      <c r="E585" s="40">
        <v>1.9034</v>
      </c>
      <c r="F585" s="40">
        <v>7.7880000000000003</v>
      </c>
      <c r="G585" s="41">
        <v>0.76995377503852103</v>
      </c>
      <c r="H585" s="41">
        <v>0.75559835644581397</v>
      </c>
      <c r="I585" s="41">
        <v>1.4355418592706601E-2</v>
      </c>
      <c r="J585" s="42" t="s">
        <v>532</v>
      </c>
    </row>
    <row r="586" spans="1:12" x14ac:dyDescent="0.25">
      <c r="A586" s="44">
        <v>2018</v>
      </c>
      <c r="B586" s="44" t="s">
        <v>494</v>
      </c>
      <c r="C586" s="44" t="s">
        <v>1985</v>
      </c>
      <c r="D586" s="45">
        <v>1.7916000000000001</v>
      </c>
      <c r="E586" s="45">
        <v>1.806129411764706</v>
      </c>
      <c r="F586" s="45">
        <v>7.7880000000000011</v>
      </c>
      <c r="G586" s="46">
        <v>0.7699537750385208</v>
      </c>
      <c r="H586" s="46">
        <v>0.76808815976313494</v>
      </c>
      <c r="I586" s="46">
        <v>1.865615275385887E-3</v>
      </c>
      <c r="J586" s="47" t="s">
        <v>533</v>
      </c>
      <c r="K586" s="48"/>
      <c r="L586" s="48"/>
    </row>
    <row r="587" spans="1:12" s="43" customFormat="1" ht="15" x14ac:dyDescent="0.25">
      <c r="A587" s="38" t="s">
        <v>649</v>
      </c>
      <c r="B587" s="39" t="s">
        <v>495</v>
      </c>
      <c r="C587" s="39" t="s">
        <v>1683</v>
      </c>
      <c r="D587" s="40">
        <v>0.80859999999999999</v>
      </c>
      <c r="E587" s="40">
        <v>0.97660000000000002</v>
      </c>
      <c r="F587" s="40">
        <v>3.4180000000000001</v>
      </c>
      <c r="G587" s="41">
        <v>0.76342890579286105</v>
      </c>
      <c r="H587" s="41">
        <v>0.71427735517846702</v>
      </c>
      <c r="I587" s="41">
        <v>4.9151550614394197E-2</v>
      </c>
      <c r="J587" s="42" t="s">
        <v>532</v>
      </c>
    </row>
    <row r="588" spans="1:12" x14ac:dyDescent="0.25">
      <c r="A588" s="44">
        <v>2018</v>
      </c>
      <c r="B588" s="44" t="s">
        <v>495</v>
      </c>
      <c r="C588" s="44" t="s">
        <v>1683</v>
      </c>
      <c r="D588" s="45">
        <v>0.80859999999999999</v>
      </c>
      <c r="E588" s="45">
        <v>0.97660000000000002</v>
      </c>
      <c r="F588" s="45">
        <v>3.4180000000000001</v>
      </c>
      <c r="G588" s="46">
        <v>0.76342890579286127</v>
      </c>
      <c r="H588" s="46">
        <v>0.71427735517846702</v>
      </c>
      <c r="I588" s="46">
        <v>4.9151550614394246E-2</v>
      </c>
      <c r="J588" s="47" t="s">
        <v>533</v>
      </c>
      <c r="K588" s="48"/>
      <c r="L588" s="48"/>
    </row>
    <row r="589" spans="1:12" s="43" customFormat="1" ht="15" x14ac:dyDescent="0.25">
      <c r="A589" s="38" t="s">
        <v>586</v>
      </c>
      <c r="B589" s="39" t="s">
        <v>86</v>
      </c>
      <c r="C589" s="39" t="s">
        <v>831</v>
      </c>
      <c r="D589" s="40">
        <v>3.1918000000000002</v>
      </c>
      <c r="E589" s="40">
        <v>3.4887999999999999</v>
      </c>
      <c r="F589" s="40">
        <v>8.3770000000000007</v>
      </c>
      <c r="G589" s="41">
        <v>0.61898054196012897</v>
      </c>
      <c r="H589" s="41">
        <v>0.58352632207234101</v>
      </c>
      <c r="I589" s="41">
        <v>3.5454219887787998E-2</v>
      </c>
      <c r="J589" s="42" t="s">
        <v>532</v>
      </c>
    </row>
    <row r="590" spans="1:12" s="43" customFormat="1" ht="15" x14ac:dyDescent="0.25">
      <c r="A590" s="38" t="s">
        <v>674</v>
      </c>
      <c r="B590" s="39" t="s">
        <v>86</v>
      </c>
      <c r="C590" s="39" t="s">
        <v>855</v>
      </c>
      <c r="D590" s="40">
        <v>3.1918000000000002</v>
      </c>
      <c r="E590" s="40">
        <v>3.7873000000000001</v>
      </c>
      <c r="F590" s="40">
        <v>8.3770000000000007</v>
      </c>
      <c r="G590" s="41">
        <v>0.61898054196012897</v>
      </c>
      <c r="H590" s="41">
        <v>0.54789304046794796</v>
      </c>
      <c r="I590" s="41">
        <v>7.1087501492181002E-2</v>
      </c>
      <c r="J590" s="42" t="s">
        <v>532</v>
      </c>
    </row>
    <row r="591" spans="1:12" s="43" customFormat="1" ht="15" x14ac:dyDescent="0.25">
      <c r="A591" s="38" t="s">
        <v>618</v>
      </c>
      <c r="B591" s="39" t="s">
        <v>86</v>
      </c>
      <c r="C591" s="39" t="s">
        <v>913</v>
      </c>
      <c r="D591" s="40">
        <v>3.1918000000000002</v>
      </c>
      <c r="E591" s="40">
        <v>3.1472000000000002</v>
      </c>
      <c r="F591" s="40">
        <v>8.3770000000000007</v>
      </c>
      <c r="G591" s="41">
        <v>0.61898054196012897</v>
      </c>
      <c r="H591" s="41">
        <v>0.62430464366718397</v>
      </c>
      <c r="I591" s="41">
        <v>-5.324101707055E-3</v>
      </c>
      <c r="J591" s="42" t="s">
        <v>532</v>
      </c>
    </row>
    <row r="592" spans="1:12" s="43" customFormat="1" ht="15" x14ac:dyDescent="0.25">
      <c r="A592" s="38" t="s">
        <v>553</v>
      </c>
      <c r="B592" s="39" t="s">
        <v>86</v>
      </c>
      <c r="C592" s="39" t="s">
        <v>1282</v>
      </c>
      <c r="D592" s="40">
        <v>3.8159000000000001</v>
      </c>
      <c r="E592" s="40">
        <v>2.2639999999999998</v>
      </c>
      <c r="F592" s="40">
        <v>8.3770000000000007</v>
      </c>
      <c r="G592" s="41">
        <v>0.54447893040467998</v>
      </c>
      <c r="H592" s="41">
        <v>0.72973618240420202</v>
      </c>
      <c r="I592" s="41">
        <v>-0.185257251999523</v>
      </c>
      <c r="J592" s="42" t="s">
        <v>532</v>
      </c>
    </row>
    <row r="593" spans="1:12" s="43" customFormat="1" ht="15" x14ac:dyDescent="0.25">
      <c r="A593" s="38" t="s">
        <v>634</v>
      </c>
      <c r="B593" s="39" t="s">
        <v>86</v>
      </c>
      <c r="C593" s="39" t="s">
        <v>1176</v>
      </c>
      <c r="D593" s="40">
        <v>3.8159000000000001</v>
      </c>
      <c r="E593" s="40">
        <v>3.9058999999999999</v>
      </c>
      <c r="F593" s="40">
        <v>8.6140000000000008</v>
      </c>
      <c r="G593" s="41">
        <v>0.55701184118876201</v>
      </c>
      <c r="H593" s="41">
        <v>0.54656373345716303</v>
      </c>
      <c r="I593" s="41">
        <v>1.0448107731599701E-2</v>
      </c>
      <c r="J593" s="42" t="s">
        <v>532</v>
      </c>
    </row>
    <row r="594" spans="1:12" s="43" customFormat="1" ht="15" x14ac:dyDescent="0.25">
      <c r="A594" s="38" t="s">
        <v>583</v>
      </c>
      <c r="B594" s="39" t="s">
        <v>86</v>
      </c>
      <c r="C594" s="39" t="s">
        <v>1415</v>
      </c>
      <c r="D594" s="40">
        <v>3.8159000000000001</v>
      </c>
      <c r="E594" s="40">
        <v>3.9649000000000001</v>
      </c>
      <c r="F594" s="40">
        <v>8.6140000000000008</v>
      </c>
      <c r="G594" s="41">
        <v>0.55701184118876201</v>
      </c>
      <c r="H594" s="41">
        <v>0.53971441838866996</v>
      </c>
      <c r="I594" s="41">
        <v>1.7297422800092801E-2</v>
      </c>
      <c r="J594" s="42" t="s">
        <v>532</v>
      </c>
    </row>
    <row r="595" spans="1:12" x14ac:dyDescent="0.25">
      <c r="A595" s="44">
        <v>2018</v>
      </c>
      <c r="B595" s="44" t="s">
        <v>86</v>
      </c>
      <c r="C595" s="44" t="s">
        <v>1861</v>
      </c>
      <c r="D595" s="45">
        <v>3.4517362736917394</v>
      </c>
      <c r="E595" s="45">
        <v>3.3139980808201215</v>
      </c>
      <c r="F595" s="45">
        <v>8.4325985218738833</v>
      </c>
      <c r="G595" s="46">
        <v>0.59089091717151698</v>
      </c>
      <c r="H595" s="46">
        <v>0.60743927568546052</v>
      </c>
      <c r="I595" s="46">
        <v>-1.6548358513943515E-2</v>
      </c>
      <c r="J595" s="47" t="s">
        <v>533</v>
      </c>
      <c r="K595" s="48"/>
      <c r="L595" s="48"/>
    </row>
    <row r="596" spans="1:12" s="43" customFormat="1" ht="15" x14ac:dyDescent="0.25">
      <c r="A596" s="38" t="s">
        <v>674</v>
      </c>
      <c r="B596" s="39" t="s">
        <v>87</v>
      </c>
      <c r="C596" s="39" t="s">
        <v>856</v>
      </c>
      <c r="D596" s="40">
        <v>3.0796999999999999</v>
      </c>
      <c r="E596" s="40">
        <v>4.2580999999999998</v>
      </c>
      <c r="F596" s="40">
        <v>8.3740000000000006</v>
      </c>
      <c r="G596" s="41">
        <v>0.632230714115118</v>
      </c>
      <c r="H596" s="41">
        <v>0.49150943396226399</v>
      </c>
      <c r="I596" s="41">
        <v>0.14072128015285401</v>
      </c>
      <c r="J596" s="42" t="s">
        <v>532</v>
      </c>
    </row>
    <row r="597" spans="1:12" s="43" customFormat="1" ht="15" x14ac:dyDescent="0.25">
      <c r="A597" s="38" t="s">
        <v>572</v>
      </c>
      <c r="B597" s="39" t="s">
        <v>87</v>
      </c>
      <c r="C597" s="39" t="s">
        <v>1302</v>
      </c>
      <c r="D597" s="40">
        <v>3.4342999999999999</v>
      </c>
      <c r="E597" s="40">
        <v>4.2968000000000002</v>
      </c>
      <c r="F597" s="40">
        <v>8.3740000000000006</v>
      </c>
      <c r="G597" s="41">
        <v>0.58988535944590403</v>
      </c>
      <c r="H597" s="41">
        <v>0.486887986625269</v>
      </c>
      <c r="I597" s="41">
        <v>0.10299737282063499</v>
      </c>
      <c r="J597" s="42" t="s">
        <v>532</v>
      </c>
    </row>
    <row r="598" spans="1:12" x14ac:dyDescent="0.25">
      <c r="A598" s="44">
        <v>2018</v>
      </c>
      <c r="B598" s="44" t="s">
        <v>87</v>
      </c>
      <c r="C598" s="44" t="s">
        <v>1867</v>
      </c>
      <c r="D598" s="45">
        <v>3.2160027027027027</v>
      </c>
      <c r="E598" s="45">
        <v>4.2729756756756752</v>
      </c>
      <c r="F598" s="45">
        <v>8.3740000000000006</v>
      </c>
      <c r="G598" s="46">
        <v>0.61595382102905383</v>
      </c>
      <c r="H598" s="46">
        <v>0.48973302177266842</v>
      </c>
      <c r="I598" s="46">
        <v>0.12622079925638552</v>
      </c>
      <c r="J598" s="47" t="s">
        <v>533</v>
      </c>
      <c r="K598" s="48"/>
      <c r="L598" s="48"/>
    </row>
    <row r="599" spans="1:12" s="43" customFormat="1" ht="15" x14ac:dyDescent="0.25">
      <c r="A599" s="38" t="s">
        <v>676</v>
      </c>
      <c r="B599" s="39" t="s">
        <v>88</v>
      </c>
      <c r="C599" s="39" t="s">
        <v>879</v>
      </c>
      <c r="D599" s="40">
        <v>4.0698999999999996</v>
      </c>
      <c r="E599" s="40">
        <v>4.3190999999999997</v>
      </c>
      <c r="F599" s="40">
        <v>7.7329999999999997</v>
      </c>
      <c r="G599" s="41">
        <v>0.47369714211819502</v>
      </c>
      <c r="H599" s="41">
        <v>0.441471615155826</v>
      </c>
      <c r="I599" s="41">
        <v>3.2225526962369098E-2</v>
      </c>
      <c r="J599" s="42" t="s">
        <v>532</v>
      </c>
    </row>
    <row r="600" spans="1:12" s="43" customFormat="1" ht="15" x14ac:dyDescent="0.25">
      <c r="A600" s="38" t="s">
        <v>693</v>
      </c>
      <c r="B600" s="39" t="s">
        <v>88</v>
      </c>
      <c r="C600" s="39" t="s">
        <v>1138</v>
      </c>
      <c r="D600" s="40">
        <v>4.0698999999999996</v>
      </c>
      <c r="E600" s="40">
        <v>3.5207999999999999</v>
      </c>
      <c r="F600" s="40">
        <v>7.7329999999999997</v>
      </c>
      <c r="G600" s="41">
        <v>0.47369714211819502</v>
      </c>
      <c r="H600" s="41">
        <v>0.544704513125566</v>
      </c>
      <c r="I600" s="41">
        <v>-7.1007371007370895E-2</v>
      </c>
      <c r="J600" s="42" t="s">
        <v>532</v>
      </c>
    </row>
    <row r="601" spans="1:12" s="43" customFormat="1" ht="15" x14ac:dyDescent="0.25">
      <c r="A601" s="38" t="s">
        <v>584</v>
      </c>
      <c r="B601" s="39" t="s">
        <v>88</v>
      </c>
      <c r="C601" s="39" t="s">
        <v>1154</v>
      </c>
      <c r="D601" s="40">
        <v>4.1670999999999996</v>
      </c>
      <c r="E601" s="40">
        <v>3.5177999999999998</v>
      </c>
      <c r="F601" s="40">
        <v>7.7329999999999997</v>
      </c>
      <c r="G601" s="41">
        <v>0.46112763481184499</v>
      </c>
      <c r="H601" s="41">
        <v>0.54509246088193397</v>
      </c>
      <c r="I601" s="41">
        <v>-8.3964826070089205E-2</v>
      </c>
      <c r="J601" s="42" t="s">
        <v>532</v>
      </c>
    </row>
    <row r="602" spans="1:12" s="43" customFormat="1" ht="15" x14ac:dyDescent="0.25">
      <c r="A602" s="38" t="s">
        <v>578</v>
      </c>
      <c r="B602" s="39" t="s">
        <v>88</v>
      </c>
      <c r="C602" s="39" t="s">
        <v>1161</v>
      </c>
      <c r="D602" s="40">
        <v>4.1670999999999996</v>
      </c>
      <c r="E602" s="40">
        <v>3.6392000000000002</v>
      </c>
      <c r="F602" s="40">
        <v>7.7329999999999997</v>
      </c>
      <c r="G602" s="41">
        <v>0.46112763481184499</v>
      </c>
      <c r="H602" s="41">
        <v>0.52939350834087695</v>
      </c>
      <c r="I602" s="41">
        <v>-6.8265873529031407E-2</v>
      </c>
      <c r="J602" s="42" t="s">
        <v>532</v>
      </c>
    </row>
    <row r="603" spans="1:12" s="43" customFormat="1" ht="15" x14ac:dyDescent="0.25">
      <c r="A603" s="38" t="s">
        <v>694</v>
      </c>
      <c r="B603" s="39" t="s">
        <v>88</v>
      </c>
      <c r="C603" s="39" t="s">
        <v>1154</v>
      </c>
      <c r="D603" s="40">
        <v>4.1670999999999996</v>
      </c>
      <c r="E603" s="40">
        <v>3.5283000000000002</v>
      </c>
      <c r="F603" s="40">
        <v>7.7329999999999997</v>
      </c>
      <c r="G603" s="41">
        <v>0.46112763481184499</v>
      </c>
      <c r="H603" s="41">
        <v>0.54373464373464397</v>
      </c>
      <c r="I603" s="41">
        <v>-8.2607008922798306E-2</v>
      </c>
      <c r="J603" s="42" t="s">
        <v>532</v>
      </c>
    </row>
    <row r="604" spans="1:12" s="43" customFormat="1" ht="15" x14ac:dyDescent="0.25">
      <c r="A604" s="38" t="s">
        <v>549</v>
      </c>
      <c r="B604" s="39" t="s">
        <v>88</v>
      </c>
      <c r="C604" s="39" t="s">
        <v>1218</v>
      </c>
      <c r="D604" s="40">
        <v>4.1670999999999996</v>
      </c>
      <c r="E604" s="40">
        <v>4.0689000000000002</v>
      </c>
      <c r="F604" s="40">
        <v>7.7329999999999997</v>
      </c>
      <c r="G604" s="41">
        <v>0.46112763481184499</v>
      </c>
      <c r="H604" s="41">
        <v>0.47382645803698398</v>
      </c>
      <c r="I604" s="41">
        <v>-1.26988232251389E-2</v>
      </c>
      <c r="J604" s="42" t="s">
        <v>532</v>
      </c>
    </row>
    <row r="605" spans="1:12" s="43" customFormat="1" ht="15" x14ac:dyDescent="0.25">
      <c r="A605" s="38" t="s">
        <v>699</v>
      </c>
      <c r="B605" s="39" t="s">
        <v>88</v>
      </c>
      <c r="C605" s="39" t="s">
        <v>1222</v>
      </c>
      <c r="D605" s="40">
        <v>4.1670999999999996</v>
      </c>
      <c r="E605" s="40">
        <v>3.972</v>
      </c>
      <c r="F605" s="40">
        <v>7.7329999999999997</v>
      </c>
      <c r="G605" s="41">
        <v>0.46112763481184499</v>
      </c>
      <c r="H605" s="41">
        <v>0.48635717056769701</v>
      </c>
      <c r="I605" s="41">
        <v>-2.52295357558515E-2</v>
      </c>
      <c r="J605" s="42" t="s">
        <v>532</v>
      </c>
    </row>
    <row r="606" spans="1:12" s="43" customFormat="1" ht="15" x14ac:dyDescent="0.25">
      <c r="A606" s="38" t="s">
        <v>567</v>
      </c>
      <c r="B606" s="39" t="s">
        <v>88</v>
      </c>
      <c r="C606" s="39" t="s">
        <v>1354</v>
      </c>
      <c r="D606" s="40">
        <v>4.0698999999999996</v>
      </c>
      <c r="E606" s="40">
        <v>3.7309000000000001</v>
      </c>
      <c r="F606" s="40">
        <v>7.98</v>
      </c>
      <c r="G606" s="41">
        <v>0.48998746867167903</v>
      </c>
      <c r="H606" s="41">
        <v>0.53246867167919798</v>
      </c>
      <c r="I606" s="41">
        <v>-4.2481203007518703E-2</v>
      </c>
      <c r="J606" s="42" t="s">
        <v>532</v>
      </c>
    </row>
    <row r="607" spans="1:12" s="43" customFormat="1" ht="15" x14ac:dyDescent="0.25">
      <c r="A607" s="38" t="s">
        <v>604</v>
      </c>
      <c r="B607" s="39" t="s">
        <v>88</v>
      </c>
      <c r="C607" s="39" t="s">
        <v>1365</v>
      </c>
      <c r="D607" s="40">
        <v>4.1670999999999996</v>
      </c>
      <c r="E607" s="40">
        <v>3.8649</v>
      </c>
      <c r="F607" s="40">
        <v>7.98</v>
      </c>
      <c r="G607" s="41">
        <v>0.47780701754386001</v>
      </c>
      <c r="H607" s="41">
        <v>0.51567669172932296</v>
      </c>
      <c r="I607" s="41">
        <v>-3.7869674185463602E-2</v>
      </c>
      <c r="J607" s="42" t="s">
        <v>532</v>
      </c>
    </row>
    <row r="608" spans="1:12" s="43" customFormat="1" ht="15" x14ac:dyDescent="0.25">
      <c r="A608" s="38" t="s">
        <v>711</v>
      </c>
      <c r="B608" s="39" t="s">
        <v>88</v>
      </c>
      <c r="C608" s="39" t="s">
        <v>1369</v>
      </c>
      <c r="D608" s="40">
        <v>4.1670999999999996</v>
      </c>
      <c r="E608" s="40">
        <v>3.8311000000000002</v>
      </c>
      <c r="F608" s="40">
        <v>7.98</v>
      </c>
      <c r="G608" s="41">
        <v>0.47780701754386001</v>
      </c>
      <c r="H608" s="41">
        <v>0.51991228070175399</v>
      </c>
      <c r="I608" s="41">
        <v>-4.2105263157894701E-2</v>
      </c>
      <c r="J608" s="42" t="s">
        <v>532</v>
      </c>
    </row>
    <row r="609" spans="1:12" s="43" customFormat="1" ht="15" x14ac:dyDescent="0.25">
      <c r="A609" s="38" t="s">
        <v>603</v>
      </c>
      <c r="B609" s="39" t="s">
        <v>88</v>
      </c>
      <c r="C609" s="39" t="s">
        <v>1423</v>
      </c>
      <c r="D609" s="40">
        <v>4.1670999999999996</v>
      </c>
      <c r="E609" s="40">
        <v>4.5766</v>
      </c>
      <c r="F609" s="40">
        <v>7.98</v>
      </c>
      <c r="G609" s="41">
        <v>0.47780701754386001</v>
      </c>
      <c r="H609" s="41">
        <v>0.42649122807017598</v>
      </c>
      <c r="I609" s="41">
        <v>5.1315789473684301E-2</v>
      </c>
      <c r="J609" s="42" t="s">
        <v>532</v>
      </c>
    </row>
    <row r="610" spans="1:12" x14ac:dyDescent="0.25">
      <c r="A610" s="44">
        <v>2018</v>
      </c>
      <c r="B610" s="44" t="s">
        <v>88</v>
      </c>
      <c r="C610" s="44" t="s">
        <v>1888</v>
      </c>
      <c r="D610" s="45">
        <v>4.1497296903942837</v>
      </c>
      <c r="E610" s="45">
        <v>4.0195619299638352</v>
      </c>
      <c r="F610" s="45">
        <v>7.8659229072946992</v>
      </c>
      <c r="G610" s="46">
        <v>0.47230425041855251</v>
      </c>
      <c r="H610" s="46">
        <v>0.48897103422221455</v>
      </c>
      <c r="I610" s="46">
        <v>-1.6666783803662061E-2</v>
      </c>
      <c r="J610" s="47" t="s">
        <v>533</v>
      </c>
      <c r="K610" s="48"/>
      <c r="L610" s="48"/>
    </row>
    <row r="611" spans="1:12" s="43" customFormat="1" ht="15" x14ac:dyDescent="0.25">
      <c r="A611" s="38" t="s">
        <v>608</v>
      </c>
      <c r="B611" s="39" t="s">
        <v>89</v>
      </c>
      <c r="C611" s="39" t="s">
        <v>940</v>
      </c>
      <c r="D611" s="40">
        <v>3.2515000000000001</v>
      </c>
      <c r="E611" s="40">
        <v>3.2570999999999999</v>
      </c>
      <c r="F611" s="40">
        <v>7.28</v>
      </c>
      <c r="G611" s="41">
        <v>0.55336538461538498</v>
      </c>
      <c r="H611" s="41">
        <v>0.55259615384615401</v>
      </c>
      <c r="I611" s="41">
        <v>7.6923076923085499E-4</v>
      </c>
      <c r="J611" s="42" t="s">
        <v>532</v>
      </c>
    </row>
    <row r="612" spans="1:12" s="43" customFormat="1" ht="15" x14ac:dyDescent="0.25">
      <c r="A612" s="38" t="s">
        <v>710</v>
      </c>
      <c r="B612" s="39" t="s">
        <v>89</v>
      </c>
      <c r="C612" s="39" t="s">
        <v>1339</v>
      </c>
      <c r="D612" s="40">
        <v>3.9453</v>
      </c>
      <c r="E612" s="40">
        <v>4.0606</v>
      </c>
      <c r="F612" s="40">
        <v>7.28</v>
      </c>
      <c r="G612" s="41">
        <v>0.45806318681318697</v>
      </c>
      <c r="H612" s="41">
        <v>0.44222527472527501</v>
      </c>
      <c r="I612" s="41">
        <v>1.58379120879121E-2</v>
      </c>
      <c r="J612" s="42" t="s">
        <v>532</v>
      </c>
    </row>
    <row r="613" spans="1:12" s="43" customFormat="1" ht="15" x14ac:dyDescent="0.25">
      <c r="A613" s="38" t="s">
        <v>567</v>
      </c>
      <c r="B613" s="39" t="s">
        <v>89</v>
      </c>
      <c r="C613" s="39" t="s">
        <v>1355</v>
      </c>
      <c r="D613" s="40">
        <v>3.2515000000000001</v>
      </c>
      <c r="E613" s="40">
        <v>3.8761000000000001</v>
      </c>
      <c r="F613" s="40">
        <v>7.569</v>
      </c>
      <c r="G613" s="41">
        <v>0.57041881358171498</v>
      </c>
      <c r="H613" s="41">
        <v>0.48789800502047798</v>
      </c>
      <c r="I613" s="41">
        <v>8.25208085612366E-2</v>
      </c>
      <c r="J613" s="42" t="s">
        <v>532</v>
      </c>
    </row>
    <row r="614" spans="1:12" x14ac:dyDescent="0.25">
      <c r="A614" s="44">
        <v>2018</v>
      </c>
      <c r="B614" s="44" t="s">
        <v>89</v>
      </c>
      <c r="C614" s="44" t="s">
        <v>1901</v>
      </c>
      <c r="D614" s="45">
        <v>3.4086909373919063</v>
      </c>
      <c r="E614" s="45">
        <v>3.7519638879280528</v>
      </c>
      <c r="F614" s="45">
        <v>7.4260494638533388</v>
      </c>
      <c r="G614" s="46">
        <v>0.54039136875906113</v>
      </c>
      <c r="H614" s="46">
        <v>0.49489400190617183</v>
      </c>
      <c r="I614" s="46">
        <v>4.5497366852889312E-2</v>
      </c>
      <c r="J614" s="47" t="s">
        <v>533</v>
      </c>
      <c r="K614" s="48"/>
      <c r="L614" s="48"/>
    </row>
    <row r="615" spans="1:12" s="43" customFormat="1" ht="15" x14ac:dyDescent="0.25">
      <c r="A615" s="38" t="s">
        <v>649</v>
      </c>
      <c r="B615" s="39" t="s">
        <v>294</v>
      </c>
      <c r="C615" s="39" t="s">
        <v>1675</v>
      </c>
      <c r="D615" s="40">
        <v>2.8578000000000001</v>
      </c>
      <c r="E615" s="40">
        <v>1.6065</v>
      </c>
      <c r="F615" s="40">
        <v>10.94</v>
      </c>
      <c r="G615" s="41">
        <v>0.73877513711151799</v>
      </c>
      <c r="H615" s="41">
        <v>0.85315356489945204</v>
      </c>
      <c r="I615" s="41">
        <v>-0.114378427787934</v>
      </c>
      <c r="J615" s="42" t="s">
        <v>532</v>
      </c>
    </row>
    <row r="616" spans="1:12" x14ac:dyDescent="0.25">
      <c r="A616" s="44">
        <v>2018</v>
      </c>
      <c r="B616" s="44" t="s">
        <v>294</v>
      </c>
      <c r="C616" s="44" t="s">
        <v>1675</v>
      </c>
      <c r="D616" s="45">
        <v>2.8578000000000001</v>
      </c>
      <c r="E616" s="45">
        <v>1.6065</v>
      </c>
      <c r="F616" s="45">
        <v>10.94</v>
      </c>
      <c r="G616" s="46">
        <v>0.73877513711151743</v>
      </c>
      <c r="H616" s="46">
        <v>0.85315356489945138</v>
      </c>
      <c r="I616" s="46">
        <v>-0.11437842778793406</v>
      </c>
      <c r="J616" s="47" t="s">
        <v>533</v>
      </c>
      <c r="K616" s="48"/>
      <c r="L616" s="48"/>
    </row>
    <row r="617" spans="1:12" s="43" customFormat="1" ht="15" x14ac:dyDescent="0.25">
      <c r="A617" s="38" t="s">
        <v>649</v>
      </c>
      <c r="B617" s="39" t="s">
        <v>91</v>
      </c>
      <c r="C617" s="39" t="s">
        <v>1676</v>
      </c>
      <c r="D617" s="40">
        <v>2.5861000000000001</v>
      </c>
      <c r="E617" s="40">
        <v>3.1989999999999998</v>
      </c>
      <c r="F617" s="40">
        <v>10.69</v>
      </c>
      <c r="G617" s="41">
        <v>0.75808231992516395</v>
      </c>
      <c r="H617" s="41">
        <v>0.70074836295603404</v>
      </c>
      <c r="I617" s="41">
        <v>5.7333956969129997E-2</v>
      </c>
      <c r="J617" s="42" t="s">
        <v>532</v>
      </c>
    </row>
    <row r="618" spans="1:12" x14ac:dyDescent="0.25">
      <c r="A618" s="44">
        <v>2018</v>
      </c>
      <c r="B618" s="44" t="s">
        <v>91</v>
      </c>
      <c r="C618" s="44" t="s">
        <v>1676</v>
      </c>
      <c r="D618" s="45">
        <v>2.5861000000000001</v>
      </c>
      <c r="E618" s="45">
        <v>3.1989999999999998</v>
      </c>
      <c r="F618" s="45">
        <v>10.69</v>
      </c>
      <c r="G618" s="46">
        <v>0.75808231992516373</v>
      </c>
      <c r="H618" s="46">
        <v>0.70074836295603382</v>
      </c>
      <c r="I618" s="46">
        <v>5.7333956969130018E-2</v>
      </c>
      <c r="J618" s="47" t="s">
        <v>533</v>
      </c>
      <c r="K618" s="48"/>
      <c r="L618" s="48"/>
    </row>
    <row r="619" spans="1:12" s="43" customFormat="1" ht="15" x14ac:dyDescent="0.25">
      <c r="A619" s="38" t="s">
        <v>649</v>
      </c>
      <c r="B619" s="39" t="s">
        <v>92</v>
      </c>
      <c r="C619" s="39" t="s">
        <v>1677</v>
      </c>
      <c r="D619" s="40">
        <v>2.8222</v>
      </c>
      <c r="E619" s="40">
        <v>2.5308999999999999</v>
      </c>
      <c r="F619" s="40">
        <v>10.94</v>
      </c>
      <c r="G619" s="41">
        <v>0.74202925045703805</v>
      </c>
      <c r="H619" s="41">
        <v>0.76865630712979904</v>
      </c>
      <c r="I619" s="41">
        <v>-2.6627056672760399E-2</v>
      </c>
      <c r="J619" s="42" t="s">
        <v>532</v>
      </c>
    </row>
    <row r="620" spans="1:12" x14ac:dyDescent="0.25">
      <c r="A620" s="44">
        <v>2018</v>
      </c>
      <c r="B620" s="44" t="s">
        <v>92</v>
      </c>
      <c r="C620" s="44" t="s">
        <v>1677</v>
      </c>
      <c r="D620" s="45">
        <v>2.8222</v>
      </c>
      <c r="E620" s="45">
        <v>2.5308999999999999</v>
      </c>
      <c r="F620" s="45">
        <v>10.94</v>
      </c>
      <c r="G620" s="46">
        <v>0.74202925045703838</v>
      </c>
      <c r="H620" s="46">
        <v>0.76865630712979893</v>
      </c>
      <c r="I620" s="46">
        <v>-2.6627056672760441E-2</v>
      </c>
      <c r="J620" s="47" t="s">
        <v>533</v>
      </c>
      <c r="K620" s="48"/>
      <c r="L620" s="48"/>
    </row>
    <row r="621" spans="1:12" s="43" customFormat="1" ht="15" x14ac:dyDescent="0.25">
      <c r="A621" s="38" t="s">
        <v>649</v>
      </c>
      <c r="B621" s="39" t="s">
        <v>312</v>
      </c>
      <c r="C621" s="39" t="s">
        <v>1678</v>
      </c>
      <c r="D621" s="40">
        <v>2.5183</v>
      </c>
      <c r="E621" s="40">
        <v>3.0135000000000001</v>
      </c>
      <c r="F621" s="40">
        <v>10.94</v>
      </c>
      <c r="G621" s="41">
        <v>0.76980804387568602</v>
      </c>
      <c r="H621" s="41">
        <v>0.72454296160877496</v>
      </c>
      <c r="I621" s="41">
        <v>4.5265082266910499E-2</v>
      </c>
      <c r="J621" s="42" t="s">
        <v>532</v>
      </c>
    </row>
    <row r="622" spans="1:12" x14ac:dyDescent="0.25">
      <c r="A622" s="44">
        <v>2018</v>
      </c>
      <c r="B622" s="44" t="s">
        <v>312</v>
      </c>
      <c r="C622" s="44" t="s">
        <v>1678</v>
      </c>
      <c r="D622" s="45">
        <v>2.5183</v>
      </c>
      <c r="E622" s="45">
        <v>3.0135000000000001</v>
      </c>
      <c r="F622" s="45">
        <v>10.94</v>
      </c>
      <c r="G622" s="46">
        <v>0.76980804387568558</v>
      </c>
      <c r="H622" s="46">
        <v>0.72454296160877507</v>
      </c>
      <c r="I622" s="46">
        <v>4.5265082266910506E-2</v>
      </c>
      <c r="J622" s="47" t="s">
        <v>533</v>
      </c>
      <c r="K622" s="48"/>
      <c r="L622" s="48"/>
    </row>
    <row r="623" spans="1:12" s="43" customFormat="1" ht="15" x14ac:dyDescent="0.25">
      <c r="A623" s="38" t="s">
        <v>569</v>
      </c>
      <c r="B623" s="39" t="s">
        <v>313</v>
      </c>
      <c r="C623" s="39" t="s">
        <v>1800</v>
      </c>
      <c r="D623" s="40">
        <v>1.6460999999999999</v>
      </c>
      <c r="E623" s="40">
        <v>1.4076</v>
      </c>
      <c r="F623" s="40"/>
      <c r="G623" s="41"/>
      <c r="H623" s="41"/>
      <c r="I623" s="41"/>
      <c r="J623" s="42" t="s">
        <v>532</v>
      </c>
    </row>
    <row r="624" spans="1:12" x14ac:dyDescent="0.25">
      <c r="A624" s="44">
        <v>2018</v>
      </c>
      <c r="B624" s="44" t="s">
        <v>313</v>
      </c>
      <c r="C624" s="44" t="s">
        <v>1800</v>
      </c>
      <c r="D624" s="45">
        <v>1.6460999999999999</v>
      </c>
      <c r="E624" s="45">
        <v>1.4076</v>
      </c>
      <c r="F624" s="45"/>
      <c r="J624" s="47" t="s">
        <v>533</v>
      </c>
      <c r="K624" s="48"/>
      <c r="L624" s="48"/>
    </row>
    <row r="625" spans="1:12" s="43" customFormat="1" ht="15" x14ac:dyDescent="0.25">
      <c r="A625" s="38" t="s">
        <v>601</v>
      </c>
      <c r="B625" s="39" t="s">
        <v>112</v>
      </c>
      <c r="C625" s="39" t="s">
        <v>898</v>
      </c>
      <c r="D625" s="40">
        <v>3.9245999999999999</v>
      </c>
      <c r="E625" s="40">
        <v>3.7629999999999999</v>
      </c>
      <c r="F625" s="40">
        <v>10.31</v>
      </c>
      <c r="G625" s="41">
        <v>0.61934044616876804</v>
      </c>
      <c r="H625" s="41">
        <v>0.63501454898157095</v>
      </c>
      <c r="I625" s="41">
        <v>-1.5674102812803001E-2</v>
      </c>
      <c r="J625" s="42" t="s">
        <v>532</v>
      </c>
    </row>
    <row r="626" spans="1:12" x14ac:dyDescent="0.25">
      <c r="A626" s="44">
        <v>2018</v>
      </c>
      <c r="B626" s="44" t="s">
        <v>112</v>
      </c>
      <c r="C626" s="44" t="s">
        <v>898</v>
      </c>
      <c r="D626" s="45">
        <v>3.9245999999999999</v>
      </c>
      <c r="E626" s="45">
        <v>3.7629999999999999</v>
      </c>
      <c r="F626" s="45">
        <v>10.31</v>
      </c>
      <c r="G626" s="46">
        <v>0.61934044616876827</v>
      </c>
      <c r="H626" s="46">
        <v>0.63501454898157128</v>
      </c>
      <c r="I626" s="46">
        <v>-1.5674102812803015E-2</v>
      </c>
      <c r="J626" s="47" t="s">
        <v>533</v>
      </c>
      <c r="K626" s="48"/>
      <c r="L626" s="48"/>
    </row>
    <row r="627" spans="1:12" s="43" customFormat="1" ht="15" x14ac:dyDescent="0.25">
      <c r="A627" s="38" t="s">
        <v>602</v>
      </c>
      <c r="B627" s="39" t="s">
        <v>113</v>
      </c>
      <c r="C627" s="39" t="s">
        <v>907</v>
      </c>
      <c r="D627" s="40">
        <v>3.9811000000000001</v>
      </c>
      <c r="E627" s="40">
        <v>4.4675000000000002</v>
      </c>
      <c r="F627" s="40">
        <v>10.31</v>
      </c>
      <c r="G627" s="41">
        <v>0.61386032977691596</v>
      </c>
      <c r="H627" s="41">
        <v>0.56668283220174598</v>
      </c>
      <c r="I627" s="41">
        <v>4.7177497575169799E-2</v>
      </c>
      <c r="J627" s="42" t="s">
        <v>532</v>
      </c>
    </row>
    <row r="628" spans="1:12" x14ac:dyDescent="0.25">
      <c r="A628" s="44">
        <v>2018</v>
      </c>
      <c r="B628" s="44" t="s">
        <v>113</v>
      </c>
      <c r="C628" s="44" t="s">
        <v>907</v>
      </c>
      <c r="D628" s="45">
        <v>3.9810999999999996</v>
      </c>
      <c r="E628" s="45">
        <v>4.4675000000000002</v>
      </c>
      <c r="F628" s="45">
        <v>10.31</v>
      </c>
      <c r="G628" s="46">
        <v>0.61386032977691563</v>
      </c>
      <c r="H628" s="46">
        <v>0.56668283220174587</v>
      </c>
      <c r="I628" s="46">
        <v>4.7177497575169751E-2</v>
      </c>
      <c r="J628" s="47" t="s">
        <v>533</v>
      </c>
      <c r="K628" s="48"/>
      <c r="L628" s="48"/>
    </row>
    <row r="629" spans="1:12" s="43" customFormat="1" ht="15" x14ac:dyDescent="0.25">
      <c r="A629" s="38" t="s">
        <v>670</v>
      </c>
      <c r="B629" s="39" t="s">
        <v>116</v>
      </c>
      <c r="C629" s="39" t="s">
        <v>767</v>
      </c>
      <c r="D629" s="40">
        <v>3.1036999999999999</v>
      </c>
      <c r="E629" s="40">
        <v>3.1703999999999999</v>
      </c>
      <c r="F629" s="40">
        <v>7.9889999999999999</v>
      </c>
      <c r="G629" s="41">
        <v>0.61150331706095895</v>
      </c>
      <c r="H629" s="41">
        <v>0.60315433721366896</v>
      </c>
      <c r="I629" s="41">
        <v>8.3489798472899997E-3</v>
      </c>
      <c r="J629" s="42" t="s">
        <v>532</v>
      </c>
    </row>
    <row r="630" spans="1:12" s="43" customFormat="1" ht="15" x14ac:dyDescent="0.25">
      <c r="A630" s="38" t="s">
        <v>682</v>
      </c>
      <c r="B630" s="39" t="s">
        <v>116</v>
      </c>
      <c r="C630" s="39" t="s">
        <v>966</v>
      </c>
      <c r="D630" s="40">
        <v>3.1036999999999999</v>
      </c>
      <c r="E630" s="40">
        <v>3.0695000000000001</v>
      </c>
      <c r="F630" s="40">
        <v>7.9889999999999999</v>
      </c>
      <c r="G630" s="41">
        <v>0.61150331706095895</v>
      </c>
      <c r="H630" s="41">
        <v>0.615784203279509</v>
      </c>
      <c r="I630" s="41">
        <v>-4.2808862185503803E-3</v>
      </c>
      <c r="J630" s="42" t="s">
        <v>532</v>
      </c>
    </row>
    <row r="631" spans="1:12" s="43" customFormat="1" ht="15" x14ac:dyDescent="0.25">
      <c r="A631" s="38" t="s">
        <v>598</v>
      </c>
      <c r="B631" s="39" t="s">
        <v>116</v>
      </c>
      <c r="C631" s="39" t="s">
        <v>1046</v>
      </c>
      <c r="D631" s="40">
        <v>3.1036999999999999</v>
      </c>
      <c r="E631" s="40">
        <v>3.242</v>
      </c>
      <c r="F631" s="40">
        <v>7.9889999999999999</v>
      </c>
      <c r="G631" s="41">
        <v>0.61150331706095895</v>
      </c>
      <c r="H631" s="41">
        <v>0.59419201401927602</v>
      </c>
      <c r="I631" s="41">
        <v>1.7311303041682401E-2</v>
      </c>
      <c r="J631" s="42" t="s">
        <v>532</v>
      </c>
    </row>
    <row r="632" spans="1:12" s="43" customFormat="1" ht="15" x14ac:dyDescent="0.25">
      <c r="A632" s="38" t="s">
        <v>606</v>
      </c>
      <c r="B632" s="39" t="s">
        <v>116</v>
      </c>
      <c r="C632" s="39" t="s">
        <v>1349</v>
      </c>
      <c r="D632" s="40">
        <v>3.1036999999999999</v>
      </c>
      <c r="E632" s="40">
        <v>3.2484999999999999</v>
      </c>
      <c r="F632" s="40">
        <v>8.1910000000000007</v>
      </c>
      <c r="G632" s="41">
        <v>0.62108411671346597</v>
      </c>
      <c r="H632" s="41">
        <v>0.60340617751190295</v>
      </c>
      <c r="I632" s="41">
        <v>1.7677939201562701E-2</v>
      </c>
      <c r="J632" s="42" t="s">
        <v>532</v>
      </c>
    </row>
    <row r="633" spans="1:12" s="43" customFormat="1" ht="15" x14ac:dyDescent="0.25">
      <c r="A633" s="38" t="s">
        <v>567</v>
      </c>
      <c r="B633" s="39" t="s">
        <v>116</v>
      </c>
      <c r="C633" s="39" t="s">
        <v>1356</v>
      </c>
      <c r="D633" s="40">
        <v>3.1036999999999999</v>
      </c>
      <c r="E633" s="40">
        <v>3.1120999999999999</v>
      </c>
      <c r="F633" s="40">
        <v>8.1910000000000007</v>
      </c>
      <c r="G633" s="41">
        <v>0.62108411671346597</v>
      </c>
      <c r="H633" s="41">
        <v>0.62005860090343101</v>
      </c>
      <c r="I633" s="41">
        <v>1.0255158100353999E-3</v>
      </c>
      <c r="J633" s="42" t="s">
        <v>532</v>
      </c>
    </row>
    <row r="634" spans="1:12" s="43" customFormat="1" ht="15" x14ac:dyDescent="0.25">
      <c r="A634" s="38" t="s">
        <v>548</v>
      </c>
      <c r="B634" s="39" t="s">
        <v>116</v>
      </c>
      <c r="C634" s="39" t="s">
        <v>1523</v>
      </c>
      <c r="D634" s="40">
        <v>3.3138000000000001</v>
      </c>
      <c r="E634" s="40">
        <v>0.27129999999999999</v>
      </c>
      <c r="F634" s="40">
        <v>8.1910000000000007</v>
      </c>
      <c r="G634" s="41">
        <v>0.59543401294103304</v>
      </c>
      <c r="H634" s="41">
        <v>0.96687828104016604</v>
      </c>
      <c r="I634" s="41">
        <v>-0.371444268099133</v>
      </c>
      <c r="J634" s="42" t="s">
        <v>532</v>
      </c>
    </row>
    <row r="635" spans="1:12" s="43" customFormat="1" ht="15" x14ac:dyDescent="0.25">
      <c r="A635" s="38" t="s">
        <v>615</v>
      </c>
      <c r="B635" s="39" t="s">
        <v>116</v>
      </c>
      <c r="C635" s="39" t="s">
        <v>1531</v>
      </c>
      <c r="D635" s="40">
        <v>3.3138000000000001</v>
      </c>
      <c r="E635" s="40">
        <v>0.28060000000000002</v>
      </c>
      <c r="F635" s="40">
        <v>8.1910000000000007</v>
      </c>
      <c r="G635" s="41">
        <v>0.59543401294103304</v>
      </c>
      <c r="H635" s="41">
        <v>0.96574288853619805</v>
      </c>
      <c r="I635" s="41">
        <v>-0.37030887559516501</v>
      </c>
      <c r="J635" s="42" t="s">
        <v>532</v>
      </c>
    </row>
    <row r="636" spans="1:12" s="43" customFormat="1" ht="15" x14ac:dyDescent="0.25">
      <c r="A636" s="38" t="s">
        <v>610</v>
      </c>
      <c r="B636" s="39" t="s">
        <v>116</v>
      </c>
      <c r="C636" s="39" t="s">
        <v>1538</v>
      </c>
      <c r="D636" s="40">
        <v>3.3138000000000001</v>
      </c>
      <c r="E636" s="40">
        <v>3.5880000000000001</v>
      </c>
      <c r="F636" s="40">
        <v>8.1910000000000007</v>
      </c>
      <c r="G636" s="41">
        <v>0.59543401294103304</v>
      </c>
      <c r="H636" s="41">
        <v>0.56195824685630602</v>
      </c>
      <c r="I636" s="41">
        <v>3.3475766084727097E-2</v>
      </c>
      <c r="J636" s="42" t="s">
        <v>532</v>
      </c>
    </row>
    <row r="637" spans="1:12" s="43" customFormat="1" ht="15" x14ac:dyDescent="0.25">
      <c r="A637" s="38" t="s">
        <v>561</v>
      </c>
      <c r="B637" s="39" t="s">
        <v>116</v>
      </c>
      <c r="C637" s="39" t="s">
        <v>806</v>
      </c>
      <c r="D637" s="40">
        <v>3.3138000000000001</v>
      </c>
      <c r="E637" s="40">
        <v>0.30819999999999997</v>
      </c>
      <c r="F637" s="40">
        <v>8.1910000000000007</v>
      </c>
      <c r="G637" s="41">
        <v>0.59543401294103304</v>
      </c>
      <c r="H637" s="41">
        <v>0.96237333658893898</v>
      </c>
      <c r="I637" s="41">
        <v>-0.36693932364790599</v>
      </c>
      <c r="J637" s="42" t="s">
        <v>532</v>
      </c>
    </row>
    <row r="638" spans="1:12" x14ac:dyDescent="0.25">
      <c r="A638" s="44">
        <v>2018</v>
      </c>
      <c r="B638" s="44" t="s">
        <v>116</v>
      </c>
      <c r="C638" s="44" t="s">
        <v>1836</v>
      </c>
      <c r="D638" s="45">
        <v>3.2876825655601438</v>
      </c>
      <c r="E638" s="45">
        <v>1.0729867512200355</v>
      </c>
      <c r="F638" s="45">
        <v>8.1771745857242468</v>
      </c>
      <c r="G638" s="46">
        <v>0.59796683028366104</v>
      </c>
      <c r="H638" s="46">
        <v>0.86833205053800933</v>
      </c>
      <c r="I638" s="46">
        <v>-0.27036522025434839</v>
      </c>
      <c r="J638" s="47" t="s">
        <v>533</v>
      </c>
      <c r="K638" s="48"/>
      <c r="L638" s="48"/>
    </row>
    <row r="639" spans="1:12" s="43" customFormat="1" ht="15" x14ac:dyDescent="0.25">
      <c r="A639" s="38" t="s">
        <v>672</v>
      </c>
      <c r="B639" s="39" t="s">
        <v>117</v>
      </c>
      <c r="C639" s="39" t="s">
        <v>806</v>
      </c>
      <c r="D639" s="40">
        <v>3.2107000000000001</v>
      </c>
      <c r="E639" s="40">
        <v>3.2519999999999998</v>
      </c>
      <c r="F639" s="40">
        <v>7.44</v>
      </c>
      <c r="G639" s="41">
        <v>0.56845430107526895</v>
      </c>
      <c r="H639" s="41">
        <v>0.56290322580645202</v>
      </c>
      <c r="I639" s="41">
        <v>5.5510752688171499E-3</v>
      </c>
      <c r="J639" s="42" t="s">
        <v>532</v>
      </c>
    </row>
    <row r="640" spans="1:12" s="43" customFormat="1" ht="15" x14ac:dyDescent="0.25">
      <c r="A640" s="38" t="s">
        <v>681</v>
      </c>
      <c r="B640" s="39" t="s">
        <v>117</v>
      </c>
      <c r="C640" s="39" t="s">
        <v>961</v>
      </c>
      <c r="D640" s="40">
        <v>3.2107000000000001</v>
      </c>
      <c r="E640" s="40">
        <v>3.2566000000000002</v>
      </c>
      <c r="F640" s="40">
        <v>7.44</v>
      </c>
      <c r="G640" s="41">
        <v>0.56845430107526895</v>
      </c>
      <c r="H640" s="41">
        <v>0.562284946236559</v>
      </c>
      <c r="I640" s="41">
        <v>6.1693548387096201E-3</v>
      </c>
      <c r="J640" s="42" t="s">
        <v>532</v>
      </c>
    </row>
    <row r="641" spans="1:12" s="43" customFormat="1" ht="15" x14ac:dyDescent="0.25">
      <c r="A641" s="38" t="s">
        <v>693</v>
      </c>
      <c r="B641" s="39" t="s">
        <v>117</v>
      </c>
      <c r="C641" s="39" t="s">
        <v>1147</v>
      </c>
      <c r="D641" s="40">
        <v>3.2107000000000001</v>
      </c>
      <c r="E641" s="40">
        <v>3.4517000000000002</v>
      </c>
      <c r="F641" s="40">
        <v>7.44</v>
      </c>
      <c r="G641" s="41">
        <v>0.56845430107526895</v>
      </c>
      <c r="H641" s="41">
        <v>0.53606182795698898</v>
      </c>
      <c r="I641" s="41">
        <v>3.2392473118279599E-2</v>
      </c>
      <c r="J641" s="42" t="s">
        <v>532</v>
      </c>
    </row>
    <row r="642" spans="1:12" s="43" customFormat="1" ht="15" x14ac:dyDescent="0.25">
      <c r="A642" s="38" t="s">
        <v>584</v>
      </c>
      <c r="B642" s="39" t="s">
        <v>117</v>
      </c>
      <c r="C642" s="39" t="s">
        <v>1155</v>
      </c>
      <c r="D642" s="40">
        <v>3.2890999999999999</v>
      </c>
      <c r="E642" s="40">
        <v>3.4512</v>
      </c>
      <c r="F642" s="40">
        <v>7.44</v>
      </c>
      <c r="G642" s="41">
        <v>0.55791666666666695</v>
      </c>
      <c r="H642" s="41">
        <v>0.53612903225806396</v>
      </c>
      <c r="I642" s="41">
        <v>2.17876344086021E-2</v>
      </c>
      <c r="J642" s="42" t="s">
        <v>532</v>
      </c>
    </row>
    <row r="643" spans="1:12" s="43" customFormat="1" ht="15" x14ac:dyDescent="0.25">
      <c r="A643" s="38" t="s">
        <v>694</v>
      </c>
      <c r="B643" s="39" t="s">
        <v>117</v>
      </c>
      <c r="C643" s="39" t="s">
        <v>1155</v>
      </c>
      <c r="D643" s="40">
        <v>3.2890999999999999</v>
      </c>
      <c r="E643" s="40"/>
      <c r="F643" s="40">
        <v>7.44</v>
      </c>
      <c r="G643" s="41">
        <v>0.55791666666666695</v>
      </c>
      <c r="H643" s="41"/>
      <c r="I643" s="41"/>
      <c r="J643" s="42" t="s">
        <v>532</v>
      </c>
    </row>
    <row r="644" spans="1:12" s="43" customFormat="1" ht="15" x14ac:dyDescent="0.25">
      <c r="A644" s="38" t="s">
        <v>629</v>
      </c>
      <c r="B644" s="39" t="s">
        <v>117</v>
      </c>
      <c r="C644" s="39" t="s">
        <v>721</v>
      </c>
      <c r="D644" s="40">
        <v>3.2890999999999999</v>
      </c>
      <c r="E644" s="40">
        <v>3.0581999999999998</v>
      </c>
      <c r="F644" s="40">
        <v>7.44</v>
      </c>
      <c r="G644" s="41">
        <v>0.55791666666666695</v>
      </c>
      <c r="H644" s="41">
        <v>0.58895161290322595</v>
      </c>
      <c r="I644" s="41">
        <v>-3.10349462365592E-2</v>
      </c>
      <c r="J644" s="42" t="s">
        <v>532</v>
      </c>
    </row>
    <row r="645" spans="1:12" s="43" customFormat="1" ht="15" x14ac:dyDescent="0.25">
      <c r="A645" s="38" t="s">
        <v>551</v>
      </c>
      <c r="B645" s="39" t="s">
        <v>117</v>
      </c>
      <c r="C645" s="39" t="s">
        <v>1394</v>
      </c>
      <c r="D645" s="40">
        <v>3.2890999999999999</v>
      </c>
      <c r="E645" s="40">
        <v>3.2570999999999999</v>
      </c>
      <c r="F645" s="40">
        <v>7.86</v>
      </c>
      <c r="G645" s="41">
        <v>0.58153944020356196</v>
      </c>
      <c r="H645" s="41">
        <v>0.58561068702290098</v>
      </c>
      <c r="I645" s="41">
        <v>-4.0712468193384596E-3</v>
      </c>
      <c r="J645" s="42" t="s">
        <v>532</v>
      </c>
    </row>
    <row r="646" spans="1:12" s="43" customFormat="1" ht="15" x14ac:dyDescent="0.25">
      <c r="A646" s="38" t="s">
        <v>558</v>
      </c>
      <c r="B646" s="39" t="s">
        <v>117</v>
      </c>
      <c r="C646" s="39" t="s">
        <v>1441</v>
      </c>
      <c r="D646" s="40">
        <v>3.2890999999999999</v>
      </c>
      <c r="E646" s="40">
        <v>3.5217999999999998</v>
      </c>
      <c r="F646" s="40">
        <v>7.86</v>
      </c>
      <c r="G646" s="41">
        <v>0.58153944020356196</v>
      </c>
      <c r="H646" s="41">
        <v>0.55193384223918596</v>
      </c>
      <c r="I646" s="41">
        <v>2.9605597964376399E-2</v>
      </c>
      <c r="J646" s="42" t="s">
        <v>532</v>
      </c>
    </row>
    <row r="647" spans="1:12" s="43" customFormat="1" ht="15" x14ac:dyDescent="0.25">
      <c r="A647" s="38" t="s">
        <v>541</v>
      </c>
      <c r="B647" s="39" t="s">
        <v>117</v>
      </c>
      <c r="C647" s="39" t="s">
        <v>1503</v>
      </c>
      <c r="D647" s="40">
        <v>3.2890999999999999</v>
      </c>
      <c r="E647" s="40">
        <v>0.23719999999999999</v>
      </c>
      <c r="F647" s="40">
        <v>7.86</v>
      </c>
      <c r="G647" s="41">
        <v>0.58153944020356196</v>
      </c>
      <c r="H647" s="41">
        <v>0.96982188295165395</v>
      </c>
      <c r="I647" s="41">
        <v>-0.38828244274809198</v>
      </c>
      <c r="J647" s="42" t="s">
        <v>532</v>
      </c>
    </row>
    <row r="648" spans="1:12" s="43" customFormat="1" ht="15" x14ac:dyDescent="0.25">
      <c r="A648" s="38" t="s">
        <v>617</v>
      </c>
      <c r="B648" s="39" t="s">
        <v>117</v>
      </c>
      <c r="C648" s="39" t="s">
        <v>1576</v>
      </c>
      <c r="D648" s="40">
        <v>3.2890999999999999</v>
      </c>
      <c r="E648" s="40">
        <v>0.27739999999999998</v>
      </c>
      <c r="F648" s="40">
        <v>7.86</v>
      </c>
      <c r="G648" s="41">
        <v>0.58153944020356196</v>
      </c>
      <c r="H648" s="41">
        <v>0.96470737913486004</v>
      </c>
      <c r="I648" s="41">
        <v>-0.38316793893129802</v>
      </c>
      <c r="J648" s="42" t="s">
        <v>532</v>
      </c>
    </row>
    <row r="649" spans="1:12" s="43" customFormat="1" ht="15" x14ac:dyDescent="0.25">
      <c r="A649" s="38" t="s">
        <v>575</v>
      </c>
      <c r="B649" s="39" t="s">
        <v>117</v>
      </c>
      <c r="C649" s="39" t="s">
        <v>1707</v>
      </c>
      <c r="D649" s="40">
        <v>3.2890999999999999</v>
      </c>
      <c r="E649" s="40"/>
      <c r="F649" s="40">
        <v>7.86</v>
      </c>
      <c r="G649" s="41">
        <v>0.58153944020356196</v>
      </c>
      <c r="H649" s="41"/>
      <c r="I649" s="41"/>
      <c r="J649" s="42" t="s">
        <v>532</v>
      </c>
    </row>
    <row r="650" spans="1:12" x14ac:dyDescent="0.25">
      <c r="A650" s="44">
        <v>2018</v>
      </c>
      <c r="B650" s="44" t="s">
        <v>117</v>
      </c>
      <c r="C650" s="44" t="s">
        <v>1851</v>
      </c>
      <c r="D650" s="45">
        <v>3.2689924430582029</v>
      </c>
      <c r="E650" s="45">
        <v>1.7712541799033481</v>
      </c>
      <c r="F650" s="45">
        <v>7.704894587881939</v>
      </c>
      <c r="G650" s="46">
        <v>0.57551821162283856</v>
      </c>
      <c r="H650" s="46">
        <v>0.70398122843352229</v>
      </c>
      <c r="I650" s="46">
        <v>-0.16404055205497864</v>
      </c>
      <c r="J650" s="47" t="s">
        <v>533</v>
      </c>
      <c r="K650" s="48"/>
      <c r="L650" s="48"/>
    </row>
    <row r="651" spans="1:12" s="43" customFormat="1" ht="15" x14ac:dyDescent="0.25">
      <c r="A651" s="38" t="s">
        <v>650</v>
      </c>
      <c r="B651" s="39" t="s">
        <v>129</v>
      </c>
      <c r="C651" s="39" t="s">
        <v>1688</v>
      </c>
      <c r="D651" s="40">
        <v>0.23549999999999999</v>
      </c>
      <c r="E651" s="40">
        <v>0.2681</v>
      </c>
      <c r="F651" s="40">
        <v>0</v>
      </c>
      <c r="G651" s="41"/>
      <c r="H651" s="41"/>
      <c r="I651" s="41"/>
      <c r="J651" s="42" t="s">
        <v>532</v>
      </c>
    </row>
    <row r="652" spans="1:12" x14ac:dyDescent="0.25">
      <c r="A652" s="44">
        <v>2018</v>
      </c>
      <c r="B652" s="44" t="s">
        <v>129</v>
      </c>
      <c r="C652" s="44" t="s">
        <v>1688</v>
      </c>
      <c r="D652" s="45">
        <v>0.23549999999999999</v>
      </c>
      <c r="E652" s="45">
        <v>0.2681</v>
      </c>
      <c r="F652" s="45">
        <v>0</v>
      </c>
      <c r="J652" s="47" t="s">
        <v>533</v>
      </c>
      <c r="K652" s="48"/>
      <c r="L652" s="48"/>
    </row>
    <row r="653" spans="1:12" s="43" customFormat="1" ht="15" x14ac:dyDescent="0.25">
      <c r="A653" s="38" t="s">
        <v>586</v>
      </c>
      <c r="B653" s="39" t="s">
        <v>166</v>
      </c>
      <c r="C653" s="39" t="s">
        <v>832</v>
      </c>
      <c r="D653" s="40">
        <v>2.6448</v>
      </c>
      <c r="E653" s="40">
        <v>2.8597000000000001</v>
      </c>
      <c r="F653" s="40">
        <v>6.7880000000000003</v>
      </c>
      <c r="G653" s="41">
        <v>0.61037124337065396</v>
      </c>
      <c r="H653" s="41">
        <v>0.57871243370654102</v>
      </c>
      <c r="I653" s="41">
        <v>3.1658809664113198E-2</v>
      </c>
      <c r="J653" s="42" t="s">
        <v>532</v>
      </c>
    </row>
    <row r="654" spans="1:12" s="43" customFormat="1" ht="15" x14ac:dyDescent="0.25">
      <c r="A654" s="38" t="s">
        <v>588</v>
      </c>
      <c r="B654" s="39" t="s">
        <v>210</v>
      </c>
      <c r="C654" s="39" t="s">
        <v>853</v>
      </c>
      <c r="D654" s="40">
        <v>4.8362999999999996</v>
      </c>
      <c r="E654" s="40">
        <v>5.5679999999999996</v>
      </c>
      <c r="F654" s="40">
        <v>18.672999999999998</v>
      </c>
      <c r="G654" s="41">
        <v>0.74100037487281101</v>
      </c>
      <c r="H654" s="41">
        <v>0.70181545547046498</v>
      </c>
      <c r="I654" s="41">
        <v>3.9184919402345503E-2</v>
      </c>
      <c r="J654" s="42" t="s">
        <v>532</v>
      </c>
    </row>
    <row r="655" spans="1:12" s="43" customFormat="1" ht="15" x14ac:dyDescent="0.25">
      <c r="A655" s="38" t="s">
        <v>589</v>
      </c>
      <c r="B655" s="39" t="s">
        <v>210</v>
      </c>
      <c r="C655" s="39" t="s">
        <v>524</v>
      </c>
      <c r="D655" s="40">
        <v>5.2805</v>
      </c>
      <c r="E655" s="40"/>
      <c r="F655" s="40">
        <v>19.280999999999999</v>
      </c>
      <c r="G655" s="41">
        <v>0.72612935013744095</v>
      </c>
      <c r="H655" s="41"/>
      <c r="I655" s="41"/>
      <c r="J655" s="42" t="s">
        <v>532</v>
      </c>
    </row>
    <row r="656" spans="1:12" x14ac:dyDescent="0.25">
      <c r="A656" s="44">
        <v>2018</v>
      </c>
      <c r="B656" s="44" t="s">
        <v>210</v>
      </c>
      <c r="C656" s="44" t="s">
        <v>853</v>
      </c>
      <c r="D656" s="45">
        <v>4.8362999999999996</v>
      </c>
      <c r="E656" s="45">
        <v>5.5679999999999996</v>
      </c>
      <c r="F656" s="45">
        <v>18.672999999999998</v>
      </c>
      <c r="G656" s="46">
        <v>0.7410003748728109</v>
      </c>
      <c r="H656" s="46">
        <v>0.70181545547046531</v>
      </c>
      <c r="I656" s="46">
        <v>3.9184919402345468E-2</v>
      </c>
      <c r="J656" s="47" t="s">
        <v>533</v>
      </c>
      <c r="K656" s="48"/>
      <c r="L656" s="48"/>
    </row>
    <row r="657" spans="1:12" s="43" customFormat="1" ht="15" x14ac:dyDescent="0.25">
      <c r="A657" s="38" t="s">
        <v>586</v>
      </c>
      <c r="B657" s="39" t="s">
        <v>215</v>
      </c>
      <c r="C657" s="39" t="s">
        <v>835</v>
      </c>
      <c r="D657" s="40">
        <v>4.7690999999999999</v>
      </c>
      <c r="E657" s="40">
        <v>5.8662000000000001</v>
      </c>
      <c r="F657" s="40">
        <v>16.984000000000002</v>
      </c>
      <c r="G657" s="41">
        <v>0.719200423928403</v>
      </c>
      <c r="H657" s="41">
        <v>0.65460433349034397</v>
      </c>
      <c r="I657" s="41">
        <v>6.4596090438059195E-2</v>
      </c>
      <c r="J657" s="42" t="s">
        <v>532</v>
      </c>
    </row>
    <row r="658" spans="1:12" s="43" customFormat="1" ht="15" x14ac:dyDescent="0.25">
      <c r="A658" s="38" t="s">
        <v>585</v>
      </c>
      <c r="B658" s="39" t="s">
        <v>215</v>
      </c>
      <c r="C658" s="39" t="s">
        <v>1264</v>
      </c>
      <c r="D658" s="40">
        <v>4.8067000000000002</v>
      </c>
      <c r="E658" s="40">
        <v>5.2655000000000003</v>
      </c>
      <c r="F658" s="40">
        <v>16.984000000000002</v>
      </c>
      <c r="G658" s="41">
        <v>0.716986575600565</v>
      </c>
      <c r="H658" s="41">
        <v>0.68997291568535102</v>
      </c>
      <c r="I658" s="41">
        <v>2.7013659915214299E-2</v>
      </c>
      <c r="J658" s="42" t="s">
        <v>532</v>
      </c>
    </row>
    <row r="659" spans="1:12" x14ac:dyDescent="0.25">
      <c r="A659" s="44">
        <v>2018</v>
      </c>
      <c r="B659" s="44" t="s">
        <v>215</v>
      </c>
      <c r="C659" s="44" t="s">
        <v>1864</v>
      </c>
      <c r="D659" s="45">
        <v>4.7858621679064823</v>
      </c>
      <c r="E659" s="45">
        <v>5.5984065356004251</v>
      </c>
      <c r="F659" s="45">
        <v>16.984000000000002</v>
      </c>
      <c r="G659" s="46">
        <v>0.7182134851680122</v>
      </c>
      <c r="H659" s="46">
        <v>0.67037173012244322</v>
      </c>
      <c r="I659" s="46">
        <v>4.7841755045568868E-2</v>
      </c>
      <c r="J659" s="47" t="s">
        <v>533</v>
      </c>
      <c r="K659" s="48"/>
      <c r="L659" s="48"/>
    </row>
    <row r="660" spans="1:12" s="43" customFormat="1" ht="15" x14ac:dyDescent="0.25">
      <c r="A660" s="38" t="s">
        <v>585</v>
      </c>
      <c r="B660" s="39" t="s">
        <v>216</v>
      </c>
      <c r="C660" s="39" t="s">
        <v>1265</v>
      </c>
      <c r="D660" s="40">
        <v>4.2846000000000002</v>
      </c>
      <c r="E660" s="40">
        <v>4.5012999999999996</v>
      </c>
      <c r="F660" s="40">
        <v>17.062000000000001</v>
      </c>
      <c r="G660" s="41">
        <v>0.748880553276286</v>
      </c>
      <c r="H660" s="41">
        <v>0.73617981479310801</v>
      </c>
      <c r="I660" s="41">
        <v>1.2700738483179E-2</v>
      </c>
      <c r="J660" s="42" t="s">
        <v>532</v>
      </c>
    </row>
    <row r="661" spans="1:12" x14ac:dyDescent="0.25">
      <c r="A661" s="44">
        <v>2018</v>
      </c>
      <c r="B661" s="44" t="s">
        <v>216</v>
      </c>
      <c r="C661" s="44" t="s">
        <v>1265</v>
      </c>
      <c r="D661" s="45">
        <v>4.2846000000000002</v>
      </c>
      <c r="E661" s="45">
        <v>4.5012999999999996</v>
      </c>
      <c r="F661" s="45">
        <v>17.062000000000001</v>
      </c>
      <c r="G661" s="46">
        <v>0.74888055327628644</v>
      </c>
      <c r="H661" s="46">
        <v>0.73617981479310757</v>
      </c>
      <c r="I661" s="46">
        <v>1.2700738483178986E-2</v>
      </c>
      <c r="J661" s="47" t="s">
        <v>533</v>
      </c>
      <c r="K661" s="48"/>
      <c r="L661" s="48"/>
    </row>
    <row r="662" spans="1:12" s="43" customFormat="1" ht="15" x14ac:dyDescent="0.25">
      <c r="A662" s="38" t="s">
        <v>586</v>
      </c>
      <c r="B662" s="39" t="s">
        <v>217</v>
      </c>
      <c r="C662" s="39" t="s">
        <v>836</v>
      </c>
      <c r="D662" s="40">
        <v>4.4640000000000004</v>
      </c>
      <c r="E662" s="40">
        <v>5.3338000000000001</v>
      </c>
      <c r="F662" s="40">
        <v>17.029</v>
      </c>
      <c r="G662" s="41">
        <v>0.73785894650302397</v>
      </c>
      <c r="H662" s="41">
        <v>0.68678137295202302</v>
      </c>
      <c r="I662" s="41">
        <v>5.1077573551001197E-2</v>
      </c>
      <c r="J662" s="42" t="s">
        <v>532</v>
      </c>
    </row>
    <row r="663" spans="1:12" x14ac:dyDescent="0.25">
      <c r="A663" s="44">
        <v>2018</v>
      </c>
      <c r="B663" s="44" t="s">
        <v>217</v>
      </c>
      <c r="C663" s="44" t="s">
        <v>836</v>
      </c>
      <c r="D663" s="45">
        <v>4.4640000000000004</v>
      </c>
      <c r="E663" s="45">
        <v>5.3338000000000001</v>
      </c>
      <c r="F663" s="45">
        <v>17.029</v>
      </c>
      <c r="G663" s="46">
        <v>0.73785894650302419</v>
      </c>
      <c r="H663" s="46">
        <v>0.68678137295202302</v>
      </c>
      <c r="I663" s="46">
        <v>5.1077573551001176E-2</v>
      </c>
      <c r="J663" s="47" t="s">
        <v>533</v>
      </c>
      <c r="K663" s="48"/>
      <c r="L663" s="48"/>
    </row>
    <row r="664" spans="1:12" s="43" customFormat="1" ht="15" x14ac:dyDescent="0.25">
      <c r="A664" s="38" t="s">
        <v>549</v>
      </c>
      <c r="B664" s="39" t="s">
        <v>480</v>
      </c>
      <c r="C664" s="39" t="s">
        <v>1220</v>
      </c>
      <c r="D664" s="40">
        <v>4.9654999999999996</v>
      </c>
      <c r="E664" s="40">
        <v>6.4615999999999998</v>
      </c>
      <c r="F664" s="40">
        <v>17.920000000000002</v>
      </c>
      <c r="G664" s="41">
        <v>0.72290736607142903</v>
      </c>
      <c r="H664" s="41">
        <v>0.63941964285714303</v>
      </c>
      <c r="I664" s="41">
        <v>8.3487723214285894E-2</v>
      </c>
      <c r="J664" s="42" t="s">
        <v>532</v>
      </c>
    </row>
    <row r="665" spans="1:12" x14ac:dyDescent="0.25">
      <c r="A665" s="44">
        <v>2018</v>
      </c>
      <c r="B665" s="44" t="s">
        <v>480</v>
      </c>
      <c r="C665" s="44" t="s">
        <v>1220</v>
      </c>
      <c r="D665" s="45">
        <v>4.9654999999999996</v>
      </c>
      <c r="E665" s="45">
        <v>6.4615999999999998</v>
      </c>
      <c r="F665" s="45">
        <v>17.920000000000002</v>
      </c>
      <c r="G665" s="46">
        <v>0.72290736607142869</v>
      </c>
      <c r="H665" s="46">
        <v>0.63941964285714281</v>
      </c>
      <c r="I665" s="46">
        <v>8.3487723214285894E-2</v>
      </c>
      <c r="J665" s="47" t="s">
        <v>533</v>
      </c>
      <c r="K665" s="48"/>
      <c r="L665" s="48"/>
    </row>
    <row r="666" spans="1:12" s="43" customFormat="1" ht="15" x14ac:dyDescent="0.25">
      <c r="A666" s="38" t="s">
        <v>546</v>
      </c>
      <c r="B666" s="39" t="s">
        <v>224</v>
      </c>
      <c r="C666" s="39" t="s">
        <v>742</v>
      </c>
      <c r="D666" s="40">
        <v>6.3479999999999999</v>
      </c>
      <c r="E666" s="40">
        <v>7.6791</v>
      </c>
      <c r="F666" s="40">
        <v>18.707000000000001</v>
      </c>
      <c r="G666" s="41">
        <v>0.66066178435879597</v>
      </c>
      <c r="H666" s="41">
        <v>0.58950660180681003</v>
      </c>
      <c r="I666" s="41">
        <v>7.1155182551985899E-2</v>
      </c>
      <c r="J666" s="42" t="s">
        <v>532</v>
      </c>
    </row>
    <row r="667" spans="1:12" s="43" customFormat="1" ht="15" x14ac:dyDescent="0.25">
      <c r="A667" s="38" t="s">
        <v>576</v>
      </c>
      <c r="B667" s="39" t="s">
        <v>224</v>
      </c>
      <c r="C667" s="39" t="s">
        <v>817</v>
      </c>
      <c r="D667" s="40">
        <v>6.3479999999999999</v>
      </c>
      <c r="E667" s="40">
        <v>7.6757999999999997</v>
      </c>
      <c r="F667" s="40">
        <v>18.707000000000001</v>
      </c>
      <c r="G667" s="41">
        <v>0.66066178435879597</v>
      </c>
      <c r="H667" s="41">
        <v>0.58968300636125504</v>
      </c>
      <c r="I667" s="41">
        <v>7.0978777997540904E-2</v>
      </c>
      <c r="J667" s="42" t="s">
        <v>532</v>
      </c>
    </row>
    <row r="668" spans="1:12" s="43" customFormat="1" ht="15" x14ac:dyDescent="0.25">
      <c r="A668" s="38" t="s">
        <v>556</v>
      </c>
      <c r="B668" s="39" t="s">
        <v>224</v>
      </c>
      <c r="C668" s="39" t="s">
        <v>1381</v>
      </c>
      <c r="D668" s="40">
        <v>6.4832000000000001</v>
      </c>
      <c r="E668" s="40">
        <v>6.2077</v>
      </c>
      <c r="F668" s="40">
        <v>18.707000000000001</v>
      </c>
      <c r="G668" s="41">
        <v>0.65343454321911598</v>
      </c>
      <c r="H668" s="41">
        <v>0.66816165071898204</v>
      </c>
      <c r="I668" s="41">
        <v>-1.47271074998664E-2</v>
      </c>
      <c r="J668" s="42" t="s">
        <v>532</v>
      </c>
    </row>
    <row r="669" spans="1:12" s="43" customFormat="1" ht="15" x14ac:dyDescent="0.25">
      <c r="A669" s="38" t="s">
        <v>636</v>
      </c>
      <c r="B669" s="39" t="s">
        <v>224</v>
      </c>
      <c r="C669" s="39" t="s">
        <v>1516</v>
      </c>
      <c r="D669" s="40">
        <v>6.4832000000000001</v>
      </c>
      <c r="E669" s="40">
        <v>6.8075999999999999</v>
      </c>
      <c r="F669" s="40"/>
      <c r="G669" s="41"/>
      <c r="H669" s="41"/>
      <c r="I669" s="41"/>
      <c r="J669" s="42" t="s">
        <v>532</v>
      </c>
    </row>
    <row r="670" spans="1:12" s="43" customFormat="1" ht="15" x14ac:dyDescent="0.25">
      <c r="A670" s="38" t="s">
        <v>547</v>
      </c>
      <c r="B670" s="39" t="s">
        <v>224</v>
      </c>
      <c r="C670" s="39" t="s">
        <v>1520</v>
      </c>
      <c r="D670" s="40">
        <v>6.4832000000000001</v>
      </c>
      <c r="E670" s="40">
        <v>6.6348000000000003</v>
      </c>
      <c r="F670" s="40"/>
      <c r="G670" s="41"/>
      <c r="H670" s="41"/>
      <c r="I670" s="41"/>
      <c r="J670" s="42" t="s">
        <v>532</v>
      </c>
    </row>
    <row r="671" spans="1:12" x14ac:dyDescent="0.25">
      <c r="A671" s="44">
        <v>2018</v>
      </c>
      <c r="B671" s="44" t="s">
        <v>224</v>
      </c>
      <c r="C671" s="44" t="s">
        <v>1822</v>
      </c>
      <c r="D671" s="45">
        <v>6.4284377981651373</v>
      </c>
      <c r="E671" s="45">
        <v>7.0325881880733947</v>
      </c>
      <c r="F671" s="45">
        <v>9.9627646788990845</v>
      </c>
      <c r="G671" s="46">
        <v>0.35092621954299602</v>
      </c>
      <c r="H671" s="46">
        <v>0.32403109540999964</v>
      </c>
      <c r="I671" s="46">
        <v>2.689512413299636E-2</v>
      </c>
      <c r="J671" s="47" t="s">
        <v>533</v>
      </c>
      <c r="K671" s="48"/>
      <c r="L671" s="48"/>
    </row>
    <row r="672" spans="1:12" s="43" customFormat="1" ht="15" x14ac:dyDescent="0.25">
      <c r="A672" s="38" t="s">
        <v>631</v>
      </c>
      <c r="B672" s="39" t="s">
        <v>225</v>
      </c>
      <c r="C672" s="39" t="s">
        <v>1255</v>
      </c>
      <c r="D672" s="40">
        <v>7.2910000000000004</v>
      </c>
      <c r="E672" s="40">
        <v>8.1064000000000007</v>
      </c>
      <c r="F672" s="40">
        <v>19.2</v>
      </c>
      <c r="G672" s="41">
        <v>0.62026041666666698</v>
      </c>
      <c r="H672" s="41">
        <v>0.57779166666666604</v>
      </c>
      <c r="I672" s="41">
        <v>4.2468750000000097E-2</v>
      </c>
      <c r="J672" s="42" t="s">
        <v>532</v>
      </c>
    </row>
    <row r="673" spans="1:12" x14ac:dyDescent="0.25">
      <c r="A673" s="44">
        <v>2018</v>
      </c>
      <c r="B673" s="44" t="s">
        <v>225</v>
      </c>
      <c r="C673" s="44" t="s">
        <v>1255</v>
      </c>
      <c r="D673" s="45">
        <v>7.2910000000000004</v>
      </c>
      <c r="E673" s="45">
        <v>8.1064000000000007</v>
      </c>
      <c r="F673" s="45">
        <v>19.2</v>
      </c>
      <c r="G673" s="46">
        <v>0.62026041666666665</v>
      </c>
      <c r="H673" s="46">
        <v>0.57779166666666659</v>
      </c>
      <c r="I673" s="46">
        <v>4.2468750000000055E-2</v>
      </c>
      <c r="J673" s="47" t="s">
        <v>533</v>
      </c>
      <c r="K673" s="48"/>
      <c r="L673" s="48"/>
    </row>
    <row r="674" spans="1:12" s="43" customFormat="1" ht="15" x14ac:dyDescent="0.25">
      <c r="A674" s="38" t="s">
        <v>658</v>
      </c>
      <c r="B674" s="39" t="s">
        <v>418</v>
      </c>
      <c r="C674" s="39" t="s">
        <v>1691</v>
      </c>
      <c r="D674" s="40">
        <v>1.8811</v>
      </c>
      <c r="E674" s="40">
        <v>1.8642000000000001</v>
      </c>
      <c r="F674" s="40">
        <v>7.06</v>
      </c>
      <c r="G674" s="41">
        <v>0.733555240793201</v>
      </c>
      <c r="H674" s="41">
        <v>0.73594900849858402</v>
      </c>
      <c r="I674" s="41">
        <v>-2.39376770538235E-3</v>
      </c>
      <c r="J674" s="42" t="s">
        <v>532</v>
      </c>
    </row>
    <row r="675" spans="1:12" x14ac:dyDescent="0.25">
      <c r="A675" s="44">
        <v>2018</v>
      </c>
      <c r="B675" s="44" t="s">
        <v>418</v>
      </c>
      <c r="C675" s="44" t="s">
        <v>1691</v>
      </c>
      <c r="D675" s="45">
        <v>1.8810999999999998</v>
      </c>
      <c r="E675" s="45">
        <v>1.8642000000000001</v>
      </c>
      <c r="F675" s="45">
        <v>7.06</v>
      </c>
      <c r="G675" s="46">
        <v>0.73355524079320111</v>
      </c>
      <c r="H675" s="46">
        <v>0.73594900849858347</v>
      </c>
      <c r="I675" s="46">
        <v>-2.3937677053823547E-3</v>
      </c>
      <c r="J675" s="47" t="s">
        <v>533</v>
      </c>
      <c r="K675" s="48"/>
      <c r="L675" s="48"/>
    </row>
    <row r="676" spans="1:12" s="43" customFormat="1" ht="15" x14ac:dyDescent="0.25">
      <c r="A676" s="38" t="s">
        <v>629</v>
      </c>
      <c r="B676" s="39" t="s">
        <v>12</v>
      </c>
      <c r="C676" s="39" t="s">
        <v>1016</v>
      </c>
      <c r="D676" s="40">
        <v>2.6099000000000001</v>
      </c>
      <c r="E676" s="40">
        <v>2.61</v>
      </c>
      <c r="F676" s="40">
        <v>9.7460000000000004</v>
      </c>
      <c r="G676" s="41">
        <v>0.73220808536835602</v>
      </c>
      <c r="H676" s="41">
        <v>0.73219782474861494</v>
      </c>
      <c r="I676" s="41">
        <v>1.0260619741408999E-5</v>
      </c>
      <c r="J676" s="42" t="s">
        <v>532</v>
      </c>
    </row>
    <row r="677" spans="1:12" x14ac:dyDescent="0.25">
      <c r="A677" s="44">
        <v>2018</v>
      </c>
      <c r="B677" s="44" t="s">
        <v>12</v>
      </c>
      <c r="C677" s="44" t="s">
        <v>1016</v>
      </c>
      <c r="D677" s="45">
        <v>2.6099000000000001</v>
      </c>
      <c r="E677" s="45">
        <v>2.61</v>
      </c>
      <c r="F677" s="45">
        <v>9.7460000000000004</v>
      </c>
      <c r="G677" s="46">
        <v>0.73220808536835613</v>
      </c>
      <c r="H677" s="46">
        <v>0.73219782474861483</v>
      </c>
      <c r="I677" s="46">
        <v>1.0260619741409016E-5</v>
      </c>
      <c r="J677" s="47" t="s">
        <v>533</v>
      </c>
      <c r="K677" s="48"/>
      <c r="L677" s="48"/>
    </row>
    <row r="678" spans="1:12" s="43" customFormat="1" ht="15" x14ac:dyDescent="0.25">
      <c r="A678" s="38" t="s">
        <v>618</v>
      </c>
      <c r="B678" s="39" t="s">
        <v>13</v>
      </c>
      <c r="C678" s="39" t="s">
        <v>866</v>
      </c>
      <c r="D678" s="40">
        <v>2.6499000000000001</v>
      </c>
      <c r="E678" s="40">
        <v>3.7050000000000001</v>
      </c>
      <c r="F678" s="40">
        <v>9.5660000000000007</v>
      </c>
      <c r="G678" s="41">
        <v>0.72298766464562003</v>
      </c>
      <c r="H678" s="41">
        <v>0.61269077984528497</v>
      </c>
      <c r="I678" s="41">
        <v>0.11029688480033401</v>
      </c>
      <c r="J678" s="42" t="s">
        <v>532</v>
      </c>
    </row>
    <row r="679" spans="1:12" s="43" customFormat="1" ht="15" x14ac:dyDescent="0.25">
      <c r="A679" s="38" t="s">
        <v>583</v>
      </c>
      <c r="B679" s="39" t="s">
        <v>13</v>
      </c>
      <c r="C679" s="39" t="s">
        <v>1167</v>
      </c>
      <c r="D679" s="40">
        <v>2.6545999999999998</v>
      </c>
      <c r="E679" s="40">
        <v>2.6993</v>
      </c>
      <c r="F679" s="40">
        <v>9.8010000000000002</v>
      </c>
      <c r="G679" s="41">
        <v>0.72915008672584403</v>
      </c>
      <c r="H679" s="41">
        <v>0.72458932761963102</v>
      </c>
      <c r="I679" s="41">
        <v>4.5607591062135598E-3</v>
      </c>
      <c r="J679" s="42" t="s">
        <v>532</v>
      </c>
    </row>
    <row r="680" spans="1:12" x14ac:dyDescent="0.25">
      <c r="A680" s="44">
        <v>2018</v>
      </c>
      <c r="B680" s="44" t="s">
        <v>13</v>
      </c>
      <c r="C680" s="44" t="s">
        <v>1931</v>
      </c>
      <c r="D680" s="45">
        <v>2.652423157894737</v>
      </c>
      <c r="E680" s="45">
        <v>3.1650978947368422</v>
      </c>
      <c r="F680" s="45">
        <v>9.692157894736841</v>
      </c>
      <c r="G680" s="46">
        <v>0.72629591228868773</v>
      </c>
      <c r="H680" s="46">
        <v>0.67276263180835494</v>
      </c>
      <c r="I680" s="46">
        <v>5.3533280480332686E-2</v>
      </c>
      <c r="J680" s="47" t="s">
        <v>533</v>
      </c>
      <c r="K680" s="48"/>
      <c r="L680" s="48"/>
    </row>
    <row r="681" spans="1:12" s="43" customFormat="1" ht="15" x14ac:dyDescent="0.25">
      <c r="A681" s="38" t="s">
        <v>587</v>
      </c>
      <c r="B681" s="39" t="s">
        <v>14</v>
      </c>
      <c r="C681" s="39" t="s">
        <v>837</v>
      </c>
      <c r="D681" s="40">
        <v>2.222</v>
      </c>
      <c r="E681" s="40">
        <v>2.5918999999999999</v>
      </c>
      <c r="F681" s="40">
        <v>6.0140000000000002</v>
      </c>
      <c r="G681" s="41">
        <v>0.63052876621217202</v>
      </c>
      <c r="H681" s="41">
        <v>0.56902228134353205</v>
      </c>
      <c r="I681" s="41">
        <v>6.1506484868639702E-2</v>
      </c>
      <c r="J681" s="42" t="s">
        <v>532</v>
      </c>
    </row>
    <row r="682" spans="1:12" x14ac:dyDescent="0.25">
      <c r="A682" s="44">
        <v>2018</v>
      </c>
      <c r="B682" s="44" t="s">
        <v>14</v>
      </c>
      <c r="C682" s="44" t="s">
        <v>837</v>
      </c>
      <c r="D682" s="45">
        <v>2.222</v>
      </c>
      <c r="E682" s="45">
        <v>2.5918999999999999</v>
      </c>
      <c r="F682" s="45">
        <v>6.0140000000000002</v>
      </c>
      <c r="G682" s="46">
        <v>0.63052876621217158</v>
      </c>
      <c r="H682" s="46">
        <v>0.56902228134353183</v>
      </c>
      <c r="I682" s="46">
        <v>6.1506484868639744E-2</v>
      </c>
      <c r="J682" s="47" t="s">
        <v>533</v>
      </c>
      <c r="K682" s="48"/>
      <c r="L682" s="48"/>
    </row>
    <row r="683" spans="1:12" s="43" customFormat="1" ht="15" x14ac:dyDescent="0.25">
      <c r="A683" s="38" t="s">
        <v>552</v>
      </c>
      <c r="B683" s="39" t="s">
        <v>15</v>
      </c>
      <c r="C683" s="39" t="s">
        <v>750</v>
      </c>
      <c r="D683" s="40">
        <v>3.0331000000000001</v>
      </c>
      <c r="E683" s="40">
        <v>3.5619999999999998</v>
      </c>
      <c r="F683" s="40">
        <v>8.8729999999999993</v>
      </c>
      <c r="G683" s="41">
        <v>0.65816522033134195</v>
      </c>
      <c r="H683" s="41">
        <v>0.59855742139073598</v>
      </c>
      <c r="I683" s="41">
        <v>5.9607798940606298E-2</v>
      </c>
      <c r="J683" s="42" t="s">
        <v>532</v>
      </c>
    </row>
    <row r="684" spans="1:12" s="43" customFormat="1" ht="15" x14ac:dyDescent="0.25">
      <c r="A684" s="38" t="s">
        <v>551</v>
      </c>
      <c r="B684" s="39" t="s">
        <v>15</v>
      </c>
      <c r="C684" s="39" t="s">
        <v>1085</v>
      </c>
      <c r="D684" s="40">
        <v>3.1456</v>
      </c>
      <c r="E684" s="40">
        <v>3.407</v>
      </c>
      <c r="F684" s="40">
        <v>9.5419999999999998</v>
      </c>
      <c r="G684" s="41">
        <v>0.670341647453364</v>
      </c>
      <c r="H684" s="41">
        <v>0.64294697128484601</v>
      </c>
      <c r="I684" s="41">
        <v>2.7394676168518199E-2</v>
      </c>
      <c r="J684" s="42" t="s">
        <v>532</v>
      </c>
    </row>
    <row r="685" spans="1:12" x14ac:dyDescent="0.25">
      <c r="A685" s="44">
        <v>2018</v>
      </c>
      <c r="B685" s="44" t="s">
        <v>15</v>
      </c>
      <c r="C685" s="44" t="s">
        <v>1827</v>
      </c>
      <c r="D685" s="45">
        <v>3.0902261682242989</v>
      </c>
      <c r="E685" s="45">
        <v>3.4832928348909658</v>
      </c>
      <c r="F685" s="45">
        <v>9.2127102803738303</v>
      </c>
      <c r="G685" s="46">
        <v>0.66434826587928475</v>
      </c>
      <c r="H685" s="46">
        <v>0.62109790934319675</v>
      </c>
      <c r="I685" s="46">
        <v>4.3250356536088046E-2</v>
      </c>
      <c r="J685" s="47" t="s">
        <v>533</v>
      </c>
      <c r="K685" s="48"/>
      <c r="L685" s="48"/>
    </row>
    <row r="686" spans="1:12" s="43" customFormat="1" ht="15" x14ac:dyDescent="0.25">
      <c r="A686" s="38" t="s">
        <v>570</v>
      </c>
      <c r="B686" s="39" t="s">
        <v>16</v>
      </c>
      <c r="C686" s="39" t="s">
        <v>1242</v>
      </c>
      <c r="D686" s="40">
        <v>2.8229000000000002</v>
      </c>
      <c r="E686" s="40">
        <v>4.0462999999999996</v>
      </c>
      <c r="F686" s="40">
        <v>9.0380000000000003</v>
      </c>
      <c r="G686" s="41">
        <v>0.68766319982296997</v>
      </c>
      <c r="H686" s="41">
        <v>0.55230139411374202</v>
      </c>
      <c r="I686" s="41">
        <v>0.13536180570922801</v>
      </c>
      <c r="J686" s="42" t="s">
        <v>532</v>
      </c>
    </row>
    <row r="687" spans="1:12" x14ac:dyDescent="0.25">
      <c r="A687" s="44">
        <v>2018</v>
      </c>
      <c r="B687" s="44" t="s">
        <v>16</v>
      </c>
      <c r="C687" s="44" t="s">
        <v>1242</v>
      </c>
      <c r="D687" s="45">
        <v>2.8229000000000002</v>
      </c>
      <c r="E687" s="45">
        <v>4.0462999999999996</v>
      </c>
      <c r="F687" s="45">
        <v>9.0380000000000003</v>
      </c>
      <c r="G687" s="46">
        <v>0.68766319982296975</v>
      </c>
      <c r="H687" s="46">
        <v>0.55230139411374202</v>
      </c>
      <c r="I687" s="46">
        <v>0.13536180570922773</v>
      </c>
      <c r="J687" s="47" t="s">
        <v>533</v>
      </c>
      <c r="K687" s="48"/>
      <c r="L687" s="48"/>
    </row>
    <row r="688" spans="1:12" s="43" customFormat="1" ht="15" x14ac:dyDescent="0.25">
      <c r="A688" s="38" t="s">
        <v>564</v>
      </c>
      <c r="B688" s="39" t="s">
        <v>17</v>
      </c>
      <c r="C688" s="39" t="s">
        <v>1447</v>
      </c>
      <c r="D688" s="40">
        <v>2.7642000000000002</v>
      </c>
      <c r="E688" s="40">
        <v>4.1817000000000002</v>
      </c>
      <c r="F688" s="40">
        <v>6.8550000000000004</v>
      </c>
      <c r="G688" s="41">
        <v>0.59676148796498896</v>
      </c>
      <c r="H688" s="41">
        <v>0.38997811816192601</v>
      </c>
      <c r="I688" s="41">
        <v>0.206783369803063</v>
      </c>
      <c r="J688" s="42" t="s">
        <v>532</v>
      </c>
    </row>
    <row r="689" spans="1:12" x14ac:dyDescent="0.25">
      <c r="A689" s="44">
        <v>2018</v>
      </c>
      <c r="B689" s="44" t="s">
        <v>17</v>
      </c>
      <c r="C689" s="44" t="s">
        <v>1447</v>
      </c>
      <c r="D689" s="45">
        <v>2.7642000000000002</v>
      </c>
      <c r="E689" s="45">
        <v>4.1817000000000002</v>
      </c>
      <c r="F689" s="45">
        <v>6.8550000000000004</v>
      </c>
      <c r="G689" s="46">
        <v>0.59676148796498896</v>
      </c>
      <c r="H689" s="46">
        <v>0.38997811816192562</v>
      </c>
      <c r="I689" s="46">
        <v>0.20678336980306333</v>
      </c>
      <c r="J689" s="47" t="s">
        <v>533</v>
      </c>
      <c r="K689" s="48"/>
      <c r="L689" s="48"/>
    </row>
    <row r="690" spans="1:12" s="43" customFormat="1" ht="15" x14ac:dyDescent="0.25">
      <c r="A690" s="38" t="s">
        <v>559</v>
      </c>
      <c r="B690" s="39" t="s">
        <v>18</v>
      </c>
      <c r="C690" s="39" t="s">
        <v>818</v>
      </c>
      <c r="D690" s="40">
        <v>1.9830000000000001</v>
      </c>
      <c r="E690" s="40">
        <v>1.9554</v>
      </c>
      <c r="F690" s="40">
        <v>5.8330000000000002</v>
      </c>
      <c r="G690" s="41">
        <v>0.66003771644094</v>
      </c>
      <c r="H690" s="41">
        <v>0.66476941539516599</v>
      </c>
      <c r="I690" s="41">
        <v>-4.7316989542259798E-3</v>
      </c>
      <c r="J690" s="42" t="s">
        <v>532</v>
      </c>
    </row>
    <row r="691" spans="1:12" s="43" customFormat="1" ht="15" x14ac:dyDescent="0.25">
      <c r="A691" s="38" t="s">
        <v>579</v>
      </c>
      <c r="B691" s="39" t="s">
        <v>18</v>
      </c>
      <c r="C691" s="39" t="s">
        <v>1036</v>
      </c>
      <c r="D691" s="40">
        <v>1.7713000000000001</v>
      </c>
      <c r="E691" s="40">
        <v>2.2033</v>
      </c>
      <c r="F691" s="40">
        <v>4.0819999999999999</v>
      </c>
      <c r="G691" s="41">
        <v>0.566070553650172</v>
      </c>
      <c r="H691" s="41">
        <v>0.46024007839294501</v>
      </c>
      <c r="I691" s="41">
        <v>0.105830475257227</v>
      </c>
      <c r="J691" s="42" t="s">
        <v>532</v>
      </c>
    </row>
    <row r="692" spans="1:12" x14ac:dyDescent="0.25">
      <c r="A692" s="44">
        <v>2018</v>
      </c>
      <c r="B692" s="44" t="s">
        <v>18</v>
      </c>
      <c r="C692" s="44" t="s">
        <v>1855</v>
      </c>
      <c r="D692" s="45">
        <v>1.9130990566037736</v>
      </c>
      <c r="E692" s="45">
        <v>2.0372537735849057</v>
      </c>
      <c r="F692" s="45">
        <v>5.2548396226415095</v>
      </c>
      <c r="G692" s="46">
        <v>0.62901082306662925</v>
      </c>
      <c r="H692" s="46">
        <v>0.59723614374348877</v>
      </c>
      <c r="I692" s="46">
        <v>3.1774679323140514E-2</v>
      </c>
      <c r="J692" s="47" t="s">
        <v>533</v>
      </c>
      <c r="K692" s="48"/>
      <c r="L692" s="48"/>
    </row>
    <row r="693" spans="1:12" s="43" customFormat="1" ht="15" x14ac:dyDescent="0.25">
      <c r="A693" s="38" t="s">
        <v>575</v>
      </c>
      <c r="B693" s="39" t="s">
        <v>19</v>
      </c>
      <c r="C693" s="39" t="s">
        <v>1705</v>
      </c>
      <c r="D693" s="40">
        <v>1.9306000000000001</v>
      </c>
      <c r="E693" s="40">
        <v>2.0369999999999999</v>
      </c>
      <c r="F693" s="40">
        <v>5.4989999999999997</v>
      </c>
      <c r="G693" s="41">
        <v>0.64891798508819798</v>
      </c>
      <c r="H693" s="41">
        <v>0.62956901254773601</v>
      </c>
      <c r="I693" s="41">
        <v>1.9348972540462001E-2</v>
      </c>
      <c r="J693" s="42" t="s">
        <v>532</v>
      </c>
    </row>
    <row r="694" spans="1:12" x14ac:dyDescent="0.25">
      <c r="A694" s="44">
        <v>2018</v>
      </c>
      <c r="B694" s="44" t="s">
        <v>19</v>
      </c>
      <c r="C694" s="44" t="s">
        <v>1705</v>
      </c>
      <c r="D694" s="45">
        <v>1.9306000000000001</v>
      </c>
      <c r="E694" s="45">
        <v>2.0369999999999999</v>
      </c>
      <c r="F694" s="45">
        <v>5.4989999999999997</v>
      </c>
      <c r="G694" s="46">
        <v>0.64891798508819787</v>
      </c>
      <c r="H694" s="46">
        <v>0.6295690125477359</v>
      </c>
      <c r="I694" s="46">
        <v>1.9348972540461969E-2</v>
      </c>
      <c r="J694" s="47" t="s">
        <v>533</v>
      </c>
      <c r="K694" s="48"/>
      <c r="L694" s="48"/>
    </row>
    <row r="695" spans="1:12" s="43" customFormat="1" ht="15" x14ac:dyDescent="0.25">
      <c r="A695" s="38" t="s">
        <v>603</v>
      </c>
      <c r="B695" s="39" t="s">
        <v>20</v>
      </c>
      <c r="C695" s="39" t="s">
        <v>819</v>
      </c>
      <c r="D695" s="40">
        <v>2.3111999999999999</v>
      </c>
      <c r="E695" s="40">
        <v>2.4546000000000001</v>
      </c>
      <c r="F695" s="40">
        <v>5.8440000000000003</v>
      </c>
      <c r="G695" s="41">
        <v>0.60451745379876798</v>
      </c>
      <c r="H695" s="41">
        <v>0.57997946611909601</v>
      </c>
      <c r="I695" s="41">
        <v>2.45379876796714E-2</v>
      </c>
      <c r="J695" s="42" t="s">
        <v>532</v>
      </c>
    </row>
    <row r="696" spans="1:12" x14ac:dyDescent="0.25">
      <c r="A696" s="44">
        <v>2018</v>
      </c>
      <c r="B696" s="44" t="s">
        <v>20</v>
      </c>
      <c r="C696" s="44" t="s">
        <v>819</v>
      </c>
      <c r="D696" s="45">
        <v>2.3111999999999999</v>
      </c>
      <c r="E696" s="45">
        <v>2.4546000000000001</v>
      </c>
      <c r="F696" s="45">
        <v>5.8440000000000012</v>
      </c>
      <c r="G696" s="46">
        <v>0.60451745379876798</v>
      </c>
      <c r="H696" s="46">
        <v>0.57997946611909657</v>
      </c>
      <c r="I696" s="46">
        <v>2.4537987679671417E-2</v>
      </c>
      <c r="J696" s="47" t="s">
        <v>533</v>
      </c>
      <c r="K696" s="48"/>
      <c r="L696" s="48"/>
    </row>
    <row r="697" spans="1:12" s="43" customFormat="1" ht="15" x14ac:dyDescent="0.25">
      <c r="A697" s="38" t="s">
        <v>559</v>
      </c>
      <c r="B697" s="39" t="s">
        <v>21</v>
      </c>
      <c r="C697" s="39" t="s">
        <v>819</v>
      </c>
      <c r="D697" s="40">
        <v>1.8278000000000001</v>
      </c>
      <c r="E697" s="40">
        <v>1.8606</v>
      </c>
      <c r="F697" s="40">
        <v>6.82</v>
      </c>
      <c r="G697" s="41">
        <v>0.73199413489736098</v>
      </c>
      <c r="H697" s="41">
        <v>0.72718475073313804</v>
      </c>
      <c r="I697" s="41">
        <v>4.8093841642229398E-3</v>
      </c>
      <c r="J697" s="42" t="s">
        <v>532</v>
      </c>
    </row>
    <row r="698" spans="1:12" s="43" customFormat="1" ht="15" x14ac:dyDescent="0.25">
      <c r="A698" s="38" t="s">
        <v>579</v>
      </c>
      <c r="B698" s="39" t="s">
        <v>21</v>
      </c>
      <c r="C698" s="39" t="s">
        <v>1055</v>
      </c>
      <c r="D698" s="40">
        <v>1.7817000000000001</v>
      </c>
      <c r="E698" s="40">
        <v>2.1766999999999999</v>
      </c>
      <c r="F698" s="40">
        <v>6.8840000000000003</v>
      </c>
      <c r="G698" s="41">
        <v>0.74118245206275402</v>
      </c>
      <c r="H698" s="41">
        <v>0.68380302149912797</v>
      </c>
      <c r="I698" s="41">
        <v>5.7379430563625801E-2</v>
      </c>
      <c r="J698" s="42" t="s">
        <v>532</v>
      </c>
    </row>
    <row r="699" spans="1:12" x14ac:dyDescent="0.25">
      <c r="A699" s="44">
        <v>2018</v>
      </c>
      <c r="B699" s="44" t="s">
        <v>21</v>
      </c>
      <c r="C699" s="44" t="s">
        <v>790</v>
      </c>
      <c r="D699" s="45">
        <v>1.7922859259259261</v>
      </c>
      <c r="E699" s="45">
        <v>2.104114074074074</v>
      </c>
      <c r="F699" s="45">
        <v>6.8693037037037037</v>
      </c>
      <c r="G699" s="46">
        <v>0.7390725421951454</v>
      </c>
      <c r="H699" s="46">
        <v>0.69376475191582687</v>
      </c>
      <c r="I699" s="46">
        <v>4.5307790279318499E-2</v>
      </c>
      <c r="J699" s="47" t="s">
        <v>533</v>
      </c>
      <c r="K699" s="48"/>
      <c r="L699" s="48"/>
    </row>
    <row r="700" spans="1:12" s="43" customFormat="1" ht="15" x14ac:dyDescent="0.25">
      <c r="A700" s="38" t="s">
        <v>559</v>
      </c>
      <c r="B700" s="39" t="s">
        <v>22</v>
      </c>
      <c r="C700" s="39" t="s">
        <v>820</v>
      </c>
      <c r="D700" s="40">
        <v>1.8922000000000001</v>
      </c>
      <c r="E700" s="40">
        <v>2.2656000000000001</v>
      </c>
      <c r="F700" s="40">
        <v>6.9640000000000004</v>
      </c>
      <c r="G700" s="41">
        <v>0.72828834003446297</v>
      </c>
      <c r="H700" s="41">
        <v>0.67466973004020703</v>
      </c>
      <c r="I700" s="41">
        <v>5.3618609994256203E-2</v>
      </c>
      <c r="J700" s="42" t="s">
        <v>532</v>
      </c>
    </row>
    <row r="701" spans="1:12" s="43" customFormat="1" ht="15" x14ac:dyDescent="0.25">
      <c r="A701" s="38" t="s">
        <v>575</v>
      </c>
      <c r="B701" s="39" t="s">
        <v>22</v>
      </c>
      <c r="C701" s="39" t="s">
        <v>1442</v>
      </c>
      <c r="D701" s="40">
        <v>1.9306000000000001</v>
      </c>
      <c r="E701" s="40">
        <v>2.0369999999999999</v>
      </c>
      <c r="F701" s="40">
        <v>7</v>
      </c>
      <c r="G701" s="41">
        <v>0.72419999999999995</v>
      </c>
      <c r="H701" s="41">
        <v>0.70899999999999996</v>
      </c>
      <c r="I701" s="41">
        <v>1.52E-2</v>
      </c>
      <c r="J701" s="42" t="s">
        <v>532</v>
      </c>
    </row>
    <row r="702" spans="1:12" x14ac:dyDescent="0.25">
      <c r="A702" s="44">
        <v>2018</v>
      </c>
      <c r="B702" s="44" t="s">
        <v>22</v>
      </c>
      <c r="C702" s="44" t="s">
        <v>903</v>
      </c>
      <c r="D702" s="45">
        <v>1.9124378378378379</v>
      </c>
      <c r="E702" s="45">
        <v>2.1451216216216213</v>
      </c>
      <c r="F702" s="45">
        <v>6.9829729729729735</v>
      </c>
      <c r="G702" s="46">
        <v>0.72613367434062437</v>
      </c>
      <c r="H702" s="46">
        <v>0.69276271015415181</v>
      </c>
      <c r="I702" s="46">
        <v>3.3370964186472507E-2</v>
      </c>
      <c r="J702" s="47" t="s">
        <v>533</v>
      </c>
      <c r="K702" s="48"/>
      <c r="L702" s="48"/>
    </row>
    <row r="703" spans="1:12" s="43" customFormat="1" ht="15" x14ac:dyDescent="0.25">
      <c r="A703" s="38" t="s">
        <v>603</v>
      </c>
      <c r="B703" s="39" t="s">
        <v>234</v>
      </c>
      <c r="C703" s="39" t="s">
        <v>1422</v>
      </c>
      <c r="D703" s="40">
        <v>2.3216000000000001</v>
      </c>
      <c r="E703" s="40">
        <v>2.6396000000000002</v>
      </c>
      <c r="F703" s="40">
        <v>6.4390000000000001</v>
      </c>
      <c r="G703" s="41">
        <v>0.639447119117876</v>
      </c>
      <c r="H703" s="41">
        <v>0.59006056841124399</v>
      </c>
      <c r="I703" s="41">
        <v>4.9386550706631401E-2</v>
      </c>
      <c r="J703" s="42" t="s">
        <v>532</v>
      </c>
    </row>
    <row r="704" spans="1:12" x14ac:dyDescent="0.25">
      <c r="A704" s="44">
        <v>2018</v>
      </c>
      <c r="B704" s="44" t="s">
        <v>234</v>
      </c>
      <c r="C704" s="44" t="s">
        <v>1422</v>
      </c>
      <c r="D704" s="45">
        <v>2.3216000000000001</v>
      </c>
      <c r="E704" s="45">
        <v>2.6396000000000002</v>
      </c>
      <c r="F704" s="45">
        <v>6.4390000000000001</v>
      </c>
      <c r="G704" s="46">
        <v>0.63944711911787544</v>
      </c>
      <c r="H704" s="46">
        <v>0.59006056841124399</v>
      </c>
      <c r="I704" s="46">
        <v>4.9386550706631449E-2</v>
      </c>
      <c r="J704" s="47" t="s">
        <v>533</v>
      </c>
      <c r="K704" s="48"/>
      <c r="L704" s="48"/>
    </row>
    <row r="705" spans="1:12" s="43" customFormat="1" ht="15" x14ac:dyDescent="0.25">
      <c r="A705" s="38" t="s">
        <v>677</v>
      </c>
      <c r="B705" s="39" t="s">
        <v>23</v>
      </c>
      <c r="C705" s="39" t="s">
        <v>788</v>
      </c>
      <c r="D705" s="40">
        <v>2.6046</v>
      </c>
      <c r="E705" s="40">
        <v>2.8645999999999998</v>
      </c>
      <c r="F705" s="40">
        <v>7.923</v>
      </c>
      <c r="G705" s="41">
        <v>0.67126088602802003</v>
      </c>
      <c r="H705" s="41">
        <v>0.63844503344692705</v>
      </c>
      <c r="I705" s="41">
        <v>3.2815852581093E-2</v>
      </c>
      <c r="J705" s="42" t="s">
        <v>532</v>
      </c>
    </row>
    <row r="706" spans="1:12" s="43" customFormat="1" ht="15" x14ac:dyDescent="0.25">
      <c r="A706" s="38" t="s">
        <v>605</v>
      </c>
      <c r="B706" s="39" t="s">
        <v>23</v>
      </c>
      <c r="C706" s="39" t="s">
        <v>971</v>
      </c>
      <c r="D706" s="40">
        <v>2.6046</v>
      </c>
      <c r="E706" s="40">
        <v>2.9028999999999998</v>
      </c>
      <c r="F706" s="40">
        <v>7.923</v>
      </c>
      <c r="G706" s="41">
        <v>0.67126088602802003</v>
      </c>
      <c r="H706" s="41">
        <v>0.63361100593209596</v>
      </c>
      <c r="I706" s="41">
        <v>3.7649880095923301E-2</v>
      </c>
      <c r="J706" s="42" t="s">
        <v>532</v>
      </c>
    </row>
    <row r="707" spans="1:12" x14ac:dyDescent="0.25">
      <c r="A707" s="44">
        <v>2018</v>
      </c>
      <c r="B707" s="44" t="s">
        <v>23</v>
      </c>
      <c r="C707" s="44" t="s">
        <v>1891</v>
      </c>
      <c r="D707" s="45">
        <v>2.6046000000000005</v>
      </c>
      <c r="E707" s="45">
        <v>2.8722599999999998</v>
      </c>
      <c r="F707" s="45">
        <v>7.923</v>
      </c>
      <c r="G707" s="46">
        <v>0.67126088602801959</v>
      </c>
      <c r="H707" s="46">
        <v>0.6374782279439607</v>
      </c>
      <c r="I707" s="46">
        <v>3.3782658084059045E-2</v>
      </c>
      <c r="J707" s="47" t="s">
        <v>533</v>
      </c>
      <c r="K707" s="48"/>
      <c r="L707" s="48"/>
    </row>
    <row r="708" spans="1:12" s="43" customFormat="1" ht="15" x14ac:dyDescent="0.25">
      <c r="A708" s="38" t="s">
        <v>623</v>
      </c>
      <c r="B708" s="39" t="s">
        <v>24</v>
      </c>
      <c r="C708" s="39" t="s">
        <v>1138</v>
      </c>
      <c r="D708" s="40">
        <v>8.1453000000000007</v>
      </c>
      <c r="E708" s="40">
        <v>9.1701999999999995</v>
      </c>
      <c r="F708" s="40">
        <v>26.763000000000002</v>
      </c>
      <c r="G708" s="41">
        <v>0.69565071180360905</v>
      </c>
      <c r="H708" s="41">
        <v>0.65735530396442898</v>
      </c>
      <c r="I708" s="41">
        <v>3.8295407839180701E-2</v>
      </c>
      <c r="J708" s="42" t="s">
        <v>532</v>
      </c>
    </row>
    <row r="709" spans="1:12" x14ac:dyDescent="0.25">
      <c r="A709" s="44">
        <v>2018</v>
      </c>
      <c r="B709" s="44" t="s">
        <v>24</v>
      </c>
      <c r="C709" s="44" t="s">
        <v>1138</v>
      </c>
      <c r="D709" s="45">
        <v>8.1453000000000007</v>
      </c>
      <c r="E709" s="45">
        <v>9.1701999999999995</v>
      </c>
      <c r="F709" s="45">
        <v>26.763000000000002</v>
      </c>
      <c r="G709" s="46">
        <v>0.69565071180360938</v>
      </c>
      <c r="H709" s="46">
        <v>0.65735530396442865</v>
      </c>
      <c r="I709" s="46">
        <v>3.8295407839180728E-2</v>
      </c>
      <c r="J709" s="47" t="s">
        <v>533</v>
      </c>
      <c r="K709" s="48"/>
      <c r="L709" s="48"/>
    </row>
    <row r="710" spans="1:12" s="43" customFormat="1" ht="15" x14ac:dyDescent="0.25">
      <c r="A710" s="38" t="s">
        <v>579</v>
      </c>
      <c r="B710" s="39" t="s">
        <v>25</v>
      </c>
      <c r="C710" s="39" t="s">
        <v>1472</v>
      </c>
      <c r="D710" s="40">
        <v>4.4297000000000004</v>
      </c>
      <c r="E710" s="40">
        <v>5.5130999999999997</v>
      </c>
      <c r="F710" s="40">
        <v>20.96</v>
      </c>
      <c r="G710" s="41">
        <v>0.78865935114503805</v>
      </c>
      <c r="H710" s="41">
        <v>0.73697041984732803</v>
      </c>
      <c r="I710" s="41">
        <v>5.1688931297709899E-2</v>
      </c>
      <c r="J710" s="42" t="s">
        <v>532</v>
      </c>
    </row>
    <row r="711" spans="1:12" x14ac:dyDescent="0.25">
      <c r="A711" s="44">
        <v>2018</v>
      </c>
      <c r="B711" s="44" t="s">
        <v>25</v>
      </c>
      <c r="C711" s="44" t="s">
        <v>1472</v>
      </c>
      <c r="D711" s="45">
        <v>4.4297000000000004</v>
      </c>
      <c r="E711" s="45">
        <v>5.5130999999999997</v>
      </c>
      <c r="F711" s="45">
        <v>20.96</v>
      </c>
      <c r="G711" s="46">
        <v>0.78865935114503805</v>
      </c>
      <c r="H711" s="46">
        <v>0.73697041984732836</v>
      </c>
      <c r="I711" s="46">
        <v>5.1688931297709906E-2</v>
      </c>
      <c r="J711" s="47" t="s">
        <v>533</v>
      </c>
      <c r="K711" s="48"/>
      <c r="L711" s="48"/>
    </row>
    <row r="712" spans="1:12" s="43" customFormat="1" ht="15" x14ac:dyDescent="0.25">
      <c r="A712" s="38" t="s">
        <v>559</v>
      </c>
      <c r="B712" s="39" t="s">
        <v>26</v>
      </c>
      <c r="C712" s="39" t="s">
        <v>821</v>
      </c>
      <c r="D712" s="40">
        <v>5.2862</v>
      </c>
      <c r="E712" s="40">
        <v>5.5582000000000003</v>
      </c>
      <c r="F712" s="40">
        <v>16.376000000000001</v>
      </c>
      <c r="G712" s="41">
        <v>0.67719833903273097</v>
      </c>
      <c r="H712" s="41">
        <v>0.66058866634098701</v>
      </c>
      <c r="I712" s="41">
        <v>1.66096726917438E-2</v>
      </c>
      <c r="J712" s="42" t="s">
        <v>532</v>
      </c>
    </row>
    <row r="713" spans="1:12" x14ac:dyDescent="0.25">
      <c r="A713" s="44">
        <v>2018</v>
      </c>
      <c r="B713" s="44" t="s">
        <v>26</v>
      </c>
      <c r="C713" s="44" t="s">
        <v>821</v>
      </c>
      <c r="D713" s="45">
        <v>5.2862</v>
      </c>
      <c r="E713" s="45">
        <v>5.5582000000000003</v>
      </c>
      <c r="F713" s="45">
        <v>16.376000000000001</v>
      </c>
      <c r="G713" s="46">
        <v>0.67719833903273075</v>
      </c>
      <c r="H713" s="46">
        <v>0.6605886663409869</v>
      </c>
      <c r="I713" s="46">
        <v>1.6609672691743849E-2</v>
      </c>
      <c r="J713" s="47" t="s">
        <v>533</v>
      </c>
      <c r="K713" s="48"/>
      <c r="L713" s="48"/>
    </row>
    <row r="714" spans="1:12" s="43" customFormat="1" ht="15" x14ac:dyDescent="0.25">
      <c r="A714" s="38" t="s">
        <v>627</v>
      </c>
      <c r="B714" s="39" t="s">
        <v>472</v>
      </c>
      <c r="C714" s="39" t="s">
        <v>1191</v>
      </c>
      <c r="D714" s="40"/>
      <c r="E714" s="40">
        <v>2.9533</v>
      </c>
      <c r="F714" s="40">
        <v>7.415</v>
      </c>
      <c r="G714" s="41"/>
      <c r="H714" s="41">
        <v>0.60170600134861796</v>
      </c>
      <c r="I714" s="41"/>
      <c r="J714" s="42" t="s">
        <v>532</v>
      </c>
    </row>
    <row r="715" spans="1:12" x14ac:dyDescent="0.25">
      <c r="A715" s="44">
        <v>2018</v>
      </c>
      <c r="B715" s="44" t="s">
        <v>472</v>
      </c>
      <c r="C715" s="44" t="s">
        <v>1191</v>
      </c>
      <c r="D715" s="45"/>
      <c r="E715" s="45">
        <v>2.9533000000000005</v>
      </c>
      <c r="F715" s="45">
        <v>7.415</v>
      </c>
      <c r="H715" s="46">
        <v>0.60170600134861774</v>
      </c>
      <c r="J715" s="47" t="s">
        <v>533</v>
      </c>
      <c r="K715" s="48"/>
      <c r="L715" s="48"/>
    </row>
    <row r="716" spans="1:12" s="43" customFormat="1" ht="15" x14ac:dyDescent="0.25">
      <c r="A716" s="38" t="s">
        <v>627</v>
      </c>
      <c r="B716" s="39" t="s">
        <v>473</v>
      </c>
      <c r="C716" s="39" t="s">
        <v>1033</v>
      </c>
      <c r="D716" s="40"/>
      <c r="E716" s="40">
        <v>2.5335999999999999</v>
      </c>
      <c r="F716" s="40">
        <v>7.4260000000000002</v>
      </c>
      <c r="G716" s="41"/>
      <c r="H716" s="41">
        <v>0.658815872160876</v>
      </c>
      <c r="I716" s="41"/>
      <c r="J716" s="42" t="s">
        <v>532</v>
      </c>
    </row>
    <row r="717" spans="1:12" x14ac:dyDescent="0.25">
      <c r="A717" s="44">
        <v>2018</v>
      </c>
      <c r="B717" s="44" t="s">
        <v>473</v>
      </c>
      <c r="C717" s="44" t="s">
        <v>1033</v>
      </c>
      <c r="D717" s="45"/>
      <c r="E717" s="45">
        <v>2.5335999999999999</v>
      </c>
      <c r="F717" s="45">
        <v>7.4260000000000002</v>
      </c>
      <c r="H717" s="46">
        <v>0.65881587216087623</v>
      </c>
      <c r="J717" s="47" t="s">
        <v>533</v>
      </c>
      <c r="K717" s="48"/>
      <c r="L717" s="48"/>
    </row>
    <row r="718" spans="1:12" s="43" customFormat="1" ht="15" x14ac:dyDescent="0.25">
      <c r="A718" s="38" t="s">
        <v>627</v>
      </c>
      <c r="B718" s="39" t="s">
        <v>474</v>
      </c>
      <c r="C718" s="39" t="s">
        <v>837</v>
      </c>
      <c r="D718" s="40"/>
      <c r="E718" s="40">
        <v>2.7530000000000001</v>
      </c>
      <c r="F718" s="40">
        <v>5.75</v>
      </c>
      <c r="G718" s="41"/>
      <c r="H718" s="41">
        <v>0.52122173913043501</v>
      </c>
      <c r="I718" s="41"/>
      <c r="J718" s="42" t="s">
        <v>532</v>
      </c>
    </row>
    <row r="719" spans="1:12" x14ac:dyDescent="0.25">
      <c r="A719" s="44">
        <v>2018</v>
      </c>
      <c r="B719" s="44" t="s">
        <v>474</v>
      </c>
      <c r="C719" s="44" t="s">
        <v>837</v>
      </c>
      <c r="D719" s="45"/>
      <c r="E719" s="45">
        <v>2.7530000000000001</v>
      </c>
      <c r="F719" s="45">
        <v>5.75</v>
      </c>
      <c r="H719" s="46">
        <v>0.52122173913043479</v>
      </c>
      <c r="J719" s="47" t="s">
        <v>533</v>
      </c>
      <c r="K719" s="48"/>
      <c r="L719" s="48"/>
    </row>
    <row r="720" spans="1:12" s="43" customFormat="1" ht="15" x14ac:dyDescent="0.25">
      <c r="A720" s="38" t="s">
        <v>627</v>
      </c>
      <c r="B720" s="39" t="s">
        <v>475</v>
      </c>
      <c r="C720" s="39" t="s">
        <v>1192</v>
      </c>
      <c r="D720" s="40"/>
      <c r="E720" s="40">
        <v>2.4157000000000002</v>
      </c>
      <c r="F720" s="40">
        <v>5.75</v>
      </c>
      <c r="G720" s="41"/>
      <c r="H720" s="41">
        <v>0.579882608695652</v>
      </c>
      <c r="I720" s="41"/>
      <c r="J720" s="42" t="s">
        <v>532</v>
      </c>
    </row>
    <row r="721" spans="1:12" x14ac:dyDescent="0.25">
      <c r="A721" s="44">
        <v>2018</v>
      </c>
      <c r="B721" s="44" t="s">
        <v>475</v>
      </c>
      <c r="C721" s="44" t="s">
        <v>1192</v>
      </c>
      <c r="D721" s="45"/>
      <c r="E721" s="45">
        <v>2.4157000000000002</v>
      </c>
      <c r="F721" s="45">
        <v>5.75</v>
      </c>
      <c r="H721" s="46">
        <v>0.57988260869565222</v>
      </c>
      <c r="J721" s="47" t="s">
        <v>533</v>
      </c>
      <c r="K721" s="48"/>
      <c r="L721" s="48"/>
    </row>
    <row r="722" spans="1:12" s="43" customFormat="1" ht="15" x14ac:dyDescent="0.25">
      <c r="A722" s="38" t="s">
        <v>666</v>
      </c>
      <c r="B722" s="39" t="s">
        <v>27</v>
      </c>
      <c r="C722" s="39" t="s">
        <v>718</v>
      </c>
      <c r="D722" s="40">
        <v>2.0329000000000002</v>
      </c>
      <c r="E722" s="40">
        <v>2.3262999999999998</v>
      </c>
      <c r="F722" s="40">
        <v>6.4640000000000004</v>
      </c>
      <c r="G722" s="41">
        <v>0.68550433168316804</v>
      </c>
      <c r="H722" s="41">
        <v>0.64011705858085799</v>
      </c>
      <c r="I722" s="41">
        <v>4.5387273102310298E-2</v>
      </c>
      <c r="J722" s="42" t="s">
        <v>532</v>
      </c>
    </row>
    <row r="723" spans="1:12" s="43" customFormat="1" ht="15" x14ac:dyDescent="0.25">
      <c r="A723" s="38" t="s">
        <v>608</v>
      </c>
      <c r="B723" s="39" t="s">
        <v>27</v>
      </c>
      <c r="C723" s="39" t="s">
        <v>937</v>
      </c>
      <c r="D723" s="40">
        <v>2.0329000000000002</v>
      </c>
      <c r="E723" s="40">
        <v>1.9829000000000001</v>
      </c>
      <c r="F723" s="40">
        <v>6.4640000000000004</v>
      </c>
      <c r="G723" s="41">
        <v>0.68550433168316804</v>
      </c>
      <c r="H723" s="41">
        <v>0.69324463696369598</v>
      </c>
      <c r="I723" s="41">
        <v>-7.7403052805280498E-3</v>
      </c>
      <c r="J723" s="42" t="s">
        <v>532</v>
      </c>
    </row>
    <row r="724" spans="1:12" s="43" customFormat="1" ht="15" x14ac:dyDescent="0.25">
      <c r="A724" s="38" t="s">
        <v>683</v>
      </c>
      <c r="B724" s="39" t="s">
        <v>27</v>
      </c>
      <c r="C724" s="39" t="s">
        <v>872</v>
      </c>
      <c r="D724" s="40">
        <v>2.0329000000000002</v>
      </c>
      <c r="E724" s="40">
        <v>1.9827999999999999</v>
      </c>
      <c r="F724" s="40">
        <v>6.4640000000000004</v>
      </c>
      <c r="G724" s="41">
        <v>0.68550433168316804</v>
      </c>
      <c r="H724" s="41">
        <v>0.69325495049505004</v>
      </c>
      <c r="I724" s="41">
        <v>-7.7506188118810996E-3</v>
      </c>
      <c r="J724" s="42" t="s">
        <v>532</v>
      </c>
    </row>
    <row r="725" spans="1:12" s="43" customFormat="1" ht="15" x14ac:dyDescent="0.25">
      <c r="A725" s="38" t="s">
        <v>537</v>
      </c>
      <c r="B725" s="39" t="s">
        <v>27</v>
      </c>
      <c r="C725" s="39" t="s">
        <v>1112</v>
      </c>
      <c r="D725" s="40">
        <v>2.0329000000000002</v>
      </c>
      <c r="E725" s="40">
        <v>1.9827999999999999</v>
      </c>
      <c r="F725" s="40">
        <v>6.4640000000000004</v>
      </c>
      <c r="G725" s="41">
        <v>0.68550433168316804</v>
      </c>
      <c r="H725" s="41">
        <v>0.69325495049505004</v>
      </c>
      <c r="I725" s="41">
        <v>-7.7506188118810996E-3</v>
      </c>
      <c r="J725" s="42" t="s">
        <v>532</v>
      </c>
    </row>
    <row r="726" spans="1:12" x14ac:dyDescent="0.25">
      <c r="A726" s="44">
        <v>2018</v>
      </c>
      <c r="B726" s="44" t="s">
        <v>27</v>
      </c>
      <c r="C726" s="44" t="s">
        <v>1231</v>
      </c>
      <c r="D726" s="45">
        <v>2.0329000000000002</v>
      </c>
      <c r="E726" s="45">
        <v>2.0384869421487601</v>
      </c>
      <c r="F726" s="45">
        <v>6.4640000000000004</v>
      </c>
      <c r="G726" s="46">
        <v>0.68550433168316838</v>
      </c>
      <c r="H726" s="46">
        <v>0.68464278530125733</v>
      </c>
      <c r="I726" s="46">
        <v>8.6154638191096047E-4</v>
      </c>
      <c r="J726" s="47" t="s">
        <v>533</v>
      </c>
      <c r="K726" s="48"/>
      <c r="L726" s="48"/>
    </row>
    <row r="727" spans="1:12" s="43" customFormat="1" ht="15" x14ac:dyDescent="0.25">
      <c r="A727" s="38" t="s">
        <v>618</v>
      </c>
      <c r="B727" s="39" t="s">
        <v>28</v>
      </c>
      <c r="C727" s="39" t="s">
        <v>1078</v>
      </c>
      <c r="D727" s="40">
        <v>1.9490000000000001</v>
      </c>
      <c r="E727" s="40">
        <v>2.8994</v>
      </c>
      <c r="F727" s="40">
        <v>5.59</v>
      </c>
      <c r="G727" s="41">
        <v>0.65134168157423999</v>
      </c>
      <c r="H727" s="41">
        <v>0.48132379248658302</v>
      </c>
      <c r="I727" s="41">
        <v>0.170017889087657</v>
      </c>
      <c r="J727" s="42" t="s">
        <v>532</v>
      </c>
    </row>
    <row r="728" spans="1:12" x14ac:dyDescent="0.25">
      <c r="A728" s="44">
        <v>2018</v>
      </c>
      <c r="B728" s="44" t="s">
        <v>28</v>
      </c>
      <c r="C728" s="44" t="s">
        <v>1078</v>
      </c>
      <c r="D728" s="45">
        <v>1.9490000000000001</v>
      </c>
      <c r="E728" s="45">
        <v>2.8994</v>
      </c>
      <c r="F728" s="45">
        <v>5.59</v>
      </c>
      <c r="G728" s="46">
        <v>0.65134168157423977</v>
      </c>
      <c r="H728" s="46">
        <v>0.48132379248658319</v>
      </c>
      <c r="I728" s="46">
        <v>0.17001788908765658</v>
      </c>
      <c r="J728" s="47" t="s">
        <v>533</v>
      </c>
      <c r="K728" s="48"/>
      <c r="L728" s="48"/>
    </row>
    <row r="729" spans="1:12" s="43" customFormat="1" ht="15" x14ac:dyDescent="0.25">
      <c r="A729" s="38" t="s">
        <v>644</v>
      </c>
      <c r="B729" s="39" t="s">
        <v>29</v>
      </c>
      <c r="C729" s="39" t="s">
        <v>1110</v>
      </c>
      <c r="D729" s="40">
        <v>2.4039999999999999</v>
      </c>
      <c r="E729" s="40">
        <v>1.5651999999999999</v>
      </c>
      <c r="F729" s="40">
        <v>3.61</v>
      </c>
      <c r="G729" s="41">
        <v>0.33407202216066501</v>
      </c>
      <c r="H729" s="41">
        <v>0.56642659279778396</v>
      </c>
      <c r="I729" s="41">
        <v>-0.23235457063711901</v>
      </c>
      <c r="J729" s="42" t="s">
        <v>532</v>
      </c>
    </row>
    <row r="730" spans="1:12" x14ac:dyDescent="0.25">
      <c r="A730" s="44">
        <v>2018</v>
      </c>
      <c r="B730" s="44" t="s">
        <v>29</v>
      </c>
      <c r="C730" s="44" t="s">
        <v>1110</v>
      </c>
      <c r="D730" s="45">
        <v>2.4039999999999999</v>
      </c>
      <c r="E730" s="45">
        <v>1.5651999999999999</v>
      </c>
      <c r="F730" s="45">
        <v>3.61</v>
      </c>
      <c r="G730" s="46">
        <v>0.33407202216066484</v>
      </c>
      <c r="H730" s="46">
        <v>0.56642659279778396</v>
      </c>
      <c r="I730" s="46">
        <v>-0.23235457063711912</v>
      </c>
      <c r="J730" s="47" t="s">
        <v>533</v>
      </c>
      <c r="K730" s="48"/>
      <c r="L730" s="48"/>
    </row>
    <row r="731" spans="1:12" s="43" customFormat="1" ht="15" x14ac:dyDescent="0.25">
      <c r="A731" s="38" t="s">
        <v>644</v>
      </c>
      <c r="B731" s="39" t="s">
        <v>30</v>
      </c>
      <c r="C731" s="39" t="s">
        <v>991</v>
      </c>
      <c r="D731" s="40">
        <v>4.149</v>
      </c>
      <c r="E731" s="40">
        <v>4.7952000000000004</v>
      </c>
      <c r="F731" s="40">
        <v>9.3439999999999994</v>
      </c>
      <c r="G731" s="41">
        <v>0.55597174657534199</v>
      </c>
      <c r="H731" s="41">
        <v>0.48681506849315098</v>
      </c>
      <c r="I731" s="41">
        <v>6.9156678082191794E-2</v>
      </c>
      <c r="J731" s="42" t="s">
        <v>532</v>
      </c>
    </row>
    <row r="732" spans="1:12" x14ac:dyDescent="0.25">
      <c r="A732" s="44">
        <v>2018</v>
      </c>
      <c r="B732" s="44" t="s">
        <v>30</v>
      </c>
      <c r="C732" s="44" t="s">
        <v>991</v>
      </c>
      <c r="D732" s="45">
        <v>4.149</v>
      </c>
      <c r="E732" s="45">
        <v>4.7952000000000004</v>
      </c>
      <c r="F732" s="45">
        <v>9.3439999999999994</v>
      </c>
      <c r="G732" s="46">
        <v>0.55597174657534243</v>
      </c>
      <c r="H732" s="46">
        <v>0.48681506849315054</v>
      </c>
      <c r="I732" s="46">
        <v>6.9156678082191836E-2</v>
      </c>
      <c r="J732" s="47" t="s">
        <v>533</v>
      </c>
      <c r="K732" s="48"/>
      <c r="L732" s="48"/>
    </row>
    <row r="733" spans="1:12" s="43" customFormat="1" ht="15" x14ac:dyDescent="0.25">
      <c r="A733" s="38" t="s">
        <v>678</v>
      </c>
      <c r="B733" s="39" t="s">
        <v>31</v>
      </c>
      <c r="C733" s="39" t="s">
        <v>930</v>
      </c>
      <c r="D733" s="40">
        <v>3.8188</v>
      </c>
      <c r="E733" s="40">
        <v>4.0807000000000002</v>
      </c>
      <c r="F733" s="40">
        <v>11.141</v>
      </c>
      <c r="G733" s="41">
        <v>0.65723005116237299</v>
      </c>
      <c r="H733" s="41">
        <v>0.63372228704784095</v>
      </c>
      <c r="I733" s="41">
        <v>2.3507764114531898E-2</v>
      </c>
      <c r="J733" s="42" t="s">
        <v>532</v>
      </c>
    </row>
    <row r="734" spans="1:12" s="43" customFormat="1" ht="15" x14ac:dyDescent="0.25">
      <c r="A734" s="38" t="s">
        <v>618</v>
      </c>
      <c r="B734" s="39" t="s">
        <v>31</v>
      </c>
      <c r="C734" s="39" t="s">
        <v>1079</v>
      </c>
      <c r="D734" s="40">
        <v>3.8188</v>
      </c>
      <c r="E734" s="40">
        <v>3.1469999999999998</v>
      </c>
      <c r="F734" s="40">
        <v>11.141</v>
      </c>
      <c r="G734" s="41">
        <v>0.65723005116237299</v>
      </c>
      <c r="H734" s="41">
        <v>0.71752984471770898</v>
      </c>
      <c r="I734" s="41">
        <v>-6.0299793555336101E-2</v>
      </c>
      <c r="J734" s="42" t="s">
        <v>532</v>
      </c>
    </row>
    <row r="735" spans="1:12" s="43" customFormat="1" ht="15" x14ac:dyDescent="0.25">
      <c r="A735" s="38" t="s">
        <v>553</v>
      </c>
      <c r="B735" s="39" t="s">
        <v>31</v>
      </c>
      <c r="C735" s="39" t="s">
        <v>953</v>
      </c>
      <c r="D735" s="40">
        <v>4.42</v>
      </c>
      <c r="E735" s="40">
        <v>2.0421</v>
      </c>
      <c r="F735" s="40">
        <v>11.141</v>
      </c>
      <c r="G735" s="41">
        <v>0.60326721120186699</v>
      </c>
      <c r="H735" s="41">
        <v>0.81670406606229196</v>
      </c>
      <c r="I735" s="41">
        <v>-0.21343685486042599</v>
      </c>
      <c r="J735" s="42" t="s">
        <v>532</v>
      </c>
    </row>
    <row r="736" spans="1:12" x14ac:dyDescent="0.25">
      <c r="A736" s="44">
        <v>2018</v>
      </c>
      <c r="B736" s="44" t="s">
        <v>31</v>
      </c>
      <c r="C736" s="44" t="s">
        <v>1895</v>
      </c>
      <c r="D736" s="45">
        <v>4.0174343612334802</v>
      </c>
      <c r="E736" s="45">
        <v>3.3002101321585906</v>
      </c>
      <c r="F736" s="45">
        <v>11.141</v>
      </c>
      <c r="G736" s="46">
        <v>0.63940091901683149</v>
      </c>
      <c r="H736" s="46">
        <v>0.70377792548616913</v>
      </c>
      <c r="I736" s="46">
        <v>-6.4377006469337569E-2</v>
      </c>
      <c r="J736" s="47" t="s">
        <v>533</v>
      </c>
      <c r="K736" s="48"/>
      <c r="L736" s="48"/>
    </row>
    <row r="737" spans="1:12" s="43" customFormat="1" ht="15" x14ac:dyDescent="0.25">
      <c r="A737" s="38" t="s">
        <v>560</v>
      </c>
      <c r="B737" s="39" t="s">
        <v>32</v>
      </c>
      <c r="C737" s="39" t="s">
        <v>1755</v>
      </c>
      <c r="D737" s="40">
        <v>3.8967999999999998</v>
      </c>
      <c r="E737" s="40">
        <v>4.4419000000000004</v>
      </c>
      <c r="F737" s="40">
        <v>11.55</v>
      </c>
      <c r="G737" s="41">
        <v>0.66261471861471799</v>
      </c>
      <c r="H737" s="41">
        <v>0.61541991341991398</v>
      </c>
      <c r="I737" s="41">
        <v>4.7194805194805102E-2</v>
      </c>
      <c r="J737" s="42" t="s">
        <v>532</v>
      </c>
    </row>
    <row r="738" spans="1:12" s="43" customFormat="1" ht="15" x14ac:dyDescent="0.25">
      <c r="A738" s="38" t="s">
        <v>569</v>
      </c>
      <c r="B738" s="39" t="s">
        <v>32</v>
      </c>
      <c r="C738" s="39" t="s">
        <v>1794</v>
      </c>
      <c r="D738" s="40">
        <v>3.8967999999999998</v>
      </c>
      <c r="E738" s="40">
        <v>6.7712000000000003</v>
      </c>
      <c r="F738" s="40">
        <v>11.55</v>
      </c>
      <c r="G738" s="41">
        <v>0.66261471861471799</v>
      </c>
      <c r="H738" s="41">
        <v>0.41374891774891798</v>
      </c>
      <c r="I738" s="41">
        <v>0.24886580086580101</v>
      </c>
      <c r="J738" s="42" t="s">
        <v>532</v>
      </c>
    </row>
    <row r="739" spans="1:12" x14ac:dyDescent="0.25">
      <c r="A739" s="44">
        <v>2018</v>
      </c>
      <c r="B739" s="44" t="s">
        <v>32</v>
      </c>
      <c r="C739" s="44" t="s">
        <v>2000</v>
      </c>
      <c r="D739" s="45">
        <v>3.8967999999999994</v>
      </c>
      <c r="E739" s="45">
        <v>4.9964952380952381</v>
      </c>
      <c r="F739" s="45">
        <v>11.55</v>
      </c>
      <c r="G739" s="46">
        <v>0.66261471861471855</v>
      </c>
      <c r="H739" s="46">
        <v>0.56740300968872404</v>
      </c>
      <c r="I739" s="46">
        <v>9.5211708925994565E-2</v>
      </c>
      <c r="J739" s="47" t="s">
        <v>533</v>
      </c>
      <c r="K739" s="48"/>
      <c r="L739" s="48"/>
    </row>
    <row r="740" spans="1:12" s="43" customFormat="1" ht="15" x14ac:dyDescent="0.25">
      <c r="A740" s="38" t="s">
        <v>608</v>
      </c>
      <c r="B740" s="39" t="s">
        <v>33</v>
      </c>
      <c r="C740" s="39" t="s">
        <v>938</v>
      </c>
      <c r="D740" s="40">
        <v>4.4241999999999999</v>
      </c>
      <c r="E740" s="40">
        <v>4.5198</v>
      </c>
      <c r="F740" s="40">
        <v>10.603</v>
      </c>
      <c r="G740" s="41">
        <v>0.58274073375459801</v>
      </c>
      <c r="H740" s="41">
        <v>0.57372441761765502</v>
      </c>
      <c r="I740" s="41">
        <v>9.0163161369424295E-3</v>
      </c>
      <c r="J740" s="42" t="s">
        <v>532</v>
      </c>
    </row>
    <row r="741" spans="1:12" s="43" customFormat="1" ht="15" x14ac:dyDescent="0.25">
      <c r="A741" s="38" t="s">
        <v>629</v>
      </c>
      <c r="B741" s="39" t="s">
        <v>33</v>
      </c>
      <c r="C741" s="39" t="s">
        <v>1226</v>
      </c>
      <c r="D741" s="40">
        <v>4.4462000000000002</v>
      </c>
      <c r="E741" s="40">
        <v>4.3529999999999998</v>
      </c>
      <c r="F741" s="40">
        <v>10.603</v>
      </c>
      <c r="G741" s="41">
        <v>0.58066584928793696</v>
      </c>
      <c r="H741" s="41">
        <v>0.589455814392153</v>
      </c>
      <c r="I741" s="41">
        <v>-8.7899651042159192E-3</v>
      </c>
      <c r="J741" s="42" t="s">
        <v>532</v>
      </c>
    </row>
    <row r="742" spans="1:12" s="43" customFormat="1" ht="15" x14ac:dyDescent="0.25">
      <c r="A742" s="38" t="s">
        <v>604</v>
      </c>
      <c r="B742" s="39" t="s">
        <v>33</v>
      </c>
      <c r="C742" s="39" t="s">
        <v>1112</v>
      </c>
      <c r="D742" s="40">
        <v>4.4462000000000002</v>
      </c>
      <c r="E742" s="40">
        <v>3.9026000000000001</v>
      </c>
      <c r="F742" s="40">
        <v>10.747999999999999</v>
      </c>
      <c r="G742" s="41">
        <v>0.58632303684406395</v>
      </c>
      <c r="H742" s="41">
        <v>0.63689988835132105</v>
      </c>
      <c r="I742" s="41">
        <v>-5.0576851507257201E-2</v>
      </c>
      <c r="J742" s="42" t="s">
        <v>532</v>
      </c>
    </row>
    <row r="743" spans="1:12" x14ac:dyDescent="0.25">
      <c r="A743" s="44">
        <v>2018</v>
      </c>
      <c r="B743" s="44" t="s">
        <v>33</v>
      </c>
      <c r="C743" s="44" t="s">
        <v>1900</v>
      </c>
      <c r="D743" s="45">
        <v>4.4391179440937787</v>
      </c>
      <c r="E743" s="45">
        <v>4.3043496844003606</v>
      </c>
      <c r="F743" s="45">
        <v>10.635948602344452</v>
      </c>
      <c r="G743" s="46">
        <v>0.58261927130664037</v>
      </c>
      <c r="H743" s="46">
        <v>0.59517249427422225</v>
      </c>
      <c r="I743" s="46">
        <v>-1.2553222967581906E-2</v>
      </c>
      <c r="J743" s="47" t="s">
        <v>533</v>
      </c>
      <c r="K743" s="48"/>
      <c r="L743" s="48"/>
    </row>
    <row r="744" spans="1:12" s="43" customFormat="1" ht="15" x14ac:dyDescent="0.25">
      <c r="A744" s="38" t="s">
        <v>549</v>
      </c>
      <c r="B744" s="39" t="s">
        <v>235</v>
      </c>
      <c r="C744" s="39" t="s">
        <v>1216</v>
      </c>
      <c r="D744" s="40">
        <v>3.8828</v>
      </c>
      <c r="E744" s="40">
        <v>3.5432999999999999</v>
      </c>
      <c r="F744" s="40">
        <v>11.07</v>
      </c>
      <c r="G744" s="41">
        <v>0.649250225835592</v>
      </c>
      <c r="H744" s="41">
        <v>0.67991869918699199</v>
      </c>
      <c r="I744" s="41">
        <v>-3.0668473351400102E-2</v>
      </c>
      <c r="J744" s="42" t="s">
        <v>532</v>
      </c>
    </row>
    <row r="745" spans="1:12" x14ac:dyDescent="0.25">
      <c r="A745" s="44">
        <v>2018</v>
      </c>
      <c r="B745" s="44" t="s">
        <v>235</v>
      </c>
      <c r="C745" s="44" t="s">
        <v>1216</v>
      </c>
      <c r="D745" s="45">
        <v>3.8828</v>
      </c>
      <c r="E745" s="45">
        <v>3.5432999999999999</v>
      </c>
      <c r="F745" s="45">
        <v>11.07</v>
      </c>
      <c r="G745" s="46">
        <v>0.64925022583559178</v>
      </c>
      <c r="H745" s="46">
        <v>0.67991869918699188</v>
      </c>
      <c r="I745" s="46">
        <v>-3.0668473351400105E-2</v>
      </c>
      <c r="J745" s="47" t="s">
        <v>533</v>
      </c>
      <c r="K745" s="48"/>
      <c r="L745" s="48"/>
    </row>
    <row r="746" spans="1:12" s="43" customFormat="1" ht="15" x14ac:dyDescent="0.25">
      <c r="A746" s="38" t="s">
        <v>636</v>
      </c>
      <c r="B746" s="39" t="s">
        <v>34</v>
      </c>
      <c r="C746" s="39" t="s">
        <v>1242</v>
      </c>
      <c r="D746" s="40">
        <v>1.3684000000000001</v>
      </c>
      <c r="E746" s="40">
        <v>1.5918000000000001</v>
      </c>
      <c r="F746" s="40">
        <v>4.0090000000000003</v>
      </c>
      <c r="G746" s="41">
        <v>0.65866799700673495</v>
      </c>
      <c r="H746" s="41">
        <v>0.60294337740084802</v>
      </c>
      <c r="I746" s="41">
        <v>5.5724619605886802E-2</v>
      </c>
      <c r="J746" s="42" t="s">
        <v>532</v>
      </c>
    </row>
    <row r="747" spans="1:12" s="43" customFormat="1" ht="15" x14ac:dyDescent="0.25">
      <c r="A747" s="38" t="s">
        <v>547</v>
      </c>
      <c r="B747" s="39" t="s">
        <v>34</v>
      </c>
      <c r="C747" s="39" t="s">
        <v>1517</v>
      </c>
      <c r="D747" s="40">
        <v>1.3684000000000001</v>
      </c>
      <c r="E747" s="40">
        <v>1.4111</v>
      </c>
      <c r="F747" s="40">
        <v>4.0090000000000003</v>
      </c>
      <c r="G747" s="41">
        <v>0.65866799700673495</v>
      </c>
      <c r="H747" s="41">
        <v>0.64801696183586899</v>
      </c>
      <c r="I747" s="41">
        <v>1.06510351708657E-2</v>
      </c>
      <c r="J747" s="42" t="s">
        <v>532</v>
      </c>
    </row>
    <row r="748" spans="1:12" s="43" customFormat="1" ht="15" x14ac:dyDescent="0.25">
      <c r="A748" s="38" t="s">
        <v>543</v>
      </c>
      <c r="B748" s="39" t="s">
        <v>34</v>
      </c>
      <c r="C748" s="39" t="s">
        <v>1650</v>
      </c>
      <c r="D748" s="40">
        <v>1.3684000000000001</v>
      </c>
      <c r="E748" s="40">
        <v>1.4358</v>
      </c>
      <c r="F748" s="40">
        <v>4.0090000000000003</v>
      </c>
      <c r="G748" s="41">
        <v>0.65866799700673495</v>
      </c>
      <c r="H748" s="41">
        <v>0.64185582439511102</v>
      </c>
      <c r="I748" s="41">
        <v>1.6812172611623901E-2</v>
      </c>
      <c r="J748" s="42" t="s">
        <v>532</v>
      </c>
    </row>
    <row r="749" spans="1:12" x14ac:dyDescent="0.25">
      <c r="A749" s="44">
        <v>2018</v>
      </c>
      <c r="B749" s="44" t="s">
        <v>34</v>
      </c>
      <c r="C749" s="44" t="s">
        <v>1960</v>
      </c>
      <c r="D749" s="45">
        <v>1.3684000000000001</v>
      </c>
      <c r="E749" s="45">
        <v>1.4660973105134474</v>
      </c>
      <c r="F749" s="45">
        <v>4.0090000000000003</v>
      </c>
      <c r="G749" s="46">
        <v>0.65866799700673484</v>
      </c>
      <c r="H749" s="46">
        <v>0.63429850074496197</v>
      </c>
      <c r="I749" s="46">
        <v>2.4369496261772969E-2</v>
      </c>
      <c r="J749" s="47" t="s">
        <v>533</v>
      </c>
      <c r="K749" s="48"/>
      <c r="L749" s="48"/>
    </row>
    <row r="750" spans="1:12" s="43" customFormat="1" ht="15" x14ac:dyDescent="0.25">
      <c r="A750" s="38" t="s">
        <v>565</v>
      </c>
      <c r="B750" s="39" t="s">
        <v>35</v>
      </c>
      <c r="C750" s="39" t="s">
        <v>786</v>
      </c>
      <c r="D750" s="40">
        <v>0.67600000000000005</v>
      </c>
      <c r="E750" s="40">
        <v>1.052</v>
      </c>
      <c r="F750" s="40">
        <v>2.839</v>
      </c>
      <c r="G750" s="41">
        <v>0.76188688798872795</v>
      </c>
      <c r="H750" s="41">
        <v>0.62944698837618895</v>
      </c>
      <c r="I750" s="41">
        <v>0.13243989961253999</v>
      </c>
      <c r="J750" s="42" t="s">
        <v>532</v>
      </c>
    </row>
    <row r="751" spans="1:12" x14ac:dyDescent="0.25">
      <c r="A751" s="44">
        <v>2018</v>
      </c>
      <c r="B751" s="44" t="s">
        <v>35</v>
      </c>
      <c r="C751" s="44" t="s">
        <v>786</v>
      </c>
      <c r="D751" s="45">
        <v>0.67600000000000005</v>
      </c>
      <c r="E751" s="45">
        <v>1.052</v>
      </c>
      <c r="F751" s="45">
        <v>2.839</v>
      </c>
      <c r="G751" s="46">
        <v>0.7618868879887285</v>
      </c>
      <c r="H751" s="46">
        <v>0.62944698837618873</v>
      </c>
      <c r="I751" s="46">
        <v>0.13243989961253977</v>
      </c>
      <c r="J751" s="47" t="s">
        <v>533</v>
      </c>
      <c r="K751" s="48"/>
      <c r="L751" s="48"/>
    </row>
    <row r="752" spans="1:12" s="43" customFormat="1" ht="15" x14ac:dyDescent="0.25">
      <c r="A752" s="38" t="s">
        <v>551</v>
      </c>
      <c r="B752" s="39" t="s">
        <v>36</v>
      </c>
      <c r="C752" s="39" t="s">
        <v>1393</v>
      </c>
      <c r="D752" s="40">
        <v>5.9827000000000004</v>
      </c>
      <c r="E752" s="40">
        <v>7.3133999999999997</v>
      </c>
      <c r="F752" s="40">
        <v>19.456</v>
      </c>
      <c r="G752" s="41">
        <v>0.69250102796052604</v>
      </c>
      <c r="H752" s="41">
        <v>0.62410567434210495</v>
      </c>
      <c r="I752" s="41">
        <v>6.8395353618421001E-2</v>
      </c>
      <c r="J752" s="42" t="s">
        <v>532</v>
      </c>
    </row>
    <row r="753" spans="1:12" x14ac:dyDescent="0.25">
      <c r="A753" s="44">
        <v>2018</v>
      </c>
      <c r="B753" s="44" t="s">
        <v>36</v>
      </c>
      <c r="C753" s="44" t="s">
        <v>1393</v>
      </c>
      <c r="D753" s="45">
        <v>5.9827000000000004</v>
      </c>
      <c r="E753" s="45">
        <v>7.3133999999999997</v>
      </c>
      <c r="F753" s="45">
        <v>19.455999999999996</v>
      </c>
      <c r="G753" s="46">
        <v>0.69250102796052626</v>
      </c>
      <c r="H753" s="46">
        <v>0.62410567434210529</v>
      </c>
      <c r="I753" s="46">
        <v>6.8395353618420973E-2</v>
      </c>
      <c r="J753" s="47" t="s">
        <v>533</v>
      </c>
      <c r="K753" s="48"/>
      <c r="L753" s="48"/>
    </row>
    <row r="754" spans="1:12" s="43" customFormat="1" ht="15" x14ac:dyDescent="0.25">
      <c r="A754" s="38" t="s">
        <v>552</v>
      </c>
      <c r="B754" s="39" t="s">
        <v>37</v>
      </c>
      <c r="C754" s="39" t="s">
        <v>751</v>
      </c>
      <c r="D754" s="40">
        <v>3.4125000000000001</v>
      </c>
      <c r="E754" s="40">
        <v>5.3109999999999999</v>
      </c>
      <c r="F754" s="40">
        <v>13.912000000000001</v>
      </c>
      <c r="G754" s="41">
        <v>0.75470816561242104</v>
      </c>
      <c r="H754" s="41">
        <v>0.61824324324324298</v>
      </c>
      <c r="I754" s="41">
        <v>0.13646492236917801</v>
      </c>
      <c r="J754" s="42" t="s">
        <v>532</v>
      </c>
    </row>
    <row r="755" spans="1:12" x14ac:dyDescent="0.25">
      <c r="A755" s="44">
        <v>2018</v>
      </c>
      <c r="B755" s="44" t="s">
        <v>37</v>
      </c>
      <c r="C755" s="44" t="s">
        <v>751</v>
      </c>
      <c r="D755" s="45">
        <v>3.4125000000000001</v>
      </c>
      <c r="E755" s="45">
        <v>5.3110000000000008</v>
      </c>
      <c r="F755" s="45">
        <v>13.912000000000001</v>
      </c>
      <c r="G755" s="46">
        <v>0.75470816561242093</v>
      </c>
      <c r="H755" s="46">
        <v>0.61824324324324331</v>
      </c>
      <c r="I755" s="46">
        <v>0.13646492236917762</v>
      </c>
      <c r="J755" s="47" t="s">
        <v>533</v>
      </c>
      <c r="K755" s="48"/>
      <c r="L755" s="48"/>
    </row>
    <row r="756" spans="1:12" s="43" customFormat="1" ht="15" x14ac:dyDescent="0.25">
      <c r="A756" s="38" t="s">
        <v>572</v>
      </c>
      <c r="B756" s="39" t="s">
        <v>38</v>
      </c>
      <c r="C756" s="39" t="s">
        <v>1301</v>
      </c>
      <c r="D756" s="40">
        <v>4.5991999999999997</v>
      </c>
      <c r="E756" s="40">
        <v>4.8620999999999999</v>
      </c>
      <c r="F756" s="40">
        <v>17.228999999999999</v>
      </c>
      <c r="G756" s="41">
        <v>0.73305473329850801</v>
      </c>
      <c r="H756" s="41">
        <v>0.71779557722444698</v>
      </c>
      <c r="I756" s="41">
        <v>1.52591560740611E-2</v>
      </c>
      <c r="J756" s="42" t="s">
        <v>532</v>
      </c>
    </row>
    <row r="757" spans="1:12" x14ac:dyDescent="0.25">
      <c r="A757" s="44">
        <v>2018</v>
      </c>
      <c r="B757" s="44" t="s">
        <v>38</v>
      </c>
      <c r="C757" s="44" t="s">
        <v>1301</v>
      </c>
      <c r="D757" s="45">
        <v>4.5991999999999997</v>
      </c>
      <c r="E757" s="45">
        <v>4.8620999999999999</v>
      </c>
      <c r="F757" s="45">
        <v>17.228999999999999</v>
      </c>
      <c r="G757" s="46">
        <v>0.73305473329850834</v>
      </c>
      <c r="H757" s="46">
        <v>0.7177955772244472</v>
      </c>
      <c r="I757" s="46">
        <v>1.5259156074061142E-2</v>
      </c>
      <c r="J757" s="47" t="s">
        <v>533</v>
      </c>
      <c r="K757" s="48"/>
      <c r="L757" s="48"/>
    </row>
    <row r="758" spans="1:12" s="43" customFormat="1" ht="15" x14ac:dyDescent="0.25">
      <c r="A758" s="38" t="s">
        <v>586</v>
      </c>
      <c r="B758" s="39" t="s">
        <v>39</v>
      </c>
      <c r="C758" s="39" t="s">
        <v>830</v>
      </c>
      <c r="D758" s="40">
        <v>4.5838999999999999</v>
      </c>
      <c r="E758" s="40">
        <v>4.9901</v>
      </c>
      <c r="F758" s="40">
        <v>15.244</v>
      </c>
      <c r="G758" s="41">
        <v>0.69929808449225905</v>
      </c>
      <c r="H758" s="41">
        <v>0.67265153503017605</v>
      </c>
      <c r="I758" s="41">
        <v>2.6646549462083401E-2</v>
      </c>
      <c r="J758" s="42" t="s">
        <v>532</v>
      </c>
    </row>
    <row r="759" spans="1:12" s="43" customFormat="1" ht="15" x14ac:dyDescent="0.25">
      <c r="A759" s="38" t="s">
        <v>587</v>
      </c>
      <c r="B759" s="39" t="s">
        <v>39</v>
      </c>
      <c r="C759" s="39" t="s">
        <v>838</v>
      </c>
      <c r="D759" s="40">
        <v>4.5838999999999999</v>
      </c>
      <c r="E759" s="40">
        <v>4.9375</v>
      </c>
      <c r="F759" s="40">
        <v>15.244</v>
      </c>
      <c r="G759" s="41">
        <v>0.69929808449225905</v>
      </c>
      <c r="H759" s="41">
        <v>0.67610207294673297</v>
      </c>
      <c r="I759" s="41">
        <v>2.3196011545526099E-2</v>
      </c>
      <c r="J759" s="42" t="s">
        <v>532</v>
      </c>
    </row>
    <row r="760" spans="1:12" s="43" customFormat="1" ht="15" x14ac:dyDescent="0.25">
      <c r="A760" s="38" t="s">
        <v>582</v>
      </c>
      <c r="B760" s="39" t="s">
        <v>39</v>
      </c>
      <c r="C760" s="39" t="s">
        <v>1360</v>
      </c>
      <c r="D760" s="40">
        <v>4.9366000000000003</v>
      </c>
      <c r="E760" s="40">
        <v>5.6369999999999996</v>
      </c>
      <c r="F760" s="40">
        <v>14.951000000000001</v>
      </c>
      <c r="G760" s="41">
        <v>0.66981472811183196</v>
      </c>
      <c r="H760" s="41">
        <v>0.62296836332017902</v>
      </c>
      <c r="I760" s="41">
        <v>4.6846364791652703E-2</v>
      </c>
      <c r="J760" s="42" t="s">
        <v>532</v>
      </c>
    </row>
    <row r="761" spans="1:12" x14ac:dyDescent="0.25">
      <c r="A761" s="44">
        <v>2018</v>
      </c>
      <c r="B761" s="44" t="s">
        <v>39</v>
      </c>
      <c r="C761" s="44" t="s">
        <v>1860</v>
      </c>
      <c r="D761" s="45">
        <v>4.7582229885057474</v>
      </c>
      <c r="E761" s="45">
        <v>5.3039877394636008</v>
      </c>
      <c r="F761" s="45">
        <v>15.099183908045978</v>
      </c>
      <c r="G761" s="46">
        <v>0.68472585087894466</v>
      </c>
      <c r="H761" s="46">
        <v>0.64847887774661495</v>
      </c>
      <c r="I761" s="46">
        <v>3.6246973132329705E-2</v>
      </c>
      <c r="J761" s="47" t="s">
        <v>533</v>
      </c>
      <c r="K761" s="48"/>
      <c r="L761" s="48"/>
    </row>
    <row r="762" spans="1:12" s="43" customFormat="1" ht="15" x14ac:dyDescent="0.25">
      <c r="A762" s="38" t="s">
        <v>552</v>
      </c>
      <c r="B762" s="39" t="s">
        <v>40</v>
      </c>
      <c r="C762" s="39" t="s">
        <v>752</v>
      </c>
      <c r="D762" s="40">
        <v>6.0608000000000004</v>
      </c>
      <c r="E762" s="40">
        <v>7.1959</v>
      </c>
      <c r="F762" s="40">
        <v>19.855</v>
      </c>
      <c r="G762" s="41">
        <v>0.69474691513472697</v>
      </c>
      <c r="H762" s="41">
        <v>0.637577436414002</v>
      </c>
      <c r="I762" s="41">
        <v>5.7169478720725198E-2</v>
      </c>
      <c r="J762" s="42" t="s">
        <v>532</v>
      </c>
    </row>
    <row r="763" spans="1:12" s="43" customFormat="1" ht="15" x14ac:dyDescent="0.25">
      <c r="A763" s="38" t="s">
        <v>553</v>
      </c>
      <c r="B763" s="39" t="s">
        <v>40</v>
      </c>
      <c r="C763" s="39" t="s">
        <v>1281</v>
      </c>
      <c r="D763" s="40">
        <v>6.2930999999999999</v>
      </c>
      <c r="E763" s="40">
        <v>6.2625999999999999</v>
      </c>
      <c r="F763" s="40">
        <v>19.855</v>
      </c>
      <c r="G763" s="41">
        <v>0.683047091412742</v>
      </c>
      <c r="H763" s="41">
        <v>0.68458322840594299</v>
      </c>
      <c r="I763" s="41">
        <v>-1.53613699320065E-3</v>
      </c>
      <c r="J763" s="42" t="s">
        <v>532</v>
      </c>
    </row>
    <row r="764" spans="1:12" x14ac:dyDescent="0.25">
      <c r="A764" s="44">
        <v>2018</v>
      </c>
      <c r="B764" s="44" t="s">
        <v>40</v>
      </c>
      <c r="C764" s="44" t="s">
        <v>1828</v>
      </c>
      <c r="D764" s="45">
        <v>6.1545496428571429</v>
      </c>
      <c r="E764" s="45">
        <v>6.8192467857142862</v>
      </c>
      <c r="F764" s="45">
        <v>19.855</v>
      </c>
      <c r="G764" s="46">
        <v>0.69002520056121175</v>
      </c>
      <c r="H764" s="46">
        <v>0.65654763103932079</v>
      </c>
      <c r="I764" s="46">
        <v>3.3477569521890842E-2</v>
      </c>
      <c r="J764" s="47" t="s">
        <v>533</v>
      </c>
      <c r="K764" s="48"/>
      <c r="L764" s="48"/>
    </row>
    <row r="765" spans="1:12" s="43" customFormat="1" ht="15" x14ac:dyDescent="0.25">
      <c r="A765" s="38" t="s">
        <v>546</v>
      </c>
      <c r="B765" s="39" t="s">
        <v>41</v>
      </c>
      <c r="C765" s="39" t="s">
        <v>738</v>
      </c>
      <c r="D765" s="40">
        <v>3.3982999999999999</v>
      </c>
      <c r="E765" s="40">
        <v>4.1961000000000004</v>
      </c>
      <c r="F765" s="40">
        <v>10.922000000000001</v>
      </c>
      <c r="G765" s="41">
        <v>0.68885735213330901</v>
      </c>
      <c r="H765" s="41">
        <v>0.61581212232191895</v>
      </c>
      <c r="I765" s="41">
        <v>7.3045229811389806E-2</v>
      </c>
      <c r="J765" s="42" t="s">
        <v>532</v>
      </c>
    </row>
    <row r="766" spans="1:12" x14ac:dyDescent="0.25">
      <c r="A766" s="44">
        <v>2018</v>
      </c>
      <c r="B766" s="44" t="s">
        <v>41</v>
      </c>
      <c r="C766" s="44" t="s">
        <v>738</v>
      </c>
      <c r="D766" s="45">
        <v>3.3982999999999999</v>
      </c>
      <c r="E766" s="45">
        <v>4.1961000000000004</v>
      </c>
      <c r="F766" s="45">
        <v>10.922000000000001</v>
      </c>
      <c r="G766" s="46">
        <v>0.68885735213330879</v>
      </c>
      <c r="H766" s="46">
        <v>0.61581212232191918</v>
      </c>
      <c r="I766" s="46">
        <v>7.3045229811389834E-2</v>
      </c>
      <c r="J766" s="47" t="s">
        <v>533</v>
      </c>
      <c r="K766" s="48"/>
      <c r="L766" s="48"/>
    </row>
    <row r="767" spans="1:12" s="43" customFormat="1" ht="15" x14ac:dyDescent="0.25">
      <c r="A767" s="38" t="s">
        <v>576</v>
      </c>
      <c r="B767" s="39" t="s">
        <v>42</v>
      </c>
      <c r="C767" s="39" t="s">
        <v>811</v>
      </c>
      <c r="D767" s="40">
        <v>4.5803000000000003</v>
      </c>
      <c r="E767" s="40">
        <v>7.3666999999999998</v>
      </c>
      <c r="F767" s="40">
        <v>19.146000000000001</v>
      </c>
      <c r="G767" s="41">
        <v>0.76076987360284098</v>
      </c>
      <c r="H767" s="41">
        <v>0.61523555834116805</v>
      </c>
      <c r="I767" s="41">
        <v>0.14553431526167299</v>
      </c>
      <c r="J767" s="42" t="s">
        <v>532</v>
      </c>
    </row>
    <row r="768" spans="1:12" x14ac:dyDescent="0.25">
      <c r="A768" s="44">
        <v>2018</v>
      </c>
      <c r="B768" s="44" t="s">
        <v>42</v>
      </c>
      <c r="C768" s="44" t="s">
        <v>811</v>
      </c>
      <c r="D768" s="45">
        <v>4.5803000000000003</v>
      </c>
      <c r="E768" s="45">
        <v>7.3666999999999998</v>
      </c>
      <c r="F768" s="45">
        <v>19.146000000000001</v>
      </c>
      <c r="G768" s="46">
        <v>0.76076987360284132</v>
      </c>
      <c r="H768" s="46">
        <v>0.61523555834116794</v>
      </c>
      <c r="I768" s="46">
        <v>0.14553431526167335</v>
      </c>
      <c r="J768" s="47" t="s">
        <v>533</v>
      </c>
      <c r="K768" s="48"/>
      <c r="L768" s="48"/>
    </row>
    <row r="769" spans="1:12" s="43" customFormat="1" ht="15" x14ac:dyDescent="0.25">
      <c r="A769" s="38" t="s">
        <v>565</v>
      </c>
      <c r="B769" s="39" t="s">
        <v>43</v>
      </c>
      <c r="C769" s="39" t="s">
        <v>787</v>
      </c>
      <c r="D769" s="40">
        <v>0.52410000000000001</v>
      </c>
      <c r="E769" s="40">
        <v>0.61780000000000002</v>
      </c>
      <c r="F769" s="40">
        <v>1.1499999999999999</v>
      </c>
      <c r="G769" s="41">
        <v>0.54424456521739095</v>
      </c>
      <c r="H769" s="41">
        <v>0.462826086956522</v>
      </c>
      <c r="I769" s="41">
        <v>8.1418478260869606E-2</v>
      </c>
      <c r="J769" s="42" t="s">
        <v>532</v>
      </c>
    </row>
    <row r="770" spans="1:12" x14ac:dyDescent="0.25">
      <c r="A770" s="44">
        <v>2018</v>
      </c>
      <c r="B770" s="44" t="s">
        <v>43</v>
      </c>
      <c r="C770" s="44" t="s">
        <v>787</v>
      </c>
      <c r="D770" s="45">
        <v>0.52410000000000001</v>
      </c>
      <c r="E770" s="45">
        <v>0.61780000000000002</v>
      </c>
      <c r="F770" s="45">
        <v>1.1499999999999999</v>
      </c>
      <c r="G770" s="46">
        <v>0.54424456521739129</v>
      </c>
      <c r="H770" s="46">
        <v>0.46282608695652167</v>
      </c>
      <c r="I770" s="46">
        <v>8.141847826086962E-2</v>
      </c>
      <c r="J770" s="47" t="s">
        <v>533</v>
      </c>
      <c r="K770" s="48"/>
      <c r="L770" s="48"/>
    </row>
    <row r="771" spans="1:12" s="43" customFormat="1" ht="15" x14ac:dyDescent="0.25">
      <c r="A771" s="38" t="s">
        <v>624</v>
      </c>
      <c r="B771" s="39" t="s">
        <v>44</v>
      </c>
      <c r="C771" s="39" t="s">
        <v>1172</v>
      </c>
      <c r="D771" s="40">
        <v>11.1036</v>
      </c>
      <c r="E771" s="40">
        <v>11.7866</v>
      </c>
      <c r="F771" s="40">
        <v>31.696999999999999</v>
      </c>
      <c r="G771" s="41">
        <v>0.64969555478436403</v>
      </c>
      <c r="H771" s="41">
        <v>0.62814777423731005</v>
      </c>
      <c r="I771" s="41">
        <v>2.1547780547055001E-2</v>
      </c>
      <c r="J771" s="42" t="s">
        <v>532</v>
      </c>
    </row>
    <row r="772" spans="1:12" x14ac:dyDescent="0.25">
      <c r="A772" s="44">
        <v>2018</v>
      </c>
      <c r="B772" s="44" t="s">
        <v>44</v>
      </c>
      <c r="C772" s="44" t="s">
        <v>1172</v>
      </c>
      <c r="D772" s="45">
        <v>11.1036</v>
      </c>
      <c r="E772" s="45">
        <v>11.7866</v>
      </c>
      <c r="F772" s="45">
        <v>31.696999999999999</v>
      </c>
      <c r="G772" s="46">
        <v>0.64969555478436447</v>
      </c>
      <c r="H772" s="46">
        <v>0.6281477742373095</v>
      </c>
      <c r="I772" s="46">
        <v>2.1547780547054973E-2</v>
      </c>
      <c r="J772" s="47" t="s">
        <v>533</v>
      </c>
      <c r="K772" s="48"/>
      <c r="L772" s="48"/>
    </row>
    <row r="773" spans="1:12" s="43" customFormat="1" ht="15" x14ac:dyDescent="0.25">
      <c r="A773" s="38" t="s">
        <v>669</v>
      </c>
      <c r="B773" s="39" t="s">
        <v>45</v>
      </c>
      <c r="C773" s="39" t="s">
        <v>744</v>
      </c>
      <c r="D773" s="40">
        <v>10.477399999999999</v>
      </c>
      <c r="E773" s="40">
        <v>15.3005</v>
      </c>
      <c r="F773" s="40">
        <v>32.927</v>
      </c>
      <c r="G773" s="41">
        <v>0.68179913141191095</v>
      </c>
      <c r="H773" s="41">
        <v>0.53532055759710895</v>
      </c>
      <c r="I773" s="41">
        <v>0.146478573814802</v>
      </c>
      <c r="J773" s="42" t="s">
        <v>532</v>
      </c>
    </row>
    <row r="774" spans="1:12" s="43" customFormat="1" ht="15" x14ac:dyDescent="0.25">
      <c r="A774" s="38" t="s">
        <v>687</v>
      </c>
      <c r="B774" s="39" t="s">
        <v>45</v>
      </c>
      <c r="C774" s="39" t="s">
        <v>1100</v>
      </c>
      <c r="D774" s="40">
        <v>10.477399999999999</v>
      </c>
      <c r="E774" s="40">
        <v>25.472300000000001</v>
      </c>
      <c r="F774" s="40">
        <v>32.927</v>
      </c>
      <c r="G774" s="41">
        <v>0.68179913141191095</v>
      </c>
      <c r="H774" s="41">
        <v>0.22640082606979101</v>
      </c>
      <c r="I774" s="41">
        <v>0.45539830534212</v>
      </c>
      <c r="J774" s="42" t="s">
        <v>532</v>
      </c>
    </row>
    <row r="775" spans="1:12" s="43" customFormat="1" ht="15" x14ac:dyDescent="0.25">
      <c r="A775" s="38" t="s">
        <v>692</v>
      </c>
      <c r="B775" s="39" t="s">
        <v>45</v>
      </c>
      <c r="C775" s="39" t="s">
        <v>1142</v>
      </c>
      <c r="D775" s="40">
        <v>10.477399999999999</v>
      </c>
      <c r="E775" s="40">
        <v>17.017499999999998</v>
      </c>
      <c r="F775" s="40">
        <v>32.927</v>
      </c>
      <c r="G775" s="41">
        <v>0.68179913141191095</v>
      </c>
      <c r="H775" s="41">
        <v>0.483174902056063</v>
      </c>
      <c r="I775" s="41">
        <v>0.198624229355848</v>
      </c>
      <c r="J775" s="42" t="s">
        <v>532</v>
      </c>
    </row>
    <row r="776" spans="1:12" s="43" customFormat="1" ht="15" x14ac:dyDescent="0.25">
      <c r="A776" s="38" t="s">
        <v>549</v>
      </c>
      <c r="B776" s="39" t="s">
        <v>45</v>
      </c>
      <c r="C776" s="39" t="s">
        <v>1217</v>
      </c>
      <c r="D776" s="40">
        <v>11.3513</v>
      </c>
      <c r="E776" s="40">
        <v>13.139099999999999</v>
      </c>
      <c r="F776" s="40">
        <v>32.927</v>
      </c>
      <c r="G776" s="41">
        <v>0.65525860236280198</v>
      </c>
      <c r="H776" s="41">
        <v>0.60096273574877801</v>
      </c>
      <c r="I776" s="41">
        <v>5.4295866614025003E-2</v>
      </c>
      <c r="J776" s="42" t="s">
        <v>532</v>
      </c>
    </row>
    <row r="777" spans="1:12" x14ac:dyDescent="0.25">
      <c r="A777" s="44">
        <v>2018</v>
      </c>
      <c r="B777" s="44" t="s">
        <v>45</v>
      </c>
      <c r="C777" s="44" t="s">
        <v>1166</v>
      </c>
      <c r="D777" s="45">
        <v>11.017021311475409</v>
      </c>
      <c r="E777" s="45">
        <v>14.479268579234972</v>
      </c>
      <c r="F777" s="45">
        <v>32.927</v>
      </c>
      <c r="G777" s="46">
        <v>0.66541071729961998</v>
      </c>
      <c r="H777" s="46">
        <v>0.56026153068196394</v>
      </c>
      <c r="I777" s="46">
        <v>0.10514918661765611</v>
      </c>
      <c r="J777" s="47" t="s">
        <v>533</v>
      </c>
      <c r="K777" s="48"/>
      <c r="L777" s="48"/>
    </row>
    <row r="778" spans="1:12" s="43" customFormat="1" ht="15" x14ac:dyDescent="0.25">
      <c r="A778" s="38" t="s">
        <v>548</v>
      </c>
      <c r="B778" s="39" t="s">
        <v>46</v>
      </c>
      <c r="C778" s="39" t="s">
        <v>718</v>
      </c>
      <c r="D778" s="40">
        <v>8.7304999999999993</v>
      </c>
      <c r="E778" s="40">
        <v>8.9459999999999997</v>
      </c>
      <c r="F778" s="40"/>
      <c r="G778" s="41"/>
      <c r="H778" s="41"/>
      <c r="I778" s="41"/>
      <c r="J778" s="42" t="s">
        <v>532</v>
      </c>
    </row>
    <row r="779" spans="1:12" x14ac:dyDescent="0.25">
      <c r="A779" s="44">
        <v>2018</v>
      </c>
      <c r="B779" s="44" t="s">
        <v>46</v>
      </c>
      <c r="C779" s="44" t="s">
        <v>718</v>
      </c>
      <c r="D779" s="45">
        <v>8.7304999999999993</v>
      </c>
      <c r="E779" s="45">
        <v>8.9459999999999997</v>
      </c>
      <c r="F779" s="45"/>
      <c r="J779" s="47" t="s">
        <v>533</v>
      </c>
      <c r="K779" s="48"/>
      <c r="L779" s="48"/>
    </row>
    <row r="780" spans="1:12" s="43" customFormat="1" ht="15" x14ac:dyDescent="0.25">
      <c r="A780" s="38" t="s">
        <v>552</v>
      </c>
      <c r="B780" s="39" t="s">
        <v>47</v>
      </c>
      <c r="C780" s="39" t="s">
        <v>753</v>
      </c>
      <c r="D780" s="40">
        <v>6.3164999999999996</v>
      </c>
      <c r="E780" s="40">
        <v>6.2872000000000003</v>
      </c>
      <c r="F780" s="40">
        <v>19.210999999999999</v>
      </c>
      <c r="G780" s="41">
        <v>0.67120399770964601</v>
      </c>
      <c r="H780" s="41">
        <v>0.67272916558221796</v>
      </c>
      <c r="I780" s="41">
        <v>-1.5251678725729501E-3</v>
      </c>
      <c r="J780" s="42" t="s">
        <v>532</v>
      </c>
    </row>
    <row r="781" spans="1:12" s="43" customFormat="1" ht="15" x14ac:dyDescent="0.25">
      <c r="A781" s="38" t="s">
        <v>554</v>
      </c>
      <c r="B781" s="39" t="s">
        <v>47</v>
      </c>
      <c r="C781" s="39" t="s">
        <v>1723</v>
      </c>
      <c r="D781" s="40">
        <v>6.2088000000000001</v>
      </c>
      <c r="E781" s="40">
        <v>8.9321999999999999</v>
      </c>
      <c r="F781" s="40">
        <v>19.291</v>
      </c>
      <c r="G781" s="41">
        <v>0.67815043284433196</v>
      </c>
      <c r="H781" s="41">
        <v>0.53697579182001998</v>
      </c>
      <c r="I781" s="41">
        <v>0.14117464102431199</v>
      </c>
      <c r="J781" s="42" t="s">
        <v>532</v>
      </c>
    </row>
    <row r="782" spans="1:12" x14ac:dyDescent="0.25">
      <c r="A782" s="44">
        <v>2018</v>
      </c>
      <c r="B782" s="44" t="s">
        <v>47</v>
      </c>
      <c r="C782" s="44" t="s">
        <v>1829</v>
      </c>
      <c r="D782" s="45">
        <v>6.2613037499999997</v>
      </c>
      <c r="E782" s="45">
        <v>7.6427624999999999</v>
      </c>
      <c r="F782" s="45">
        <v>19.252000000000002</v>
      </c>
      <c r="G782" s="46">
        <v>0.6747640457161721</v>
      </c>
      <c r="H782" s="46">
        <v>0.60315556152909167</v>
      </c>
      <c r="I782" s="46">
        <v>7.1608484187080462E-2</v>
      </c>
      <c r="J782" s="47" t="s">
        <v>533</v>
      </c>
      <c r="K782" s="48"/>
      <c r="L782" s="48"/>
    </row>
    <row r="783" spans="1:12" s="43" customFormat="1" ht="15" x14ac:dyDescent="0.25">
      <c r="A783" s="38" t="s">
        <v>571</v>
      </c>
      <c r="B783" s="39" t="s">
        <v>48</v>
      </c>
      <c r="C783" s="39" t="s">
        <v>1239</v>
      </c>
      <c r="D783" s="40">
        <v>5.8021000000000003</v>
      </c>
      <c r="E783" s="40">
        <v>4.2834000000000003</v>
      </c>
      <c r="F783" s="40">
        <v>22.472000000000001</v>
      </c>
      <c r="G783" s="41">
        <v>0.74180758276966896</v>
      </c>
      <c r="H783" s="41">
        <v>0.80938946244215004</v>
      </c>
      <c r="I783" s="41">
        <v>-6.7581879672481304E-2</v>
      </c>
      <c r="J783" s="42" t="s">
        <v>532</v>
      </c>
    </row>
    <row r="784" spans="1:12" x14ac:dyDescent="0.25">
      <c r="A784" s="44">
        <v>2018</v>
      </c>
      <c r="B784" s="44" t="s">
        <v>48</v>
      </c>
      <c r="C784" s="44" t="s">
        <v>1239</v>
      </c>
      <c r="D784" s="45">
        <v>5.8021000000000003</v>
      </c>
      <c r="E784" s="45">
        <v>4.2834000000000003</v>
      </c>
      <c r="F784" s="45">
        <v>22.472000000000001</v>
      </c>
      <c r="G784" s="46">
        <v>0.74180758276966885</v>
      </c>
      <c r="H784" s="46">
        <v>0.80938946244215015</v>
      </c>
      <c r="I784" s="46">
        <v>-6.7581879672481304E-2</v>
      </c>
      <c r="J784" s="47" t="s">
        <v>533</v>
      </c>
      <c r="K784" s="48"/>
      <c r="L784" s="48"/>
    </row>
    <row r="785" spans="1:12" s="43" customFormat="1" ht="15" x14ac:dyDescent="0.25">
      <c r="A785" s="38" t="s">
        <v>581</v>
      </c>
      <c r="B785" s="39" t="s">
        <v>49</v>
      </c>
      <c r="C785" s="39" t="s">
        <v>877</v>
      </c>
      <c r="D785" s="40">
        <v>2.5034999999999998</v>
      </c>
      <c r="E785" s="40">
        <v>2.6686999999999999</v>
      </c>
      <c r="F785" s="40">
        <v>8.4480000000000004</v>
      </c>
      <c r="G785" s="41">
        <v>0.70365767045454597</v>
      </c>
      <c r="H785" s="41">
        <v>0.68410274621212097</v>
      </c>
      <c r="I785" s="41">
        <v>1.95549242424242E-2</v>
      </c>
      <c r="J785" s="42" t="s">
        <v>532</v>
      </c>
    </row>
    <row r="786" spans="1:12" s="43" customFormat="1" ht="15" x14ac:dyDescent="0.25">
      <c r="A786" s="38" t="s">
        <v>591</v>
      </c>
      <c r="B786" s="39" t="s">
        <v>49</v>
      </c>
      <c r="C786" s="39" t="s">
        <v>887</v>
      </c>
      <c r="D786" s="40">
        <v>2.5034999999999998</v>
      </c>
      <c r="E786" s="40">
        <v>2.7002999999999999</v>
      </c>
      <c r="F786" s="40">
        <v>8.4480000000000004</v>
      </c>
      <c r="G786" s="41">
        <v>0.70365767045454597</v>
      </c>
      <c r="H786" s="41">
        <v>0.68036221590909096</v>
      </c>
      <c r="I786" s="41">
        <v>2.3295454545454699E-2</v>
      </c>
      <c r="J786" s="42" t="s">
        <v>532</v>
      </c>
    </row>
    <row r="787" spans="1:12" x14ac:dyDescent="0.25">
      <c r="A787" s="44">
        <v>2018</v>
      </c>
      <c r="B787" s="44" t="s">
        <v>49</v>
      </c>
      <c r="C787" s="44" t="s">
        <v>1875</v>
      </c>
      <c r="D787" s="45">
        <v>2.5034999999999998</v>
      </c>
      <c r="E787" s="45">
        <v>2.6862236363636365</v>
      </c>
      <c r="F787" s="45">
        <v>8.4480000000000004</v>
      </c>
      <c r="G787" s="46">
        <v>0.70365767045454564</v>
      </c>
      <c r="H787" s="46">
        <v>0.6820284521349862</v>
      </c>
      <c r="I787" s="46">
        <v>2.1629218319559291E-2</v>
      </c>
      <c r="J787" s="47" t="s">
        <v>533</v>
      </c>
      <c r="K787" s="48"/>
      <c r="L787" s="48"/>
    </row>
    <row r="788" spans="1:12" s="43" customFormat="1" ht="15" x14ac:dyDescent="0.25">
      <c r="A788" s="38" t="s">
        <v>557</v>
      </c>
      <c r="B788" s="39" t="s">
        <v>443</v>
      </c>
      <c r="C788" s="39" t="s">
        <v>758</v>
      </c>
      <c r="D788" s="40">
        <v>13.318899999999999</v>
      </c>
      <c r="E788" s="40">
        <v>15.4039</v>
      </c>
      <c r="F788" s="40">
        <v>36.616</v>
      </c>
      <c r="G788" s="41">
        <v>0.63625464277911303</v>
      </c>
      <c r="H788" s="41">
        <v>0.57931232248197495</v>
      </c>
      <c r="I788" s="41">
        <v>5.6942320297137902E-2</v>
      </c>
      <c r="J788" s="42" t="s">
        <v>532</v>
      </c>
    </row>
    <row r="789" spans="1:12" s="43" customFormat="1" ht="15" x14ac:dyDescent="0.25">
      <c r="A789" s="38" t="s">
        <v>556</v>
      </c>
      <c r="B789" s="39" t="s">
        <v>443</v>
      </c>
      <c r="C789" s="39" t="s">
        <v>887</v>
      </c>
      <c r="D789" s="40">
        <v>12.991300000000001</v>
      </c>
      <c r="E789" s="40">
        <v>10.0974</v>
      </c>
      <c r="F789" s="40">
        <v>39.697000000000003</v>
      </c>
      <c r="G789" s="41">
        <v>0.67273849409275299</v>
      </c>
      <c r="H789" s="41">
        <v>0.74563820943648096</v>
      </c>
      <c r="I789" s="41">
        <v>-7.2899715343728896E-2</v>
      </c>
      <c r="J789" s="42" t="s">
        <v>532</v>
      </c>
    </row>
    <row r="790" spans="1:12" x14ac:dyDescent="0.25">
      <c r="A790" s="44">
        <v>2018</v>
      </c>
      <c r="B790" s="44" t="s">
        <v>443</v>
      </c>
      <c r="C790" s="44" t="s">
        <v>1590</v>
      </c>
      <c r="D790" s="45">
        <v>13.062700000000001</v>
      </c>
      <c r="E790" s="45">
        <v>11.253944871794872</v>
      </c>
      <c r="F790" s="45">
        <v>39.025500000000008</v>
      </c>
      <c r="G790" s="46">
        <v>0.66478688547311315</v>
      </c>
      <c r="H790" s="46">
        <v>0.70938769561306336</v>
      </c>
      <c r="I790" s="46">
        <v>-4.4600810139950216E-2</v>
      </c>
      <c r="J790" s="47" t="s">
        <v>533</v>
      </c>
      <c r="K790" s="48"/>
      <c r="L790" s="48"/>
    </row>
    <row r="791" spans="1:12" s="43" customFormat="1" ht="15" x14ac:dyDescent="0.25">
      <c r="A791" s="38" t="s">
        <v>627</v>
      </c>
      <c r="B791" s="39" t="s">
        <v>476</v>
      </c>
      <c r="C791" s="39" t="s">
        <v>1193</v>
      </c>
      <c r="D791" s="40">
        <v>0.95689999999999997</v>
      </c>
      <c r="E791" s="40">
        <v>1.3123</v>
      </c>
      <c r="F791" s="40">
        <v>3.2</v>
      </c>
      <c r="G791" s="41">
        <v>0.70096875000000003</v>
      </c>
      <c r="H791" s="41">
        <v>0.58990624999999997</v>
      </c>
      <c r="I791" s="41">
        <v>0.11106249999999999</v>
      </c>
      <c r="J791" s="42" t="s">
        <v>532</v>
      </c>
    </row>
    <row r="792" spans="1:12" x14ac:dyDescent="0.25">
      <c r="A792" s="44">
        <v>2018</v>
      </c>
      <c r="B792" s="44" t="s">
        <v>476</v>
      </c>
      <c r="C792" s="44" t="s">
        <v>1193</v>
      </c>
      <c r="D792" s="45">
        <v>0.95689999999999997</v>
      </c>
      <c r="E792" s="45">
        <v>1.3123</v>
      </c>
      <c r="F792" s="45">
        <v>3.2</v>
      </c>
      <c r="G792" s="46">
        <v>0.70096875000000003</v>
      </c>
      <c r="H792" s="46">
        <v>0.58990624999999985</v>
      </c>
      <c r="I792" s="46">
        <v>0.11106250000000008</v>
      </c>
      <c r="J792" s="47" t="s">
        <v>533</v>
      </c>
      <c r="K792" s="48"/>
      <c r="L792" s="48"/>
    </row>
    <row r="793" spans="1:12" s="43" customFormat="1" ht="15" x14ac:dyDescent="0.25">
      <c r="A793" s="38" t="s">
        <v>627</v>
      </c>
      <c r="B793" s="39" t="s">
        <v>477</v>
      </c>
      <c r="C793" s="39" t="s">
        <v>1194</v>
      </c>
      <c r="D793" s="40">
        <v>0.79669999999999996</v>
      </c>
      <c r="E793" s="40">
        <v>1.1942999999999999</v>
      </c>
      <c r="F793" s="40">
        <v>3.2</v>
      </c>
      <c r="G793" s="41">
        <v>0.75103125000000004</v>
      </c>
      <c r="H793" s="41">
        <v>0.62678124999999996</v>
      </c>
      <c r="I793" s="41">
        <v>0.12425</v>
      </c>
      <c r="J793" s="42" t="s">
        <v>532</v>
      </c>
    </row>
    <row r="794" spans="1:12" x14ac:dyDescent="0.25">
      <c r="A794" s="44">
        <v>2018</v>
      </c>
      <c r="B794" s="44" t="s">
        <v>477</v>
      </c>
      <c r="C794" s="44" t="s">
        <v>1194</v>
      </c>
      <c r="D794" s="45">
        <v>0.79669999999999996</v>
      </c>
      <c r="E794" s="45">
        <v>1.1942999999999999</v>
      </c>
      <c r="F794" s="45">
        <v>3.2</v>
      </c>
      <c r="G794" s="46">
        <v>0.75103125000000004</v>
      </c>
      <c r="H794" s="46">
        <v>0.62678124999999996</v>
      </c>
      <c r="I794" s="46">
        <v>0.1242500000000001</v>
      </c>
      <c r="J794" s="47" t="s">
        <v>533</v>
      </c>
      <c r="K794" s="48"/>
      <c r="L794" s="48"/>
    </row>
    <row r="795" spans="1:12" s="43" customFormat="1" ht="15" x14ac:dyDescent="0.25">
      <c r="A795" s="38" t="s">
        <v>569</v>
      </c>
      <c r="B795" s="39" t="s">
        <v>516</v>
      </c>
      <c r="C795" s="39" t="s">
        <v>1796</v>
      </c>
      <c r="D795" s="40"/>
      <c r="E795" s="40">
        <v>2.4196</v>
      </c>
      <c r="F795" s="40"/>
      <c r="G795" s="41"/>
      <c r="H795" s="41"/>
      <c r="I795" s="41"/>
      <c r="J795" s="42" t="s">
        <v>532</v>
      </c>
    </row>
    <row r="796" spans="1:12" s="43" customFormat="1" ht="15" x14ac:dyDescent="0.25">
      <c r="A796" s="38" t="s">
        <v>662</v>
      </c>
      <c r="B796" s="39" t="s">
        <v>516</v>
      </c>
      <c r="C796" s="39" t="s">
        <v>1801</v>
      </c>
      <c r="D796" s="40"/>
      <c r="E796" s="40">
        <v>2.1703000000000001</v>
      </c>
      <c r="F796" s="40"/>
      <c r="G796" s="41"/>
      <c r="H796" s="41"/>
      <c r="I796" s="41"/>
      <c r="J796" s="42" t="s">
        <v>532</v>
      </c>
    </row>
    <row r="797" spans="1:12" x14ac:dyDescent="0.25">
      <c r="A797" s="44">
        <v>2018</v>
      </c>
      <c r="B797" s="44" t="s">
        <v>516</v>
      </c>
      <c r="C797" s="44" t="s">
        <v>2008</v>
      </c>
      <c r="D797" s="45"/>
      <c r="E797" s="45">
        <v>2.0939795666223153</v>
      </c>
      <c r="F797" s="45"/>
      <c r="J797" s="47" t="s">
        <v>533</v>
      </c>
      <c r="K797" s="48"/>
      <c r="L797" s="48"/>
    </row>
    <row r="798" spans="1:12" s="43" customFormat="1" ht="15" x14ac:dyDescent="0.25">
      <c r="A798" s="38" t="s">
        <v>650</v>
      </c>
      <c r="B798" s="39" t="s">
        <v>490</v>
      </c>
      <c r="C798" s="39" t="s">
        <v>1684</v>
      </c>
      <c r="D798" s="40">
        <v>2.1261000000000001</v>
      </c>
      <c r="E798" s="40">
        <v>2.4403000000000001</v>
      </c>
      <c r="F798" s="40">
        <v>10.72</v>
      </c>
      <c r="G798" s="41">
        <v>0.80166977611940304</v>
      </c>
      <c r="H798" s="41">
        <v>0.77236007462686596</v>
      </c>
      <c r="I798" s="41">
        <v>2.93097014925374E-2</v>
      </c>
      <c r="J798" s="42" t="s">
        <v>532</v>
      </c>
    </row>
    <row r="799" spans="1:12" s="43" customFormat="1" ht="15" x14ac:dyDescent="0.25">
      <c r="A799" s="38" t="s">
        <v>637</v>
      </c>
      <c r="B799" s="39" t="s">
        <v>490</v>
      </c>
      <c r="C799" s="39" t="s">
        <v>1751</v>
      </c>
      <c r="D799" s="40">
        <v>2.1261000000000001</v>
      </c>
      <c r="E799" s="40">
        <v>2.3527999999999998</v>
      </c>
      <c r="F799" s="40">
        <v>10.72</v>
      </c>
      <c r="G799" s="41">
        <v>0.80166977611940304</v>
      </c>
      <c r="H799" s="41">
        <v>0.78052238805970198</v>
      </c>
      <c r="I799" s="41">
        <v>2.11473880597015E-2</v>
      </c>
      <c r="J799" s="42" t="s">
        <v>532</v>
      </c>
    </row>
    <row r="800" spans="1:12" x14ac:dyDescent="0.25">
      <c r="A800" s="44">
        <v>2018</v>
      </c>
      <c r="B800" s="44" t="s">
        <v>490</v>
      </c>
      <c r="C800" s="44" t="s">
        <v>1986</v>
      </c>
      <c r="D800" s="45">
        <v>2.1261000000000001</v>
      </c>
      <c r="E800" s="45">
        <v>2.4108506010081427</v>
      </c>
      <c r="F800" s="45">
        <v>10.72</v>
      </c>
      <c r="G800" s="46">
        <v>0.80166977611940304</v>
      </c>
      <c r="H800" s="46">
        <v>0.77510722005521049</v>
      </c>
      <c r="I800" s="46">
        <v>2.6562556064192493E-2</v>
      </c>
      <c r="J800" s="47" t="s">
        <v>533</v>
      </c>
      <c r="K800" s="48"/>
      <c r="L800" s="48"/>
    </row>
    <row r="801" spans="1:12" s="43" customFormat="1" ht="15" x14ac:dyDescent="0.25">
      <c r="A801" s="38" t="s">
        <v>654</v>
      </c>
      <c r="B801" s="39" t="s">
        <v>509</v>
      </c>
      <c r="C801" s="39" t="s">
        <v>1719</v>
      </c>
      <c r="D801" s="40">
        <v>2.8233999999999999</v>
      </c>
      <c r="E801" s="40"/>
      <c r="F801" s="40">
        <v>0</v>
      </c>
      <c r="G801" s="41"/>
      <c r="H801" s="41"/>
      <c r="I801" s="41"/>
      <c r="J801" s="42" t="s">
        <v>532</v>
      </c>
    </row>
    <row r="802" spans="1:12" x14ac:dyDescent="0.25">
      <c r="A802" s="44">
        <v>2018</v>
      </c>
      <c r="B802" s="44" t="s">
        <v>509</v>
      </c>
      <c r="C802" s="44" t="s">
        <v>1719</v>
      </c>
      <c r="D802" s="45">
        <v>2.8233999999999999</v>
      </c>
      <c r="F802" s="45">
        <v>0</v>
      </c>
      <c r="J802" s="47" t="s">
        <v>533</v>
      </c>
      <c r="K802" s="48"/>
      <c r="L802" s="48"/>
    </row>
    <row r="803" spans="1:12" s="43" customFormat="1" ht="15" x14ac:dyDescent="0.25">
      <c r="A803" s="38" t="s">
        <v>591</v>
      </c>
      <c r="B803" s="39" t="s">
        <v>51</v>
      </c>
      <c r="C803" s="39" t="s">
        <v>888</v>
      </c>
      <c r="D803" s="40">
        <v>0.49320000000000003</v>
      </c>
      <c r="E803" s="40">
        <v>0.60229999999999995</v>
      </c>
      <c r="F803" s="40">
        <v>2.02</v>
      </c>
      <c r="G803" s="41">
        <v>0.75584158415841596</v>
      </c>
      <c r="H803" s="41">
        <v>0.70185231023102301</v>
      </c>
      <c r="I803" s="41">
        <v>5.3989273927392799E-2</v>
      </c>
      <c r="J803" s="42" t="s">
        <v>532</v>
      </c>
    </row>
    <row r="804" spans="1:12" x14ac:dyDescent="0.25">
      <c r="A804" s="44">
        <v>2018</v>
      </c>
      <c r="B804" s="44" t="s">
        <v>51</v>
      </c>
      <c r="C804" s="44" t="s">
        <v>888</v>
      </c>
      <c r="D804" s="45">
        <v>0.49320000000000008</v>
      </c>
      <c r="E804" s="45">
        <v>0.60229999999999995</v>
      </c>
      <c r="F804" s="45">
        <v>2.02</v>
      </c>
      <c r="G804" s="46">
        <v>0.75584158415841596</v>
      </c>
      <c r="H804" s="46">
        <v>0.70185231023102312</v>
      </c>
      <c r="I804" s="46">
        <v>5.3989273927392833E-2</v>
      </c>
      <c r="J804" s="47" t="s">
        <v>533</v>
      </c>
      <c r="K804" s="48"/>
      <c r="L804" s="48"/>
    </row>
    <row r="805" spans="1:12" s="43" customFormat="1" ht="15" x14ac:dyDescent="0.25">
      <c r="A805" s="38" t="s">
        <v>602</v>
      </c>
      <c r="B805" s="39" t="s">
        <v>52</v>
      </c>
      <c r="C805" s="39" t="s">
        <v>903</v>
      </c>
      <c r="D805" s="40">
        <v>0.49469999999999997</v>
      </c>
      <c r="E805" s="40">
        <v>0.55930000000000002</v>
      </c>
      <c r="F805" s="40">
        <v>2.02</v>
      </c>
      <c r="G805" s="41">
        <v>0.75509900990098999</v>
      </c>
      <c r="H805" s="41">
        <v>0.72310643564356403</v>
      </c>
      <c r="I805" s="41">
        <v>3.1992574257425598E-2</v>
      </c>
      <c r="J805" s="39" t="s">
        <v>532</v>
      </c>
    </row>
    <row r="806" spans="1:12" x14ac:dyDescent="0.25">
      <c r="A806" s="44">
        <v>2018</v>
      </c>
      <c r="B806" s="44" t="s">
        <v>52</v>
      </c>
      <c r="C806" s="44" t="s">
        <v>903</v>
      </c>
      <c r="D806" s="45">
        <v>0.49469999999999997</v>
      </c>
      <c r="E806" s="45">
        <v>0.55930000000000002</v>
      </c>
      <c r="F806" s="45">
        <v>2.02</v>
      </c>
      <c r="G806" s="46">
        <v>0.75509900990098999</v>
      </c>
      <c r="H806" s="46">
        <v>0.72310643564356447</v>
      </c>
      <c r="I806" s="46">
        <v>3.1992574257425632E-2</v>
      </c>
      <c r="J806" s="47" t="s">
        <v>533</v>
      </c>
      <c r="K806" s="48"/>
      <c r="L806" s="48"/>
    </row>
    <row r="807" spans="1:12" s="43" customFormat="1" ht="15" x14ac:dyDescent="0.25">
      <c r="A807" s="38" t="s">
        <v>608</v>
      </c>
      <c r="B807" s="39" t="s">
        <v>53</v>
      </c>
      <c r="C807" s="39" t="s">
        <v>878</v>
      </c>
      <c r="D807" s="40">
        <v>0.51149999999999995</v>
      </c>
      <c r="E807" s="40">
        <v>0.50660000000000005</v>
      </c>
      <c r="F807" s="40">
        <v>2.02</v>
      </c>
      <c r="G807" s="41">
        <v>0.746782178217822</v>
      </c>
      <c r="H807" s="41">
        <v>0.74919554455445503</v>
      </c>
      <c r="I807" s="41">
        <v>-2.4133663366334699E-3</v>
      </c>
      <c r="J807" s="42" t="s">
        <v>532</v>
      </c>
    </row>
    <row r="808" spans="1:12" x14ac:dyDescent="0.25">
      <c r="A808" s="44">
        <v>2018</v>
      </c>
      <c r="B808" s="44" t="s">
        <v>53</v>
      </c>
      <c r="C808" s="44" t="s">
        <v>878</v>
      </c>
      <c r="D808" s="45">
        <v>0.51149999999999995</v>
      </c>
      <c r="E808" s="45">
        <v>0.50660000000000005</v>
      </c>
      <c r="F808" s="45">
        <v>2.02</v>
      </c>
      <c r="G808" s="46">
        <v>0.74678217821782189</v>
      </c>
      <c r="H808" s="46">
        <v>0.74919554455445536</v>
      </c>
      <c r="I808" s="46">
        <v>-2.4133663366334712E-3</v>
      </c>
      <c r="J808" s="47" t="s">
        <v>533</v>
      </c>
      <c r="K808" s="48"/>
      <c r="L808" s="48"/>
    </row>
    <row r="809" spans="1:12" s="43" customFormat="1" ht="15" x14ac:dyDescent="0.25">
      <c r="A809" s="38" t="s">
        <v>581</v>
      </c>
      <c r="B809" s="39" t="s">
        <v>54</v>
      </c>
      <c r="C809" s="39" t="s">
        <v>878</v>
      </c>
      <c r="D809" s="40">
        <v>0.4657</v>
      </c>
      <c r="E809" s="40">
        <v>0.58550000000000002</v>
      </c>
      <c r="F809" s="40">
        <v>1.998</v>
      </c>
      <c r="G809" s="41">
        <v>0.76691691691691699</v>
      </c>
      <c r="H809" s="41">
        <v>0.706952786119453</v>
      </c>
      <c r="I809" s="41">
        <v>5.9964130797464099E-2</v>
      </c>
      <c r="J809" s="42" t="s">
        <v>532</v>
      </c>
    </row>
    <row r="810" spans="1:12" x14ac:dyDescent="0.25">
      <c r="A810" s="44">
        <v>2018</v>
      </c>
      <c r="B810" s="44" t="s">
        <v>54</v>
      </c>
      <c r="C810" s="44" t="s">
        <v>878</v>
      </c>
      <c r="D810" s="45">
        <v>0.46570000000000006</v>
      </c>
      <c r="E810" s="45">
        <v>0.58550000000000002</v>
      </c>
      <c r="F810" s="45">
        <v>1.998</v>
      </c>
      <c r="G810" s="46">
        <v>0.76691691691691677</v>
      </c>
      <c r="H810" s="46">
        <v>0.70695278611945267</v>
      </c>
      <c r="I810" s="46">
        <v>5.9964130797464092E-2</v>
      </c>
      <c r="J810" s="47" t="s">
        <v>533</v>
      </c>
      <c r="K810" s="48"/>
      <c r="L810" s="48"/>
    </row>
    <row r="811" spans="1:12" s="43" customFormat="1" ht="15" x14ac:dyDescent="0.25">
      <c r="A811" s="38" t="s">
        <v>594</v>
      </c>
      <c r="B811" s="39" t="s">
        <v>55</v>
      </c>
      <c r="C811" s="39" t="s">
        <v>866</v>
      </c>
      <c r="D811" s="40">
        <v>0.4839</v>
      </c>
      <c r="E811" s="40">
        <v>0.59209999999999996</v>
      </c>
      <c r="F811" s="40">
        <v>2.02</v>
      </c>
      <c r="G811" s="41">
        <v>0.76044554455445601</v>
      </c>
      <c r="H811" s="41">
        <v>0.706889438943894</v>
      </c>
      <c r="I811" s="41">
        <v>5.3556105610561101E-2</v>
      </c>
      <c r="J811" s="42" t="s">
        <v>532</v>
      </c>
    </row>
    <row r="812" spans="1:12" x14ac:dyDescent="0.25">
      <c r="A812" s="44">
        <v>2018</v>
      </c>
      <c r="B812" s="44" t="s">
        <v>55</v>
      </c>
      <c r="C812" s="44" t="s">
        <v>866</v>
      </c>
      <c r="D812" s="45">
        <v>0.4839</v>
      </c>
      <c r="E812" s="45">
        <v>0.59209999999999996</v>
      </c>
      <c r="F812" s="45">
        <v>2.02</v>
      </c>
      <c r="G812" s="46">
        <v>0.76044554455445557</v>
      </c>
      <c r="H812" s="46">
        <v>0.70688943894389433</v>
      </c>
      <c r="I812" s="46">
        <v>5.3556105610561129E-2</v>
      </c>
      <c r="J812" s="47" t="s">
        <v>533</v>
      </c>
      <c r="K812" s="48"/>
      <c r="L812" s="48"/>
    </row>
    <row r="813" spans="1:12" s="43" customFormat="1" ht="15" x14ac:dyDescent="0.25">
      <c r="A813" s="38" t="s">
        <v>608</v>
      </c>
      <c r="B813" s="39" t="s">
        <v>56</v>
      </c>
      <c r="C813" s="39" t="s">
        <v>939</v>
      </c>
      <c r="D813" s="40">
        <v>1.0099</v>
      </c>
      <c r="E813" s="40">
        <v>0.95579999999999998</v>
      </c>
      <c r="F813" s="40">
        <v>3.8660000000000001</v>
      </c>
      <c r="G813" s="41">
        <v>0.73877392653905904</v>
      </c>
      <c r="H813" s="41">
        <v>0.75276340748404902</v>
      </c>
      <c r="I813" s="41">
        <v>-1.39894809449904E-2</v>
      </c>
      <c r="J813" s="42" t="s">
        <v>532</v>
      </c>
    </row>
    <row r="814" spans="1:12" x14ac:dyDescent="0.25">
      <c r="A814" s="44">
        <v>2018</v>
      </c>
      <c r="B814" s="44" t="s">
        <v>56</v>
      </c>
      <c r="C814" s="44" t="s">
        <v>939</v>
      </c>
      <c r="D814" s="45">
        <v>1.0099</v>
      </c>
      <c r="E814" s="45">
        <v>0.95579999999999987</v>
      </c>
      <c r="F814" s="45">
        <v>3.8660000000000001</v>
      </c>
      <c r="G814" s="46">
        <v>0.7387739265390586</v>
      </c>
      <c r="H814" s="46">
        <v>0.75276340748404891</v>
      </c>
      <c r="I814" s="46">
        <v>-1.3989480944990418E-2</v>
      </c>
      <c r="J814" s="47" t="s">
        <v>533</v>
      </c>
      <c r="K814" s="48"/>
      <c r="L814" s="48"/>
    </row>
    <row r="815" spans="1:12" s="43" customFormat="1" ht="15" x14ac:dyDescent="0.25">
      <c r="A815" s="38" t="s">
        <v>602</v>
      </c>
      <c r="B815" s="39" t="s">
        <v>57</v>
      </c>
      <c r="C815" s="39" t="s">
        <v>904</v>
      </c>
      <c r="D815" s="40">
        <v>0.94220000000000004</v>
      </c>
      <c r="E815" s="40">
        <v>1.1102000000000001</v>
      </c>
      <c r="F815" s="40">
        <v>3.8730000000000002</v>
      </c>
      <c r="G815" s="41">
        <v>0.75672605215595201</v>
      </c>
      <c r="H815" s="41">
        <v>0.71335743179275302</v>
      </c>
      <c r="I815" s="41">
        <v>4.33686203631981E-2</v>
      </c>
      <c r="J815" s="42" t="s">
        <v>532</v>
      </c>
    </row>
    <row r="816" spans="1:12" x14ac:dyDescent="0.25">
      <c r="A816" s="44">
        <v>2018</v>
      </c>
      <c r="B816" s="44" t="s">
        <v>57</v>
      </c>
      <c r="C816" s="44" t="s">
        <v>904</v>
      </c>
      <c r="D816" s="45">
        <v>0.94220000000000004</v>
      </c>
      <c r="E816" s="45">
        <v>1.1102000000000001</v>
      </c>
      <c r="F816" s="45">
        <v>3.8730000000000002</v>
      </c>
      <c r="G816" s="46">
        <v>0.75672605215595157</v>
      </c>
      <c r="H816" s="46">
        <v>0.71335743179275335</v>
      </c>
      <c r="I816" s="46">
        <v>4.3368620363198107E-2</v>
      </c>
      <c r="J816" s="47" t="s">
        <v>533</v>
      </c>
      <c r="K816" s="48"/>
      <c r="L816" s="48"/>
    </row>
    <row r="817" spans="1:12" s="43" customFormat="1" ht="15" x14ac:dyDescent="0.25">
      <c r="A817" s="38" t="s">
        <v>591</v>
      </c>
      <c r="B817" s="39" t="s">
        <v>58</v>
      </c>
      <c r="C817" s="39" t="s">
        <v>888</v>
      </c>
      <c r="D817" s="40">
        <v>0.97450000000000003</v>
      </c>
      <c r="E817" s="40">
        <v>1.1423000000000001</v>
      </c>
      <c r="F817" s="40">
        <v>3.8940000000000001</v>
      </c>
      <c r="G817" s="41">
        <v>0.74974319465844896</v>
      </c>
      <c r="H817" s="41">
        <v>0.70665981852422499</v>
      </c>
      <c r="I817" s="41">
        <v>4.3083376134223798E-2</v>
      </c>
      <c r="J817" s="42" t="s">
        <v>532</v>
      </c>
    </row>
    <row r="818" spans="1:12" x14ac:dyDescent="0.25">
      <c r="A818" s="44">
        <v>2018</v>
      </c>
      <c r="B818" s="44" t="s">
        <v>58</v>
      </c>
      <c r="C818" s="44" t="s">
        <v>888</v>
      </c>
      <c r="D818" s="45">
        <v>0.97450000000000003</v>
      </c>
      <c r="E818" s="45">
        <v>1.1423000000000001</v>
      </c>
      <c r="F818" s="45">
        <v>3.8939999999999997</v>
      </c>
      <c r="G818" s="46">
        <v>0.74974319465844885</v>
      </c>
      <c r="H818" s="46">
        <v>0.70665981852422521</v>
      </c>
      <c r="I818" s="46">
        <v>4.308337613422375E-2</v>
      </c>
      <c r="J818" s="47" t="s">
        <v>533</v>
      </c>
      <c r="K818" s="48"/>
      <c r="L818" s="48"/>
    </row>
    <row r="819" spans="1:12" s="43" customFormat="1" ht="15" x14ac:dyDescent="0.25">
      <c r="A819" s="38" t="s">
        <v>602</v>
      </c>
      <c r="B819" s="39" t="s">
        <v>59</v>
      </c>
      <c r="C819" s="39" t="s">
        <v>875</v>
      </c>
      <c r="D819" s="40">
        <v>0.21429999999999999</v>
      </c>
      <c r="E819" s="40">
        <v>0.2535</v>
      </c>
      <c r="F819" s="40">
        <v>65.554000000000002</v>
      </c>
      <c r="G819" s="41">
        <v>0.99673093937822299</v>
      </c>
      <c r="H819" s="41">
        <v>0.99613274721773104</v>
      </c>
      <c r="I819" s="41">
        <v>5.9819216049206202E-4</v>
      </c>
      <c r="J819" s="42" t="s">
        <v>532</v>
      </c>
    </row>
    <row r="820" spans="1:12" s="43" customFormat="1" ht="15" x14ac:dyDescent="0.25">
      <c r="A820" s="38" t="s">
        <v>595</v>
      </c>
      <c r="B820" s="39" t="s">
        <v>59</v>
      </c>
      <c r="C820" s="39" t="s">
        <v>747</v>
      </c>
      <c r="D820" s="40">
        <v>0.21429999999999999</v>
      </c>
      <c r="E820" s="40">
        <v>0.25950000000000001</v>
      </c>
      <c r="F820" s="40">
        <v>0.91049999999999998</v>
      </c>
      <c r="G820" s="41">
        <v>0.76462763523202204</v>
      </c>
      <c r="H820" s="41">
        <v>0.71499679653415504</v>
      </c>
      <c r="I820" s="41">
        <v>4.9630838697867302E-2</v>
      </c>
      <c r="J820" s="42" t="s">
        <v>532</v>
      </c>
    </row>
    <row r="821" spans="1:12" x14ac:dyDescent="0.25">
      <c r="A821" s="44">
        <v>2018</v>
      </c>
      <c r="B821" s="44" t="s">
        <v>59</v>
      </c>
      <c r="C821" s="44" t="s">
        <v>1882</v>
      </c>
      <c r="D821" s="45">
        <v>0.21429999999999999</v>
      </c>
      <c r="E821" s="45">
        <v>0.2571</v>
      </c>
      <c r="F821" s="45">
        <v>26.767883333333334</v>
      </c>
      <c r="G821" s="46">
        <v>0.85746895689050251</v>
      </c>
      <c r="H821" s="46">
        <v>0.82745117680758529</v>
      </c>
      <c r="I821" s="46">
        <v>3.0017780082917223E-2</v>
      </c>
      <c r="J821" s="47" t="s">
        <v>533</v>
      </c>
      <c r="K821" s="48"/>
      <c r="L821" s="48"/>
    </row>
    <row r="822" spans="1:12" s="43" customFormat="1" ht="15" x14ac:dyDescent="0.25">
      <c r="A822" s="38" t="s">
        <v>608</v>
      </c>
      <c r="B822" s="39" t="s">
        <v>60</v>
      </c>
      <c r="C822" s="39" t="s">
        <v>875</v>
      </c>
      <c r="D822" s="40">
        <v>0.22359999999999999</v>
      </c>
      <c r="E822" s="40">
        <v>0.30759999999999998</v>
      </c>
      <c r="F822" s="40">
        <v>65.304000000000002</v>
      </c>
      <c r="G822" s="41">
        <v>0.99657601372044602</v>
      </c>
      <c r="H822" s="41">
        <v>0.99529012600895606</v>
      </c>
      <c r="I822" s="41">
        <v>1.28588771148941E-3</v>
      </c>
      <c r="J822" s="42" t="s">
        <v>532</v>
      </c>
    </row>
    <row r="823" spans="1:12" s="43" customFormat="1" ht="15" x14ac:dyDescent="0.25">
      <c r="A823" s="38" t="s">
        <v>596</v>
      </c>
      <c r="B823" s="39" t="s">
        <v>60</v>
      </c>
      <c r="C823" s="39" t="s">
        <v>1013</v>
      </c>
      <c r="D823" s="40">
        <v>0.22359999999999999</v>
      </c>
      <c r="E823" s="40">
        <v>0.25219999999999998</v>
      </c>
      <c r="F823" s="40">
        <v>0.90700000000000003</v>
      </c>
      <c r="G823" s="41">
        <v>0.75347298787210604</v>
      </c>
      <c r="H823" s="41">
        <v>0.72197415165992895</v>
      </c>
      <c r="I823" s="41">
        <v>3.1498836212176903E-2</v>
      </c>
      <c r="J823" s="42" t="s">
        <v>532</v>
      </c>
    </row>
    <row r="824" spans="1:12" s="43" customFormat="1" ht="15" x14ac:dyDescent="0.25">
      <c r="A824" s="38" t="s">
        <v>609</v>
      </c>
      <c r="B824" s="39" t="s">
        <v>60</v>
      </c>
      <c r="C824" s="39" t="s">
        <v>1023</v>
      </c>
      <c r="D824" s="40">
        <v>0.22359999999999999</v>
      </c>
      <c r="E824" s="40">
        <v>0.33090000000000003</v>
      </c>
      <c r="F824" s="40">
        <v>0.90700000000000003</v>
      </c>
      <c r="G824" s="41">
        <v>0.75347298787210604</v>
      </c>
      <c r="H824" s="41">
        <v>0.63515558005635198</v>
      </c>
      <c r="I824" s="41">
        <v>0.11831740781575401</v>
      </c>
      <c r="J824" s="42" t="s">
        <v>532</v>
      </c>
    </row>
    <row r="825" spans="1:12" x14ac:dyDescent="0.25">
      <c r="A825" s="44">
        <v>2018</v>
      </c>
      <c r="B825" s="44" t="s">
        <v>60</v>
      </c>
      <c r="C825" s="44" t="s">
        <v>970</v>
      </c>
      <c r="D825" s="45">
        <v>0.22359999999999999</v>
      </c>
      <c r="E825" s="45">
        <v>0.29847916666666663</v>
      </c>
      <c r="F825" s="45">
        <v>23.44595</v>
      </c>
      <c r="G825" s="46">
        <v>0.83855904691902461</v>
      </c>
      <c r="H825" s="46">
        <v>0.7879717307175329</v>
      </c>
      <c r="I825" s="46">
        <v>5.0587316201491796E-2</v>
      </c>
      <c r="J825" s="47" t="s">
        <v>533</v>
      </c>
      <c r="K825" s="48"/>
      <c r="L825" s="48"/>
    </row>
    <row r="826" spans="1:12" s="43" customFormat="1" ht="15" x14ac:dyDescent="0.25">
      <c r="A826" s="38" t="s">
        <v>591</v>
      </c>
      <c r="B826" s="39" t="s">
        <v>61</v>
      </c>
      <c r="C826" s="39" t="s">
        <v>889</v>
      </c>
      <c r="D826" s="40">
        <v>0.22689999999999999</v>
      </c>
      <c r="E826" s="40">
        <v>0.26</v>
      </c>
      <c r="F826" s="40">
        <v>0.93620000000000003</v>
      </c>
      <c r="G826" s="41">
        <v>0.75762503152678595</v>
      </c>
      <c r="H826" s="41">
        <v>0.72225271872171903</v>
      </c>
      <c r="I826" s="41">
        <v>3.5372312805067897E-2</v>
      </c>
      <c r="J826" s="42" t="s">
        <v>532</v>
      </c>
    </row>
    <row r="827" spans="1:12" s="43" customFormat="1" ht="15" x14ac:dyDescent="0.25">
      <c r="A827" s="38" t="s">
        <v>595</v>
      </c>
      <c r="B827" s="39" t="s">
        <v>61</v>
      </c>
      <c r="C827" s="39" t="s">
        <v>994</v>
      </c>
      <c r="D827" s="40">
        <v>0.22689999999999999</v>
      </c>
      <c r="E827" s="40">
        <v>0.3503</v>
      </c>
      <c r="F827" s="40">
        <v>0.93620000000000003</v>
      </c>
      <c r="G827" s="41">
        <v>0.75762503152678595</v>
      </c>
      <c r="H827" s="41">
        <v>0.62578075159859403</v>
      </c>
      <c r="I827" s="41">
        <v>0.131844279928193</v>
      </c>
      <c r="J827" s="42" t="s">
        <v>532</v>
      </c>
    </row>
    <row r="828" spans="1:12" x14ac:dyDescent="0.25">
      <c r="A828" s="44">
        <v>2018</v>
      </c>
      <c r="B828" s="44" t="s">
        <v>61</v>
      </c>
      <c r="C828" s="44" t="s">
        <v>1876</v>
      </c>
      <c r="D828" s="45">
        <v>0.22689999999999999</v>
      </c>
      <c r="E828" s="45">
        <v>0.28376315789473683</v>
      </c>
      <c r="F828" s="45">
        <v>0.93615277777777783</v>
      </c>
      <c r="G828" s="46">
        <v>0.75762503152678651</v>
      </c>
      <c r="H828" s="46">
        <v>0.69686535895247514</v>
      </c>
      <c r="I828" s="46">
        <v>6.075967257431137E-2</v>
      </c>
      <c r="J828" s="47" t="s">
        <v>533</v>
      </c>
      <c r="K828" s="48"/>
      <c r="L828" s="48"/>
    </row>
    <row r="829" spans="1:12" s="43" customFormat="1" ht="15" x14ac:dyDescent="0.25">
      <c r="A829" s="38" t="s">
        <v>581</v>
      </c>
      <c r="B829" s="39" t="s">
        <v>62</v>
      </c>
      <c r="C829" s="39" t="s">
        <v>879</v>
      </c>
      <c r="D829" s="40">
        <v>0.91749999999999998</v>
      </c>
      <c r="E829" s="40">
        <v>1.1506000000000001</v>
      </c>
      <c r="F829" s="40">
        <v>3.895</v>
      </c>
      <c r="G829" s="41">
        <v>0.76444159178433901</v>
      </c>
      <c r="H829" s="41">
        <v>0.70458279845956395</v>
      </c>
      <c r="I829" s="41">
        <v>5.9858793324775401E-2</v>
      </c>
      <c r="J829" s="42" t="s">
        <v>532</v>
      </c>
    </row>
    <row r="830" spans="1:12" x14ac:dyDescent="0.25">
      <c r="A830" s="44">
        <v>2018</v>
      </c>
      <c r="B830" s="44" t="s">
        <v>62</v>
      </c>
      <c r="C830" s="44" t="s">
        <v>879</v>
      </c>
      <c r="D830" s="45">
        <v>0.91749999999999998</v>
      </c>
      <c r="E830" s="45">
        <v>1.1506000000000001</v>
      </c>
      <c r="F830" s="45">
        <v>3.895</v>
      </c>
      <c r="G830" s="46">
        <v>0.7644415917843389</v>
      </c>
      <c r="H830" s="46">
        <v>0.70458279845956351</v>
      </c>
      <c r="I830" s="46">
        <v>5.9858793324775394E-2</v>
      </c>
      <c r="J830" s="47" t="s">
        <v>533</v>
      </c>
      <c r="K830" s="48"/>
      <c r="L830" s="48"/>
    </row>
    <row r="831" spans="1:12" s="43" customFormat="1" ht="15" x14ac:dyDescent="0.25">
      <c r="A831" s="38" t="s">
        <v>581</v>
      </c>
      <c r="B831" s="39" t="s">
        <v>63</v>
      </c>
      <c r="C831" s="39" t="s">
        <v>880</v>
      </c>
      <c r="D831" s="40">
        <v>0.21279999999999999</v>
      </c>
      <c r="E831" s="40">
        <v>0.26700000000000002</v>
      </c>
      <c r="F831" s="40">
        <v>65.477999999999994</v>
      </c>
      <c r="G831" s="41">
        <v>0.996750053453068</v>
      </c>
      <c r="H831" s="41">
        <v>0.99592218845345903</v>
      </c>
      <c r="I831" s="41">
        <v>8.2786499960974002E-4</v>
      </c>
      <c r="J831" s="42" t="s">
        <v>532</v>
      </c>
    </row>
    <row r="832" spans="1:12" s="43" customFormat="1" ht="15" x14ac:dyDescent="0.25">
      <c r="A832" s="38" t="s">
        <v>596</v>
      </c>
      <c r="B832" s="39" t="s">
        <v>63</v>
      </c>
      <c r="C832" s="39" t="s">
        <v>1014</v>
      </c>
      <c r="D832" s="40">
        <v>0.21279999999999999</v>
      </c>
      <c r="E832" s="40">
        <v>0.33</v>
      </c>
      <c r="F832" s="40">
        <v>0.90939999999999999</v>
      </c>
      <c r="G832" s="41">
        <v>0.76600384862091098</v>
      </c>
      <c r="H832" s="41">
        <v>0.63712391948440705</v>
      </c>
      <c r="I832" s="41">
        <v>0.12887992913650401</v>
      </c>
      <c r="J832" s="42" t="s">
        <v>532</v>
      </c>
    </row>
    <row r="833" spans="1:12" x14ac:dyDescent="0.25">
      <c r="A833" s="44">
        <v>2018</v>
      </c>
      <c r="B833" s="44" t="s">
        <v>63</v>
      </c>
      <c r="C833" s="44" t="s">
        <v>1876</v>
      </c>
      <c r="D833" s="45">
        <v>0.21279999999999999</v>
      </c>
      <c r="E833" s="45">
        <v>0.29684210526315791</v>
      </c>
      <c r="F833" s="45">
        <v>34.892881578947367</v>
      </c>
      <c r="G833" s="46">
        <v>0.88744921958520417</v>
      </c>
      <c r="H833" s="46">
        <v>0.82596511367864456</v>
      </c>
      <c r="I833" s="46">
        <v>6.1484105906559623E-2</v>
      </c>
      <c r="J833" s="47" t="s">
        <v>533</v>
      </c>
      <c r="K833" s="48"/>
      <c r="L833" s="48"/>
    </row>
    <row r="834" spans="1:12" s="43" customFormat="1" ht="15" x14ac:dyDescent="0.25">
      <c r="A834" s="38" t="s">
        <v>594</v>
      </c>
      <c r="B834" s="39" t="s">
        <v>64</v>
      </c>
      <c r="C834" s="39" t="s">
        <v>867</v>
      </c>
      <c r="D834" s="40">
        <v>0.21829999999999999</v>
      </c>
      <c r="E834" s="40">
        <v>0.25390000000000001</v>
      </c>
      <c r="F834" s="40">
        <v>0.92169999999999996</v>
      </c>
      <c r="G834" s="41">
        <v>0.76316074980411097</v>
      </c>
      <c r="H834" s="41">
        <v>0.72454493400036202</v>
      </c>
      <c r="I834" s="41">
        <v>3.8615815803749197E-2</v>
      </c>
      <c r="J834" s="42" t="s">
        <v>532</v>
      </c>
    </row>
    <row r="835" spans="1:12" x14ac:dyDescent="0.25">
      <c r="A835" s="44">
        <v>2018</v>
      </c>
      <c r="B835" s="44" t="s">
        <v>64</v>
      </c>
      <c r="C835" s="44" t="s">
        <v>867</v>
      </c>
      <c r="D835" s="45">
        <v>0.21829999999999999</v>
      </c>
      <c r="E835" s="45">
        <v>0.25390000000000001</v>
      </c>
      <c r="F835" s="45">
        <v>0.92172222222222233</v>
      </c>
      <c r="G835" s="46">
        <v>0.76316074980411075</v>
      </c>
      <c r="H835" s="46">
        <v>0.72454493400036146</v>
      </c>
      <c r="I835" s="46">
        <v>3.8615815803749176E-2</v>
      </c>
      <c r="J835" s="47" t="s">
        <v>533</v>
      </c>
      <c r="K835" s="48"/>
      <c r="L835" s="48"/>
    </row>
    <row r="836" spans="1:12" s="43" customFormat="1" ht="15" x14ac:dyDescent="0.25">
      <c r="A836" s="38" t="s">
        <v>594</v>
      </c>
      <c r="B836" s="39" t="s">
        <v>65</v>
      </c>
      <c r="C836" s="39" t="s">
        <v>868</v>
      </c>
      <c r="D836" s="40">
        <v>0.98880000000000001</v>
      </c>
      <c r="E836" s="40">
        <v>1.1311</v>
      </c>
      <c r="F836" s="40">
        <v>3.8820000000000001</v>
      </c>
      <c r="G836" s="41">
        <v>0.74528593508500796</v>
      </c>
      <c r="H836" s="41">
        <v>0.70862957238536795</v>
      </c>
      <c r="I836" s="41">
        <v>3.6656362699639303E-2</v>
      </c>
      <c r="J836" s="42" t="s">
        <v>532</v>
      </c>
    </row>
    <row r="837" spans="1:12" s="43" customFormat="1" ht="15" x14ac:dyDescent="0.25">
      <c r="A837" s="38" t="s">
        <v>595</v>
      </c>
      <c r="B837" s="39" t="s">
        <v>65</v>
      </c>
      <c r="C837" s="39" t="s">
        <v>995</v>
      </c>
      <c r="D837" s="40">
        <v>0.98880000000000001</v>
      </c>
      <c r="E837" s="40">
        <v>1.0286999999999999</v>
      </c>
      <c r="F837" s="40">
        <v>3.8820000000000001</v>
      </c>
      <c r="G837" s="41">
        <v>0.74528593508500796</v>
      </c>
      <c r="H837" s="41">
        <v>0.73500772797527003</v>
      </c>
      <c r="I837" s="41">
        <v>1.02782071097373E-2</v>
      </c>
      <c r="J837" s="42" t="s">
        <v>532</v>
      </c>
    </row>
    <row r="838" spans="1:12" x14ac:dyDescent="0.25">
      <c r="A838" s="44">
        <v>2018</v>
      </c>
      <c r="B838" s="44" t="s">
        <v>65</v>
      </c>
      <c r="C838" s="44" t="s">
        <v>1114</v>
      </c>
      <c r="D838" s="45">
        <v>0.98880000000000001</v>
      </c>
      <c r="E838" s="45">
        <v>1.0429410596026489</v>
      </c>
      <c r="F838" s="45">
        <v>3.8819999999999997</v>
      </c>
      <c r="G838" s="46">
        <v>0.74528593508500784</v>
      </c>
      <c r="H838" s="46">
        <v>0.73133924276078077</v>
      </c>
      <c r="I838" s="46">
        <v>1.3946692324226951E-2</v>
      </c>
      <c r="J838" s="47" t="s">
        <v>533</v>
      </c>
      <c r="K838" s="48"/>
      <c r="L838" s="48"/>
    </row>
    <row r="839" spans="1:12" s="43" customFormat="1" ht="15" x14ac:dyDescent="0.25">
      <c r="A839" s="38" t="s">
        <v>613</v>
      </c>
      <c r="B839" s="39" t="s">
        <v>66</v>
      </c>
      <c r="C839" s="39" t="s">
        <v>978</v>
      </c>
      <c r="D839" s="40">
        <v>1.8084</v>
      </c>
      <c r="E839" s="40">
        <v>2.2856000000000001</v>
      </c>
      <c r="F839" s="40">
        <v>6.47</v>
      </c>
      <c r="G839" s="41">
        <v>0.72049459041731101</v>
      </c>
      <c r="H839" s="41">
        <v>0.64673879443585802</v>
      </c>
      <c r="I839" s="41">
        <v>7.3755795981452904E-2</v>
      </c>
      <c r="J839" s="42" t="s">
        <v>532</v>
      </c>
    </row>
    <row r="840" spans="1:12" x14ac:dyDescent="0.25">
      <c r="A840" s="44">
        <v>2018</v>
      </c>
      <c r="B840" s="44" t="s">
        <v>66</v>
      </c>
      <c r="C840" s="44" t="s">
        <v>978</v>
      </c>
      <c r="D840" s="45">
        <v>1.8084</v>
      </c>
      <c r="E840" s="45">
        <v>2.2856000000000001</v>
      </c>
      <c r="F840" s="45">
        <v>6.47</v>
      </c>
      <c r="G840" s="46">
        <v>0.72049459041731068</v>
      </c>
      <c r="H840" s="46">
        <v>0.6467387944358578</v>
      </c>
      <c r="I840" s="46">
        <v>7.3755795981452876E-2</v>
      </c>
      <c r="J840" s="47" t="s">
        <v>533</v>
      </c>
      <c r="K840" s="48"/>
      <c r="L840" s="48"/>
    </row>
    <row r="841" spans="1:12" s="43" customFormat="1" ht="15" x14ac:dyDescent="0.25">
      <c r="A841" s="38" t="s">
        <v>565</v>
      </c>
      <c r="B841" s="39" t="s">
        <v>67</v>
      </c>
      <c r="C841" s="39" t="s">
        <v>788</v>
      </c>
      <c r="D841" s="40">
        <v>0.55610000000000004</v>
      </c>
      <c r="E841" s="40">
        <v>0.82389999999999997</v>
      </c>
      <c r="F841" s="40">
        <v>1.875</v>
      </c>
      <c r="G841" s="41">
        <v>0.703413333333333</v>
      </c>
      <c r="H841" s="41">
        <v>0.56058666666666701</v>
      </c>
      <c r="I841" s="41">
        <v>0.14282666666666699</v>
      </c>
      <c r="J841" s="42" t="s">
        <v>532</v>
      </c>
    </row>
    <row r="842" spans="1:12" s="43" customFormat="1" ht="15" x14ac:dyDescent="0.25">
      <c r="A842" s="38" t="s">
        <v>571</v>
      </c>
      <c r="B842" s="39" t="s">
        <v>67</v>
      </c>
      <c r="C842" s="39" t="s">
        <v>1240</v>
      </c>
      <c r="D842" s="40">
        <v>0.43090000000000001</v>
      </c>
      <c r="E842" s="40">
        <v>0.78420000000000001</v>
      </c>
      <c r="F842" s="40">
        <v>1.875</v>
      </c>
      <c r="G842" s="41">
        <v>0.77018666666666702</v>
      </c>
      <c r="H842" s="41">
        <v>0.58176000000000005</v>
      </c>
      <c r="I842" s="41">
        <v>0.18842666666666699</v>
      </c>
      <c r="J842" s="42" t="s">
        <v>532</v>
      </c>
    </row>
    <row r="843" spans="1:12" x14ac:dyDescent="0.25">
      <c r="A843" s="44">
        <v>2018</v>
      </c>
      <c r="B843" s="44" t="s">
        <v>67</v>
      </c>
      <c r="C843" s="44" t="s">
        <v>1234</v>
      </c>
      <c r="D843" s="45">
        <v>0.49440724637681166</v>
      </c>
      <c r="E843" s="45">
        <v>0.80433768115942028</v>
      </c>
      <c r="F843" s="45">
        <v>1.875</v>
      </c>
      <c r="G843" s="46">
        <v>0.73631613526570061</v>
      </c>
      <c r="H843" s="46">
        <v>0.57101990338164255</v>
      </c>
      <c r="I843" s="46">
        <v>0.16529623188405806</v>
      </c>
      <c r="J843" s="47" t="s">
        <v>533</v>
      </c>
      <c r="K843" s="48"/>
      <c r="L843" s="48"/>
    </row>
    <row r="844" spans="1:12" s="43" customFormat="1" ht="15" x14ac:dyDescent="0.25">
      <c r="A844" s="38" t="s">
        <v>559</v>
      </c>
      <c r="B844" s="39" t="s">
        <v>68</v>
      </c>
      <c r="C844" s="39" t="s">
        <v>822</v>
      </c>
      <c r="D844" s="40">
        <v>0.15579999999999999</v>
      </c>
      <c r="E844" s="40">
        <v>1.1346000000000001</v>
      </c>
      <c r="F844" s="40">
        <v>2.2650000000000001</v>
      </c>
      <c r="G844" s="41">
        <v>0.93119941133186201</v>
      </c>
      <c r="H844" s="41">
        <v>0.49907284768211901</v>
      </c>
      <c r="I844" s="41">
        <v>0.432126563649742</v>
      </c>
      <c r="J844" s="42" t="s">
        <v>532</v>
      </c>
    </row>
    <row r="845" spans="1:12" s="43" customFormat="1" ht="15" x14ac:dyDescent="0.25">
      <c r="A845" s="38" t="s">
        <v>571</v>
      </c>
      <c r="B845" s="39" t="s">
        <v>68</v>
      </c>
      <c r="C845" s="39" t="s">
        <v>1241</v>
      </c>
      <c r="D845" s="40">
        <v>0.9</v>
      </c>
      <c r="E845" s="40">
        <v>1.8240000000000001</v>
      </c>
      <c r="F845" s="40">
        <v>2.2650000000000001</v>
      </c>
      <c r="G845" s="41">
        <v>0.60264900662251697</v>
      </c>
      <c r="H845" s="41">
        <v>0.194701986754967</v>
      </c>
      <c r="I845" s="41">
        <v>0.40794701986755</v>
      </c>
      <c r="J845" s="42" t="s">
        <v>532</v>
      </c>
    </row>
    <row r="846" spans="1:12" x14ac:dyDescent="0.25">
      <c r="A846" s="44">
        <v>2018</v>
      </c>
      <c r="B846" s="44" t="s">
        <v>68</v>
      </c>
      <c r="C846" s="44" t="s">
        <v>1015</v>
      </c>
      <c r="D846" s="45">
        <v>0.27983333333333332</v>
      </c>
      <c r="E846" s="45">
        <v>1.2495000000000001</v>
      </c>
      <c r="F846" s="45">
        <v>2.2650000000000001</v>
      </c>
      <c r="G846" s="46">
        <v>0.8764410105469711</v>
      </c>
      <c r="H846" s="46">
        <v>0.44834437086092715</v>
      </c>
      <c r="I846" s="46">
        <v>0.42809663968604372</v>
      </c>
      <c r="J846" s="47" t="s">
        <v>533</v>
      </c>
      <c r="K846" s="48"/>
      <c r="L846" s="48"/>
    </row>
    <row r="847" spans="1:12" s="43" customFormat="1" ht="15" x14ac:dyDescent="0.25">
      <c r="A847" s="38" t="s">
        <v>677</v>
      </c>
      <c r="B847" s="39" t="s">
        <v>69</v>
      </c>
      <c r="C847" s="39" t="s">
        <v>925</v>
      </c>
      <c r="D847" s="40">
        <v>1.6584000000000001</v>
      </c>
      <c r="E847" s="40">
        <v>1.8998999999999999</v>
      </c>
      <c r="F847" s="40">
        <v>5.4169999999999998</v>
      </c>
      <c r="G847" s="41">
        <v>0.69385268598855399</v>
      </c>
      <c r="H847" s="41">
        <v>0.649280044304966</v>
      </c>
      <c r="I847" s="41">
        <v>4.4572641683588703E-2</v>
      </c>
      <c r="J847" s="42" t="s">
        <v>532</v>
      </c>
    </row>
    <row r="848" spans="1:12" s="43" customFormat="1" ht="15" x14ac:dyDescent="0.25">
      <c r="A848" s="38" t="s">
        <v>592</v>
      </c>
      <c r="B848" s="39" t="s">
        <v>69</v>
      </c>
      <c r="C848" s="39" t="s">
        <v>1000</v>
      </c>
      <c r="D848" s="40">
        <v>1.6584000000000001</v>
      </c>
      <c r="E848" s="40">
        <v>1.7663</v>
      </c>
      <c r="F848" s="40">
        <v>5.4169999999999998</v>
      </c>
      <c r="G848" s="41">
        <v>0.69385268598855399</v>
      </c>
      <c r="H848" s="41">
        <v>0.67394314196049498</v>
      </c>
      <c r="I848" s="41">
        <v>1.9909544028059899E-2</v>
      </c>
      <c r="J848" s="42" t="s">
        <v>532</v>
      </c>
    </row>
    <row r="849" spans="1:12" x14ac:dyDescent="0.25">
      <c r="A849" s="44">
        <v>2018</v>
      </c>
      <c r="B849" s="44" t="s">
        <v>69</v>
      </c>
      <c r="C849" s="44" t="s">
        <v>1892</v>
      </c>
      <c r="D849" s="45">
        <v>1.6584000000000003</v>
      </c>
      <c r="E849" s="45">
        <v>1.8775760925449871</v>
      </c>
      <c r="F849" s="45">
        <v>5.4169999999999998</v>
      </c>
      <c r="G849" s="46">
        <v>0.69385268598855443</v>
      </c>
      <c r="H849" s="46">
        <v>0.65340112746077406</v>
      </c>
      <c r="I849" s="46">
        <v>4.0451558527780505E-2</v>
      </c>
      <c r="J849" s="47" t="s">
        <v>533</v>
      </c>
      <c r="K849" s="48"/>
      <c r="L849" s="48"/>
    </row>
    <row r="850" spans="1:12" s="43" customFormat="1" ht="15" x14ac:dyDescent="0.25">
      <c r="A850" s="38" t="s">
        <v>675</v>
      </c>
      <c r="B850" s="39" t="s">
        <v>70</v>
      </c>
      <c r="C850" s="39" t="s">
        <v>913</v>
      </c>
      <c r="D850" s="40">
        <v>1.7166999999999999</v>
      </c>
      <c r="E850" s="40">
        <v>1.9898</v>
      </c>
      <c r="F850" s="40">
        <v>5.4160000000000004</v>
      </c>
      <c r="G850" s="41">
        <v>0.68303175775480096</v>
      </c>
      <c r="H850" s="41">
        <v>0.632607090103397</v>
      </c>
      <c r="I850" s="41">
        <v>5.0424667651403202E-2</v>
      </c>
      <c r="J850" s="42" t="s">
        <v>532</v>
      </c>
    </row>
    <row r="851" spans="1:12" s="43" customFormat="1" ht="15" x14ac:dyDescent="0.25">
      <c r="A851" s="38" t="s">
        <v>592</v>
      </c>
      <c r="B851" s="39" t="s">
        <v>70</v>
      </c>
      <c r="C851" s="39" t="s">
        <v>753</v>
      </c>
      <c r="D851" s="40">
        <v>1.7166999999999999</v>
      </c>
      <c r="E851" s="40">
        <v>1.8474999999999999</v>
      </c>
      <c r="F851" s="40">
        <v>5.4160000000000004</v>
      </c>
      <c r="G851" s="41">
        <v>0.68303175775480096</v>
      </c>
      <c r="H851" s="41">
        <v>0.65888724766125095</v>
      </c>
      <c r="I851" s="41">
        <v>2.4144510093549999E-2</v>
      </c>
      <c r="J851" s="42" t="s">
        <v>532</v>
      </c>
    </row>
    <row r="852" spans="1:12" x14ac:dyDescent="0.25">
      <c r="A852" s="44">
        <v>2018</v>
      </c>
      <c r="B852" s="44" t="s">
        <v>70</v>
      </c>
      <c r="C852" s="44" t="s">
        <v>981</v>
      </c>
      <c r="D852" s="45">
        <v>1.7166999999999999</v>
      </c>
      <c r="E852" s="45">
        <v>1.9841254601226992</v>
      </c>
      <c r="F852" s="45">
        <v>5.4160000000000004</v>
      </c>
      <c r="G852" s="46">
        <v>0.68303175775480063</v>
      </c>
      <c r="H852" s="46">
        <v>0.63365507184650205</v>
      </c>
      <c r="I852" s="46">
        <v>4.9376685908298606E-2</v>
      </c>
      <c r="J852" s="47" t="s">
        <v>533</v>
      </c>
      <c r="K852" s="48"/>
      <c r="L852" s="48"/>
    </row>
    <row r="853" spans="1:12" s="43" customFormat="1" ht="15" x14ac:dyDescent="0.25">
      <c r="A853" s="38" t="s">
        <v>680</v>
      </c>
      <c r="B853" s="39" t="s">
        <v>71</v>
      </c>
      <c r="C853" s="39" t="s">
        <v>952</v>
      </c>
      <c r="D853" s="40">
        <v>1.6605000000000001</v>
      </c>
      <c r="E853" s="40">
        <v>1.9574</v>
      </c>
      <c r="F853" s="40">
        <v>5.5609999999999999</v>
      </c>
      <c r="G853" s="41">
        <v>0.70140262542708098</v>
      </c>
      <c r="H853" s="41">
        <v>0.64800695318587798</v>
      </c>
      <c r="I853" s="41">
        <v>5.3395672241203597E-2</v>
      </c>
      <c r="J853" s="42" t="s">
        <v>532</v>
      </c>
    </row>
    <row r="854" spans="1:12" s="43" customFormat="1" ht="15" x14ac:dyDescent="0.25">
      <c r="A854" s="38" t="s">
        <v>607</v>
      </c>
      <c r="B854" s="39" t="s">
        <v>71</v>
      </c>
      <c r="C854" s="39" t="s">
        <v>1031</v>
      </c>
      <c r="D854" s="40">
        <v>1.6605000000000001</v>
      </c>
      <c r="E854" s="40">
        <v>1.7055</v>
      </c>
      <c r="F854" s="40">
        <v>5.5609999999999999</v>
      </c>
      <c r="G854" s="41">
        <v>0.70140262542708098</v>
      </c>
      <c r="H854" s="41">
        <v>0.69331355271833595</v>
      </c>
      <c r="I854" s="41">
        <v>8.0890727087453707E-3</v>
      </c>
      <c r="J854" s="42" t="s">
        <v>532</v>
      </c>
    </row>
    <row r="855" spans="1:12" x14ac:dyDescent="0.25">
      <c r="A855" s="44">
        <v>2018</v>
      </c>
      <c r="B855" s="44" t="s">
        <v>71</v>
      </c>
      <c r="C855" s="44" t="s">
        <v>1906</v>
      </c>
      <c r="D855" s="45">
        <v>1.6605000000000001</v>
      </c>
      <c r="E855" s="45">
        <v>1.8195524429967427</v>
      </c>
      <c r="F855" s="45">
        <v>5.5609999999999999</v>
      </c>
      <c r="G855" s="46">
        <v>0.70140262542708143</v>
      </c>
      <c r="H855" s="46">
        <v>0.67280014120363996</v>
      </c>
      <c r="I855" s="46">
        <v>2.8602484223441429E-2</v>
      </c>
      <c r="J855" s="47" t="s">
        <v>533</v>
      </c>
      <c r="K855" s="48"/>
      <c r="L855" s="48"/>
    </row>
    <row r="856" spans="1:12" s="43" customFormat="1" ht="15" x14ac:dyDescent="0.25">
      <c r="A856" s="38" t="s">
        <v>680</v>
      </c>
      <c r="B856" s="39" t="s">
        <v>72</v>
      </c>
      <c r="C856" s="39" t="s">
        <v>953</v>
      </c>
      <c r="D856" s="40">
        <v>1.6618999999999999</v>
      </c>
      <c r="E856" s="40">
        <v>1.6138999999999999</v>
      </c>
      <c r="F856" s="40">
        <v>5.4770000000000003</v>
      </c>
      <c r="G856" s="41">
        <v>0.69656746394011304</v>
      </c>
      <c r="H856" s="41">
        <v>0.70533747185198703</v>
      </c>
      <c r="I856" s="41">
        <v>-8.7700079118739893E-3</v>
      </c>
      <c r="J856" s="42" t="s">
        <v>532</v>
      </c>
    </row>
    <row r="857" spans="1:12" s="43" customFormat="1" ht="15" x14ac:dyDescent="0.25">
      <c r="A857" s="38" t="s">
        <v>682</v>
      </c>
      <c r="B857" s="39" t="s">
        <v>72</v>
      </c>
      <c r="C857" s="39" t="s">
        <v>965</v>
      </c>
      <c r="D857" s="40">
        <v>1.6618999999999999</v>
      </c>
      <c r="E857" s="40">
        <v>1.8301000000000001</v>
      </c>
      <c r="F857" s="40">
        <v>5.4770000000000003</v>
      </c>
      <c r="G857" s="41">
        <v>0.69656746394011304</v>
      </c>
      <c r="H857" s="41">
        <v>0.66585113504960103</v>
      </c>
      <c r="I857" s="41">
        <v>3.0716328890511801E-2</v>
      </c>
      <c r="J857" s="42" t="s">
        <v>532</v>
      </c>
    </row>
    <row r="858" spans="1:12" s="43" customFormat="1" ht="15" x14ac:dyDescent="0.25">
      <c r="A858" s="38" t="s">
        <v>607</v>
      </c>
      <c r="B858" s="39" t="s">
        <v>72</v>
      </c>
      <c r="C858" s="39" t="s">
        <v>1032</v>
      </c>
      <c r="D858" s="40">
        <v>1.6618999999999999</v>
      </c>
      <c r="E858" s="40">
        <v>1.7165999999999999</v>
      </c>
      <c r="F858" s="40">
        <v>5.4770000000000003</v>
      </c>
      <c r="G858" s="41">
        <v>0.69656746394011304</v>
      </c>
      <c r="H858" s="41">
        <v>0.68657720163106295</v>
      </c>
      <c r="I858" s="41">
        <v>9.9902623090499798E-3</v>
      </c>
      <c r="J858" s="42" t="s">
        <v>532</v>
      </c>
    </row>
    <row r="859" spans="1:12" x14ac:dyDescent="0.25">
      <c r="A859" s="44">
        <v>2018</v>
      </c>
      <c r="B859" s="44" t="s">
        <v>72</v>
      </c>
      <c r="C859" s="44" t="s">
        <v>1907</v>
      </c>
      <c r="D859" s="45">
        <v>1.6618999999999999</v>
      </c>
      <c r="E859" s="45">
        <v>1.727056834532374</v>
      </c>
      <c r="F859" s="45">
        <v>5.4770000000000003</v>
      </c>
      <c r="G859" s="46">
        <v>0.69656746394011315</v>
      </c>
      <c r="H859" s="46">
        <v>0.68466952930261238</v>
      </c>
      <c r="I859" s="46">
        <v>1.1897934637500843E-2</v>
      </c>
      <c r="J859" s="47" t="s">
        <v>533</v>
      </c>
      <c r="K859" s="48"/>
      <c r="L859" s="48"/>
    </row>
    <row r="860" spans="1:12" s="43" customFormat="1" ht="15" x14ac:dyDescent="0.25">
      <c r="A860" s="38" t="s">
        <v>681</v>
      </c>
      <c r="B860" s="39" t="s">
        <v>73</v>
      </c>
      <c r="C860" s="39" t="s">
        <v>959</v>
      </c>
      <c r="D860" s="40">
        <v>1.7438</v>
      </c>
      <c r="E860" s="40">
        <v>2.0263</v>
      </c>
      <c r="F860" s="40">
        <v>5.9669999999999996</v>
      </c>
      <c r="G860" s="41">
        <v>0.707759343053461</v>
      </c>
      <c r="H860" s="41">
        <v>0.66041561923914904</v>
      </c>
      <c r="I860" s="41">
        <v>4.7343723814312101E-2</v>
      </c>
      <c r="J860" s="42" t="s">
        <v>532</v>
      </c>
    </row>
    <row r="861" spans="1:12" s="43" customFormat="1" ht="15" x14ac:dyDescent="0.25">
      <c r="A861" s="38" t="s">
        <v>609</v>
      </c>
      <c r="B861" s="39" t="s">
        <v>73</v>
      </c>
      <c r="C861" s="39" t="s">
        <v>1024</v>
      </c>
      <c r="D861" s="40">
        <v>1.7438</v>
      </c>
      <c r="E861" s="40">
        <v>1.6091</v>
      </c>
      <c r="F861" s="40">
        <v>5.9669999999999996</v>
      </c>
      <c r="G861" s="41">
        <v>0.707759343053461</v>
      </c>
      <c r="H861" s="41">
        <v>0.73033908720183205</v>
      </c>
      <c r="I861" s="41">
        <v>-2.2579744148371501E-2</v>
      </c>
      <c r="J861" s="42" t="s">
        <v>532</v>
      </c>
    </row>
    <row r="862" spans="1:12" x14ac:dyDescent="0.25">
      <c r="A862" s="44">
        <v>2018</v>
      </c>
      <c r="B862" s="44" t="s">
        <v>73</v>
      </c>
      <c r="C862" s="44" t="s">
        <v>1911</v>
      </c>
      <c r="D862" s="45">
        <v>1.7438</v>
      </c>
      <c r="E862" s="45">
        <v>1.8676213675213673</v>
      </c>
      <c r="F862" s="45">
        <v>5.9669999999999996</v>
      </c>
      <c r="G862" s="46">
        <v>0.70775934305346067</v>
      </c>
      <c r="H862" s="46">
        <v>0.68701044252410093</v>
      </c>
      <c r="I862" s="46">
        <v>2.0748900529359772E-2</v>
      </c>
      <c r="J862" s="47" t="s">
        <v>533</v>
      </c>
      <c r="K862" s="48"/>
      <c r="L862" s="48"/>
    </row>
    <row r="863" spans="1:12" s="43" customFormat="1" ht="15" x14ac:dyDescent="0.25">
      <c r="A863" s="38" t="s">
        <v>594</v>
      </c>
      <c r="B863" s="39" t="s">
        <v>74</v>
      </c>
      <c r="C863" s="39" t="s">
        <v>869</v>
      </c>
      <c r="D863" s="40">
        <v>1.258</v>
      </c>
      <c r="E863" s="40">
        <v>2.1591999999999998</v>
      </c>
      <c r="F863" s="40">
        <v>3.2469999999999999</v>
      </c>
      <c r="G863" s="41">
        <v>0.61256544502617805</v>
      </c>
      <c r="H863" s="41">
        <v>0.335020360674811</v>
      </c>
      <c r="I863" s="41">
        <v>0.27754508435136699</v>
      </c>
      <c r="J863" s="42" t="s">
        <v>532</v>
      </c>
    </row>
    <row r="864" spans="1:12" x14ac:dyDescent="0.25">
      <c r="A864" s="44">
        <v>2018</v>
      </c>
      <c r="B864" s="44" t="s">
        <v>74</v>
      </c>
      <c r="C864" s="44" t="s">
        <v>869</v>
      </c>
      <c r="D864" s="45">
        <v>1.258</v>
      </c>
      <c r="E864" s="45">
        <v>2.1591999999999998</v>
      </c>
      <c r="F864" s="45">
        <v>3.2470000000000003</v>
      </c>
      <c r="G864" s="46">
        <v>0.61256544502617805</v>
      </c>
      <c r="H864" s="46">
        <v>0.33502036067481089</v>
      </c>
      <c r="I864" s="46">
        <v>0.27754508435136716</v>
      </c>
      <c r="J864" s="47" t="s">
        <v>533</v>
      </c>
      <c r="K864" s="48"/>
      <c r="L864" s="48"/>
    </row>
    <row r="865" spans="1:12" s="43" customFormat="1" ht="15" x14ac:dyDescent="0.25">
      <c r="A865" s="38" t="s">
        <v>613</v>
      </c>
      <c r="B865" s="39" t="s">
        <v>75</v>
      </c>
      <c r="C865" s="39" t="s">
        <v>979</v>
      </c>
      <c r="D865" s="40">
        <v>2.3018000000000001</v>
      </c>
      <c r="E865" s="40">
        <v>2.9965000000000002</v>
      </c>
      <c r="F865" s="40">
        <v>5.8056999999999999</v>
      </c>
      <c r="G865" s="41">
        <v>0.60353098221590695</v>
      </c>
      <c r="H865" s="41">
        <v>0.48387374585540199</v>
      </c>
      <c r="I865" s="41">
        <v>0.119657236360505</v>
      </c>
      <c r="J865" s="42" t="s">
        <v>532</v>
      </c>
    </row>
    <row r="866" spans="1:12" x14ac:dyDescent="0.25">
      <c r="A866" s="44">
        <v>2018</v>
      </c>
      <c r="B866" s="44" t="s">
        <v>75</v>
      </c>
      <c r="C866" s="44" t="s">
        <v>979</v>
      </c>
      <c r="D866" s="45">
        <v>2.3018000000000001</v>
      </c>
      <c r="E866" s="45">
        <v>2.9965000000000002</v>
      </c>
      <c r="F866" s="45">
        <v>5.8057499999999997</v>
      </c>
      <c r="G866" s="46">
        <v>0.60353098221590662</v>
      </c>
      <c r="H866" s="46">
        <v>0.48387374585540199</v>
      </c>
      <c r="I866" s="46">
        <v>0.11965723636050468</v>
      </c>
      <c r="J866" s="47" t="s">
        <v>533</v>
      </c>
      <c r="K866" s="48"/>
      <c r="L866" s="48"/>
    </row>
    <row r="867" spans="1:12" s="43" customFormat="1" ht="15" x14ac:dyDescent="0.25">
      <c r="A867" s="38" t="s">
        <v>613</v>
      </c>
      <c r="B867" s="39" t="s">
        <v>76</v>
      </c>
      <c r="C867" s="39" t="s">
        <v>980</v>
      </c>
      <c r="D867" s="40">
        <v>1.5212000000000001</v>
      </c>
      <c r="E867" s="40">
        <v>1.8747</v>
      </c>
      <c r="F867" s="40">
        <v>8.6266999999999996</v>
      </c>
      <c r="G867" s="41">
        <v>0.82366476367113906</v>
      </c>
      <c r="H867" s="41">
        <v>0.782687570637842</v>
      </c>
      <c r="I867" s="41">
        <v>4.0977193033297603E-2</v>
      </c>
      <c r="J867" s="42" t="s">
        <v>532</v>
      </c>
    </row>
    <row r="868" spans="1:12" x14ac:dyDescent="0.25">
      <c r="A868" s="44">
        <v>2018</v>
      </c>
      <c r="B868" s="44" t="s">
        <v>76</v>
      </c>
      <c r="C868" s="44" t="s">
        <v>980</v>
      </c>
      <c r="D868" s="45">
        <v>1.5212000000000001</v>
      </c>
      <c r="E868" s="45">
        <v>1.8747</v>
      </c>
      <c r="F868" s="45">
        <v>8.6267499999999995</v>
      </c>
      <c r="G868" s="46">
        <v>0.82366476367113917</v>
      </c>
      <c r="H868" s="46">
        <v>0.78268757063784156</v>
      </c>
      <c r="I868" s="46">
        <v>4.097719303329761E-2</v>
      </c>
      <c r="J868" s="47" t="s">
        <v>533</v>
      </c>
      <c r="K868" s="48"/>
      <c r="L868" s="48"/>
    </row>
    <row r="869" spans="1:12" s="43" customFormat="1" ht="15" x14ac:dyDescent="0.25">
      <c r="A869" s="38" t="s">
        <v>613</v>
      </c>
      <c r="B869" s="39" t="s">
        <v>77</v>
      </c>
      <c r="C869" s="39" t="s">
        <v>981</v>
      </c>
      <c r="D869" s="40">
        <v>1.9990000000000001</v>
      </c>
      <c r="E869" s="40">
        <v>2.0785</v>
      </c>
      <c r="F869" s="40">
        <v>5.99</v>
      </c>
      <c r="G869" s="41">
        <v>0.66627712854757903</v>
      </c>
      <c r="H869" s="41">
        <v>0.65301335559265405</v>
      </c>
      <c r="I869" s="41">
        <v>1.3263772954925E-2</v>
      </c>
      <c r="J869" s="42" t="s">
        <v>532</v>
      </c>
    </row>
    <row r="870" spans="1:12" s="43" customFormat="1" ht="15" x14ac:dyDescent="0.25">
      <c r="A870" s="38" t="s">
        <v>612</v>
      </c>
      <c r="B870" s="39" t="s">
        <v>77</v>
      </c>
      <c r="C870" s="39" t="s">
        <v>796</v>
      </c>
      <c r="D870" s="40">
        <v>1.9990000000000001</v>
      </c>
      <c r="E870" s="40">
        <v>2.069</v>
      </c>
      <c r="F870" s="40">
        <v>5.99</v>
      </c>
      <c r="G870" s="41">
        <v>0.66627712854757903</v>
      </c>
      <c r="H870" s="41">
        <v>0.65459933222036704</v>
      </c>
      <c r="I870" s="41">
        <v>1.16777963272121E-2</v>
      </c>
      <c r="J870" s="42" t="s">
        <v>532</v>
      </c>
    </row>
    <row r="871" spans="1:12" x14ac:dyDescent="0.25">
      <c r="A871" s="44">
        <v>2018</v>
      </c>
      <c r="B871" s="44" t="s">
        <v>77</v>
      </c>
      <c r="C871" s="44" t="s">
        <v>1919</v>
      </c>
      <c r="D871" s="45">
        <v>1.9990000000000001</v>
      </c>
      <c r="E871" s="45">
        <v>2.0774617486338798</v>
      </c>
      <c r="F871" s="45">
        <v>5.99</v>
      </c>
      <c r="G871" s="46">
        <v>0.66627712854757926</v>
      </c>
      <c r="H871" s="46">
        <v>0.65318668637163946</v>
      </c>
      <c r="I871" s="46">
        <v>1.3090442175939968E-2</v>
      </c>
      <c r="J871" s="47" t="s">
        <v>533</v>
      </c>
      <c r="K871" s="48"/>
      <c r="L871" s="48"/>
    </row>
    <row r="872" spans="1:12" s="43" customFormat="1" ht="15" x14ac:dyDescent="0.25">
      <c r="A872" s="38" t="s">
        <v>557</v>
      </c>
      <c r="B872" s="39" t="s">
        <v>78</v>
      </c>
      <c r="C872" s="39" t="s">
        <v>759</v>
      </c>
      <c r="D872" s="40">
        <v>4.3785999999999996</v>
      </c>
      <c r="E872" s="40">
        <v>6.6512000000000002</v>
      </c>
      <c r="F872" s="40">
        <v>18.584</v>
      </c>
      <c r="G872" s="41">
        <v>0.76438872148084402</v>
      </c>
      <c r="H872" s="41">
        <v>0.64210073181231198</v>
      </c>
      <c r="I872" s="41">
        <v>0.12228798966853199</v>
      </c>
      <c r="J872" s="42" t="s">
        <v>532</v>
      </c>
    </row>
    <row r="873" spans="1:12" x14ac:dyDescent="0.25">
      <c r="A873" s="44">
        <v>2018</v>
      </c>
      <c r="B873" s="44" t="s">
        <v>78</v>
      </c>
      <c r="C873" s="44" t="s">
        <v>759</v>
      </c>
      <c r="D873" s="45">
        <v>4.3785999999999996</v>
      </c>
      <c r="E873" s="45">
        <v>6.6512000000000002</v>
      </c>
      <c r="F873" s="45">
        <v>18.584</v>
      </c>
      <c r="G873" s="46">
        <v>0.7643887214808438</v>
      </c>
      <c r="H873" s="46">
        <v>0.64210073181231164</v>
      </c>
      <c r="I873" s="46">
        <v>0.12228798966853216</v>
      </c>
      <c r="J873" s="47" t="s">
        <v>533</v>
      </c>
      <c r="K873" s="48"/>
      <c r="L873" s="48"/>
    </row>
    <row r="874" spans="1:12" s="43" customFormat="1" ht="15" x14ac:dyDescent="0.25">
      <c r="A874" s="38" t="s">
        <v>557</v>
      </c>
      <c r="B874" s="39" t="s">
        <v>79</v>
      </c>
      <c r="C874" s="39" t="s">
        <v>760</v>
      </c>
      <c r="D874" s="40">
        <v>3.9895</v>
      </c>
      <c r="E874" s="40">
        <v>3.6576</v>
      </c>
      <c r="F874" s="40">
        <v>15.539</v>
      </c>
      <c r="G874" s="41">
        <v>0.743258896968917</v>
      </c>
      <c r="H874" s="41">
        <v>0.76461805779007597</v>
      </c>
      <c r="I874" s="41">
        <v>-2.1359160821159601E-2</v>
      </c>
      <c r="J874" s="42" t="s">
        <v>532</v>
      </c>
    </row>
    <row r="875" spans="1:12" x14ac:dyDescent="0.25">
      <c r="A875" s="44">
        <v>2018</v>
      </c>
      <c r="B875" s="44" t="s">
        <v>79</v>
      </c>
      <c r="C875" s="44" t="s">
        <v>760</v>
      </c>
      <c r="D875" s="45">
        <v>3.9895</v>
      </c>
      <c r="E875" s="45">
        <v>3.6576</v>
      </c>
      <c r="F875" s="45">
        <v>15.539</v>
      </c>
      <c r="G875" s="46">
        <v>0.74325889696891712</v>
      </c>
      <c r="H875" s="46">
        <v>0.76461805779007641</v>
      </c>
      <c r="I875" s="46">
        <v>-2.1359160821159628E-2</v>
      </c>
      <c r="J875" s="47" t="s">
        <v>533</v>
      </c>
      <c r="K875" s="48"/>
      <c r="L875" s="48"/>
    </row>
    <row r="876" spans="1:12" s="43" customFormat="1" ht="15" x14ac:dyDescent="0.25">
      <c r="A876" s="38" t="s">
        <v>566</v>
      </c>
      <c r="B876" s="39" t="s">
        <v>80</v>
      </c>
      <c r="C876" s="39" t="s">
        <v>776</v>
      </c>
      <c r="D876" s="40">
        <v>4.6836000000000002</v>
      </c>
      <c r="E876" s="40">
        <v>6.9153000000000002</v>
      </c>
      <c r="F876" s="40">
        <v>16.216000000000001</v>
      </c>
      <c r="G876" s="41">
        <v>0.71117414898865305</v>
      </c>
      <c r="H876" s="41">
        <v>0.57355081401085395</v>
      </c>
      <c r="I876" s="41">
        <v>0.13762333497779999</v>
      </c>
      <c r="J876" s="42" t="s">
        <v>532</v>
      </c>
    </row>
    <row r="877" spans="1:12" x14ac:dyDescent="0.25">
      <c r="A877" s="44">
        <v>2018</v>
      </c>
      <c r="B877" s="44" t="s">
        <v>80</v>
      </c>
      <c r="C877" s="44" t="s">
        <v>776</v>
      </c>
      <c r="D877" s="45">
        <v>4.6836000000000002</v>
      </c>
      <c r="E877" s="45">
        <v>6.9152999999999993</v>
      </c>
      <c r="F877" s="45">
        <v>16.216000000000001</v>
      </c>
      <c r="G877" s="46">
        <v>0.71117414898865317</v>
      </c>
      <c r="H877" s="46">
        <v>0.5735508140108535</v>
      </c>
      <c r="I877" s="46">
        <v>0.13762333497779966</v>
      </c>
      <c r="J877" s="47" t="s">
        <v>533</v>
      </c>
      <c r="K877" s="48"/>
      <c r="L877" s="48"/>
    </row>
    <row r="878" spans="1:12" s="43" customFormat="1" ht="15" x14ac:dyDescent="0.25">
      <c r="A878" s="38" t="s">
        <v>613</v>
      </c>
      <c r="B878" s="39" t="s">
        <v>81</v>
      </c>
      <c r="C878" s="39" t="s">
        <v>982</v>
      </c>
      <c r="D878" s="40">
        <v>2.1423999999999999</v>
      </c>
      <c r="E878" s="40">
        <v>2.5737000000000001</v>
      </c>
      <c r="F878" s="40">
        <v>9.0950000000000006</v>
      </c>
      <c r="G878" s="41">
        <v>0.76444612424408998</v>
      </c>
      <c r="H878" s="41">
        <v>0.71702446399120401</v>
      </c>
      <c r="I878" s="41">
        <v>4.7421660252886202E-2</v>
      </c>
      <c r="J878" s="42" t="s">
        <v>532</v>
      </c>
    </row>
    <row r="879" spans="1:12" s="43" customFormat="1" ht="15" x14ac:dyDescent="0.25">
      <c r="A879" s="38" t="s">
        <v>596</v>
      </c>
      <c r="B879" s="39" t="s">
        <v>81</v>
      </c>
      <c r="C879" s="39" t="s">
        <v>1015</v>
      </c>
      <c r="D879" s="40">
        <v>2.1423999999999999</v>
      </c>
      <c r="E879" s="40">
        <v>2.6383000000000001</v>
      </c>
      <c r="F879" s="40">
        <v>9.0950000000000006</v>
      </c>
      <c r="G879" s="41">
        <v>0.76444612424408998</v>
      </c>
      <c r="H879" s="41">
        <v>0.70992028587135803</v>
      </c>
      <c r="I879" s="41">
        <v>5.4525838372732303E-2</v>
      </c>
      <c r="J879" s="42" t="s">
        <v>532</v>
      </c>
    </row>
    <row r="880" spans="1:12" s="43" customFormat="1" ht="15" x14ac:dyDescent="0.25">
      <c r="A880" s="38" t="s">
        <v>558</v>
      </c>
      <c r="B880" s="39" t="s">
        <v>81</v>
      </c>
      <c r="C880" s="39" t="s">
        <v>903</v>
      </c>
      <c r="D880" s="40">
        <v>2.5562999999999998</v>
      </c>
      <c r="E880" s="40">
        <v>2.8252000000000002</v>
      </c>
      <c r="F880" s="40">
        <v>9.2379999999999995</v>
      </c>
      <c r="G880" s="41">
        <v>0.72328696687594696</v>
      </c>
      <c r="H880" s="41">
        <v>0.69417893483437998</v>
      </c>
      <c r="I880" s="41">
        <v>2.9108032041567401E-2</v>
      </c>
      <c r="J880" s="42" t="s">
        <v>532</v>
      </c>
    </row>
    <row r="881" spans="1:12" x14ac:dyDescent="0.25">
      <c r="A881" s="44">
        <v>2018</v>
      </c>
      <c r="B881" s="44" t="s">
        <v>81</v>
      </c>
      <c r="C881" s="44" t="s">
        <v>1920</v>
      </c>
      <c r="D881" s="45">
        <v>2.2812003021148035</v>
      </c>
      <c r="E881" s="45">
        <v>2.6767758308157106</v>
      </c>
      <c r="F881" s="45">
        <v>9.1429546827794557</v>
      </c>
      <c r="G881" s="46">
        <v>0.75064350651640477</v>
      </c>
      <c r="H881" s="46">
        <v>0.70730284817273659</v>
      </c>
      <c r="I881" s="46">
        <v>4.3340658343668188E-2</v>
      </c>
      <c r="J881" s="47" t="s">
        <v>533</v>
      </c>
      <c r="K881" s="48"/>
      <c r="L881" s="48"/>
    </row>
    <row r="882" spans="1:12" s="43" customFormat="1" ht="15" x14ac:dyDescent="0.25">
      <c r="A882" s="38" t="s">
        <v>602</v>
      </c>
      <c r="B882" s="39" t="s">
        <v>236</v>
      </c>
      <c r="C882" s="39" t="s">
        <v>905</v>
      </c>
      <c r="D882" s="40">
        <v>0.1215</v>
      </c>
      <c r="E882" s="40">
        <v>0.13400000000000001</v>
      </c>
      <c r="F882" s="40">
        <v>0.53</v>
      </c>
      <c r="G882" s="41">
        <v>0.77075471698113196</v>
      </c>
      <c r="H882" s="41">
        <v>0.74711477987421404</v>
      </c>
      <c r="I882" s="41">
        <v>2.3639937106918099E-2</v>
      </c>
      <c r="J882" s="42" t="s">
        <v>532</v>
      </c>
    </row>
    <row r="883" spans="1:12" x14ac:dyDescent="0.25">
      <c r="A883" s="44">
        <v>2018</v>
      </c>
      <c r="B883" s="44" t="s">
        <v>236</v>
      </c>
      <c r="C883" s="44" t="s">
        <v>905</v>
      </c>
      <c r="D883" s="45">
        <v>0.12150000000000001</v>
      </c>
      <c r="E883" s="45">
        <v>0.13400000000000001</v>
      </c>
      <c r="F883" s="45">
        <v>0.53</v>
      </c>
      <c r="G883" s="46">
        <v>0.77075471698113196</v>
      </c>
      <c r="H883" s="46">
        <v>0.74711477987421393</v>
      </c>
      <c r="I883" s="46">
        <v>2.3639937106918141E-2</v>
      </c>
      <c r="J883" s="47" t="s">
        <v>533</v>
      </c>
      <c r="K883" s="48"/>
      <c r="L883" s="48"/>
    </row>
    <row r="884" spans="1:12" s="43" customFormat="1" ht="15" x14ac:dyDescent="0.25">
      <c r="A884" s="38" t="s">
        <v>571</v>
      </c>
      <c r="B884" s="39" t="s">
        <v>482</v>
      </c>
      <c r="C884" s="39" t="s">
        <v>1242</v>
      </c>
      <c r="D884" s="40">
        <v>1.6214</v>
      </c>
      <c r="E884" s="40">
        <v>2.0537999999999998</v>
      </c>
      <c r="F884" s="40">
        <v>6.19</v>
      </c>
      <c r="G884" s="41">
        <v>0.73806138933764098</v>
      </c>
      <c r="H884" s="41">
        <v>0.66820678513731802</v>
      </c>
      <c r="I884" s="41">
        <v>6.9854604200322995E-2</v>
      </c>
      <c r="J884" s="42" t="s">
        <v>532</v>
      </c>
    </row>
    <row r="885" spans="1:12" x14ac:dyDescent="0.25">
      <c r="A885" s="44">
        <v>2018</v>
      </c>
      <c r="B885" s="44" t="s">
        <v>482</v>
      </c>
      <c r="C885" s="44" t="s">
        <v>1242</v>
      </c>
      <c r="D885" s="45">
        <v>1.6213999999999997</v>
      </c>
      <c r="E885" s="45">
        <v>2.0537999999999998</v>
      </c>
      <c r="F885" s="45">
        <v>6.19</v>
      </c>
      <c r="G885" s="46">
        <v>0.73806138933764143</v>
      </c>
      <c r="H885" s="46">
        <v>0.66820678513731835</v>
      </c>
      <c r="I885" s="46">
        <v>6.9854604200322967E-2</v>
      </c>
      <c r="J885" s="47" t="s">
        <v>533</v>
      </c>
      <c r="K885" s="48"/>
      <c r="L885" s="48"/>
    </row>
    <row r="886" spans="1:12" s="43" customFormat="1" ht="15" x14ac:dyDescent="0.25">
      <c r="A886" s="38" t="s">
        <v>554</v>
      </c>
      <c r="B886" s="39" t="s">
        <v>82</v>
      </c>
      <c r="C886" s="39" t="s">
        <v>1724</v>
      </c>
      <c r="D886" s="40">
        <v>1.2810999999999999</v>
      </c>
      <c r="E886" s="40">
        <v>1.3411999999999999</v>
      </c>
      <c r="F886" s="40">
        <v>5.91</v>
      </c>
      <c r="G886" s="41">
        <v>0.78323181049069401</v>
      </c>
      <c r="H886" s="41">
        <v>0.77306260575296104</v>
      </c>
      <c r="I886" s="41">
        <v>1.0169204737732499E-2</v>
      </c>
      <c r="J886" s="42" t="s">
        <v>532</v>
      </c>
    </row>
    <row r="887" spans="1:12" x14ac:dyDescent="0.25">
      <c r="A887" s="44">
        <v>2018</v>
      </c>
      <c r="B887" s="44" t="s">
        <v>82</v>
      </c>
      <c r="C887" s="44" t="s">
        <v>1724</v>
      </c>
      <c r="D887" s="45">
        <v>1.2810999999999999</v>
      </c>
      <c r="E887" s="45">
        <v>1.3411999999999999</v>
      </c>
      <c r="F887" s="45">
        <v>5.91</v>
      </c>
      <c r="G887" s="46">
        <v>0.78323181049069379</v>
      </c>
      <c r="H887" s="46">
        <v>0.77306260575296104</v>
      </c>
      <c r="I887" s="46">
        <v>1.0169204737732527E-2</v>
      </c>
      <c r="J887" s="47" t="s">
        <v>533</v>
      </c>
      <c r="K887" s="48"/>
      <c r="L887" s="48"/>
    </row>
    <row r="888" spans="1:12" s="43" customFormat="1" ht="15" x14ac:dyDescent="0.25">
      <c r="A888" s="38" t="s">
        <v>652</v>
      </c>
      <c r="B888" s="39" t="s">
        <v>237</v>
      </c>
      <c r="C888" s="39" t="s">
        <v>1457</v>
      </c>
      <c r="D888" s="40">
        <v>7.1553000000000004</v>
      </c>
      <c r="E888" s="40">
        <v>1.8126</v>
      </c>
      <c r="F888" s="40"/>
      <c r="G888" s="41"/>
      <c r="H888" s="41"/>
      <c r="I888" s="41"/>
      <c r="J888" s="42" t="s">
        <v>532</v>
      </c>
    </row>
    <row r="889" spans="1:12" x14ac:dyDescent="0.25">
      <c r="A889" s="44">
        <v>2018</v>
      </c>
      <c r="B889" s="44" t="s">
        <v>237</v>
      </c>
      <c r="C889" s="44" t="s">
        <v>1457</v>
      </c>
      <c r="D889" s="45">
        <v>7.1553000000000004</v>
      </c>
      <c r="E889" s="45">
        <v>1.8126</v>
      </c>
      <c r="F889" s="45"/>
      <c r="J889" s="47" t="s">
        <v>533</v>
      </c>
      <c r="K889" s="48"/>
      <c r="L889" s="48"/>
    </row>
    <row r="890" spans="1:12" s="43" customFormat="1" ht="15" x14ac:dyDescent="0.25">
      <c r="A890" s="38" t="s">
        <v>657</v>
      </c>
      <c r="B890" s="39" t="s">
        <v>238</v>
      </c>
      <c r="C890" s="39" t="s">
        <v>1768</v>
      </c>
      <c r="D890" s="40">
        <v>8.1644000000000005</v>
      </c>
      <c r="E890" s="40">
        <v>1.2653000000000001</v>
      </c>
      <c r="F890" s="40">
        <v>6.21</v>
      </c>
      <c r="G890" s="41">
        <v>-0.31471819645732702</v>
      </c>
      <c r="H890" s="41">
        <v>0.79624798711755196</v>
      </c>
      <c r="I890" s="41">
        <v>-1.1109661835748801</v>
      </c>
      <c r="J890" s="42" t="s">
        <v>532</v>
      </c>
    </row>
    <row r="891" spans="1:12" x14ac:dyDescent="0.25">
      <c r="A891" s="44">
        <v>2018</v>
      </c>
      <c r="B891" s="44" t="s">
        <v>238</v>
      </c>
      <c r="C891" s="44" t="s">
        <v>1768</v>
      </c>
      <c r="D891" s="45">
        <v>8.1644000000000005</v>
      </c>
      <c r="E891" s="45">
        <v>1.2653000000000001</v>
      </c>
      <c r="F891" s="45">
        <v>6.21</v>
      </c>
      <c r="G891" s="46">
        <v>-0.31471819645732702</v>
      </c>
      <c r="H891" s="46">
        <v>0.7962479871175524</v>
      </c>
      <c r="I891" s="46">
        <v>-1.1109661835748794</v>
      </c>
      <c r="J891" s="47" t="s">
        <v>533</v>
      </c>
      <c r="K891" s="48"/>
      <c r="L891" s="48"/>
    </row>
    <row r="892" spans="1:12" s="43" customFormat="1" ht="15" x14ac:dyDescent="0.25">
      <c r="A892" s="38" t="s">
        <v>652</v>
      </c>
      <c r="B892" s="39" t="s">
        <v>239</v>
      </c>
      <c r="C892" s="39" t="s">
        <v>878</v>
      </c>
      <c r="D892" s="40">
        <v>7.5350000000000001</v>
      </c>
      <c r="E892" s="40">
        <v>1.9034</v>
      </c>
      <c r="F892" s="40"/>
      <c r="G892" s="41"/>
      <c r="H892" s="41"/>
      <c r="I892" s="41"/>
      <c r="J892" s="42" t="s">
        <v>532</v>
      </c>
    </row>
    <row r="893" spans="1:12" s="43" customFormat="1" ht="15" x14ac:dyDescent="0.25">
      <c r="A893" s="38" t="s">
        <v>569</v>
      </c>
      <c r="B893" s="39" t="s">
        <v>239</v>
      </c>
      <c r="C893" s="39" t="s">
        <v>1457</v>
      </c>
      <c r="D893" s="40">
        <v>7.5350000000000001</v>
      </c>
      <c r="E893" s="40">
        <v>1.9520999999999999</v>
      </c>
      <c r="F893" s="40"/>
      <c r="G893" s="41"/>
      <c r="H893" s="41"/>
      <c r="I893" s="41"/>
      <c r="J893" s="42" t="s">
        <v>532</v>
      </c>
    </row>
    <row r="894" spans="1:12" x14ac:dyDescent="0.25">
      <c r="A894" s="44">
        <v>2018</v>
      </c>
      <c r="B894" s="44" t="s">
        <v>239</v>
      </c>
      <c r="C894" s="44" t="s">
        <v>1305</v>
      </c>
      <c r="D894" s="45">
        <v>7.5350000000000001</v>
      </c>
      <c r="E894" s="45">
        <v>1.9272570850202428</v>
      </c>
      <c r="F894" s="45"/>
      <c r="J894" s="47" t="s">
        <v>533</v>
      </c>
      <c r="K894" s="48"/>
      <c r="L894" s="48"/>
    </row>
    <row r="895" spans="1:12" s="43" customFormat="1" ht="15" x14ac:dyDescent="0.25">
      <c r="A895" s="38" t="s">
        <v>554</v>
      </c>
      <c r="B895" s="39" t="s">
        <v>83</v>
      </c>
      <c r="C895" s="39" t="s">
        <v>815</v>
      </c>
      <c r="D895" s="40">
        <v>7.6260000000000003</v>
      </c>
      <c r="E895" s="40">
        <v>1.611</v>
      </c>
      <c r="F895" s="40">
        <v>6.21</v>
      </c>
      <c r="G895" s="41">
        <v>-0.22801932367149799</v>
      </c>
      <c r="H895" s="41">
        <v>0.74057971014492796</v>
      </c>
      <c r="I895" s="41">
        <v>-0.96859903381642498</v>
      </c>
      <c r="J895" s="42" t="s">
        <v>532</v>
      </c>
    </row>
    <row r="896" spans="1:12" x14ac:dyDescent="0.25">
      <c r="A896" s="44">
        <v>2018</v>
      </c>
      <c r="B896" s="44" t="s">
        <v>83</v>
      </c>
      <c r="C896" s="44" t="s">
        <v>815</v>
      </c>
      <c r="D896" s="45">
        <v>7.6260000000000003</v>
      </c>
      <c r="E896" s="45">
        <v>1.611</v>
      </c>
      <c r="F896" s="45">
        <v>6.21</v>
      </c>
      <c r="G896" s="46">
        <v>-0.22801932367149769</v>
      </c>
      <c r="H896" s="46">
        <v>0.74057971014492763</v>
      </c>
      <c r="I896" s="46">
        <v>-0.9685990338164252</v>
      </c>
      <c r="J896" s="47" t="s">
        <v>533</v>
      </c>
      <c r="K896" s="48"/>
      <c r="L896" s="48"/>
    </row>
    <row r="897" spans="1:12" s="43" customFormat="1" ht="15" x14ac:dyDescent="0.25">
      <c r="A897" s="38" t="s">
        <v>658</v>
      </c>
      <c r="B897" s="39" t="s">
        <v>240</v>
      </c>
      <c r="C897" s="39" t="s">
        <v>524</v>
      </c>
      <c r="D897" s="40">
        <v>7.0435999999999996</v>
      </c>
      <c r="E897" s="40"/>
      <c r="F897" s="40"/>
      <c r="G897" s="41"/>
      <c r="H897" s="41"/>
      <c r="I897" s="41"/>
      <c r="J897" s="42" t="s">
        <v>532</v>
      </c>
    </row>
    <row r="898" spans="1:12" s="43" customFormat="1" ht="15" x14ac:dyDescent="0.25">
      <c r="A898" s="38" t="s">
        <v>652</v>
      </c>
      <c r="B898" s="39" t="s">
        <v>240</v>
      </c>
      <c r="C898" s="39" t="s">
        <v>1031</v>
      </c>
      <c r="D898" s="40">
        <v>7.0435999999999996</v>
      </c>
      <c r="E898" s="40">
        <v>2.0236999999999998</v>
      </c>
      <c r="F898" s="40"/>
      <c r="G898" s="41"/>
      <c r="H898" s="41"/>
      <c r="I898" s="41"/>
      <c r="J898" s="42" t="s">
        <v>532</v>
      </c>
    </row>
    <row r="899" spans="1:12" x14ac:dyDescent="0.25">
      <c r="A899" s="44">
        <v>2018</v>
      </c>
      <c r="B899" s="44" t="s">
        <v>240</v>
      </c>
      <c r="C899" s="44" t="s">
        <v>1031</v>
      </c>
      <c r="D899" s="45">
        <v>7.0435999999999996</v>
      </c>
      <c r="E899" s="45">
        <v>2.0236999999999998</v>
      </c>
      <c r="F899" s="45"/>
      <c r="J899" s="47" t="s">
        <v>533</v>
      </c>
      <c r="K899" s="48"/>
      <c r="L899" s="48"/>
    </row>
    <row r="900" spans="1:12" s="43" customFormat="1" ht="15" x14ac:dyDescent="0.25">
      <c r="A900" s="38" t="s">
        <v>569</v>
      </c>
      <c r="B900" s="39" t="s">
        <v>241</v>
      </c>
      <c r="C900" s="39" t="s">
        <v>1797</v>
      </c>
      <c r="D900" s="40">
        <v>9.1748999999999992</v>
      </c>
      <c r="E900" s="40">
        <v>1.6112</v>
      </c>
      <c r="F900" s="40">
        <v>4.7300000000000004</v>
      </c>
      <c r="G900" s="41">
        <v>-0.93972515856236805</v>
      </c>
      <c r="H900" s="41">
        <v>0.65936575052854096</v>
      </c>
      <c r="I900" s="41">
        <v>-1.59909090909091</v>
      </c>
      <c r="J900" s="42" t="s">
        <v>532</v>
      </c>
    </row>
    <row r="901" spans="1:12" x14ac:dyDescent="0.25">
      <c r="A901" s="44">
        <v>2018</v>
      </c>
      <c r="B901" s="44" t="s">
        <v>241</v>
      </c>
      <c r="C901" s="44" t="s">
        <v>1797</v>
      </c>
      <c r="D901" s="45">
        <v>9.1748999999999992</v>
      </c>
      <c r="E901" s="45">
        <v>1.6112</v>
      </c>
      <c r="F901" s="45">
        <v>4.7300000000000004</v>
      </c>
      <c r="G901" s="46">
        <v>-0.93972515856236805</v>
      </c>
      <c r="H901" s="46">
        <v>0.65936575052854118</v>
      </c>
      <c r="I901" s="46">
        <v>-1.5990909090909091</v>
      </c>
      <c r="J901" s="47" t="s">
        <v>533</v>
      </c>
      <c r="K901" s="48"/>
      <c r="L901" s="48"/>
    </row>
    <row r="902" spans="1:12" s="43" customFormat="1" ht="15" x14ac:dyDescent="0.25">
      <c r="A902" s="38" t="s">
        <v>657</v>
      </c>
      <c r="B902" s="39" t="s">
        <v>242</v>
      </c>
      <c r="C902" s="39" t="s">
        <v>1324</v>
      </c>
      <c r="D902" s="40">
        <v>9.7645</v>
      </c>
      <c r="E902" s="40">
        <v>1.4815</v>
      </c>
      <c r="F902" s="40">
        <v>4.7300000000000004</v>
      </c>
      <c r="G902" s="41">
        <v>-1.0643763213530699</v>
      </c>
      <c r="H902" s="41">
        <v>0.68678646934460896</v>
      </c>
      <c r="I902" s="41">
        <v>-1.7511627906976699</v>
      </c>
      <c r="J902" s="42" t="s">
        <v>532</v>
      </c>
    </row>
    <row r="903" spans="1:12" x14ac:dyDescent="0.25">
      <c r="A903" s="44">
        <v>2018</v>
      </c>
      <c r="B903" s="44" t="s">
        <v>242</v>
      </c>
      <c r="C903" s="44" t="s">
        <v>1324</v>
      </c>
      <c r="D903" s="45">
        <v>9.7645</v>
      </c>
      <c r="E903" s="45">
        <v>1.4815</v>
      </c>
      <c r="F903" s="45">
        <v>4.7300000000000004</v>
      </c>
      <c r="G903" s="46">
        <v>-1.0643763213530653</v>
      </c>
      <c r="H903" s="46">
        <v>0.68678646934460885</v>
      </c>
      <c r="I903" s="46">
        <v>-1.7511627906976741</v>
      </c>
      <c r="J903" s="47" t="s">
        <v>533</v>
      </c>
      <c r="K903" s="48"/>
      <c r="L903" s="48"/>
    </row>
    <row r="904" spans="1:12" s="43" customFormat="1" ht="15" x14ac:dyDescent="0.25">
      <c r="A904" s="38" t="s">
        <v>652</v>
      </c>
      <c r="B904" s="39" t="s">
        <v>243</v>
      </c>
      <c r="C904" s="39" t="s">
        <v>1086</v>
      </c>
      <c r="D904" s="40">
        <v>9.5617000000000001</v>
      </c>
      <c r="E904" s="40">
        <v>2.1815000000000002</v>
      </c>
      <c r="F904" s="40">
        <v>4.7300000000000004</v>
      </c>
      <c r="G904" s="41">
        <v>-1.0215010570824501</v>
      </c>
      <c r="H904" s="41">
        <v>0.53879492600422796</v>
      </c>
      <c r="I904" s="41">
        <v>-1.56029598308668</v>
      </c>
      <c r="J904" s="42" t="s">
        <v>532</v>
      </c>
    </row>
    <row r="905" spans="1:12" s="43" customFormat="1" ht="15" x14ac:dyDescent="0.25">
      <c r="A905" s="38" t="s">
        <v>569</v>
      </c>
      <c r="B905" s="39" t="s">
        <v>243</v>
      </c>
      <c r="C905" s="39" t="s">
        <v>1798</v>
      </c>
      <c r="D905" s="40">
        <v>9.5617000000000001</v>
      </c>
      <c r="E905" s="40">
        <v>2.5259999999999998</v>
      </c>
      <c r="F905" s="40">
        <v>4.7300000000000004</v>
      </c>
      <c r="G905" s="41">
        <v>-1.0215010570824501</v>
      </c>
      <c r="H905" s="41">
        <v>0.46596194503171301</v>
      </c>
      <c r="I905" s="41">
        <v>-1.4874630021141599</v>
      </c>
      <c r="J905" s="42" t="s">
        <v>532</v>
      </c>
    </row>
    <row r="906" spans="1:12" x14ac:dyDescent="0.25">
      <c r="A906" s="44">
        <v>2018</v>
      </c>
      <c r="B906" s="44" t="s">
        <v>243</v>
      </c>
      <c r="C906" s="44" t="s">
        <v>1632</v>
      </c>
      <c r="D906" s="45">
        <v>9.5617000000000001</v>
      </c>
      <c r="E906" s="45">
        <v>2.3527543352601157</v>
      </c>
      <c r="F906" s="45">
        <v>4.7300000000000004</v>
      </c>
      <c r="G906" s="46">
        <v>-1.0215010570824523</v>
      </c>
      <c r="H906" s="46">
        <v>0.50258893546297767</v>
      </c>
      <c r="I906" s="46">
        <v>-1.5240899925454299</v>
      </c>
      <c r="J906" s="47" t="s">
        <v>533</v>
      </c>
      <c r="K906" s="48"/>
      <c r="L906" s="48"/>
    </row>
    <row r="907" spans="1:12" s="43" customFormat="1" ht="15" x14ac:dyDescent="0.25">
      <c r="A907" s="38" t="s">
        <v>554</v>
      </c>
      <c r="B907" s="39" t="s">
        <v>244</v>
      </c>
      <c r="C907" s="39" t="s">
        <v>766</v>
      </c>
      <c r="D907" s="40">
        <v>10.3612</v>
      </c>
      <c r="E907" s="40">
        <v>1.2565999999999999</v>
      </c>
      <c r="F907" s="40">
        <v>4.7300000000000004</v>
      </c>
      <c r="G907" s="41">
        <v>-1.1905285412262201</v>
      </c>
      <c r="H907" s="41">
        <v>0.734334038054968</v>
      </c>
      <c r="I907" s="41">
        <v>-1.92486257928118</v>
      </c>
      <c r="J907" s="42" t="s">
        <v>532</v>
      </c>
    </row>
    <row r="908" spans="1:12" x14ac:dyDescent="0.25">
      <c r="A908" s="44">
        <v>2018</v>
      </c>
      <c r="B908" s="44" t="s">
        <v>244</v>
      </c>
      <c r="C908" s="44" t="s">
        <v>766</v>
      </c>
      <c r="D908" s="45">
        <v>10.3612</v>
      </c>
      <c r="E908" s="45">
        <v>1.2565999999999999</v>
      </c>
      <c r="F908" s="45">
        <v>4.7300000000000004</v>
      </c>
      <c r="G908" s="46">
        <v>-1.1905285412262154</v>
      </c>
      <c r="H908" s="46">
        <v>0.73433403805496833</v>
      </c>
      <c r="I908" s="46">
        <v>-1.924862579281184</v>
      </c>
      <c r="J908" s="47" t="s">
        <v>533</v>
      </c>
      <c r="K908" s="48"/>
      <c r="L908" s="48"/>
    </row>
    <row r="909" spans="1:12" s="43" customFormat="1" ht="15" x14ac:dyDescent="0.25">
      <c r="A909" s="38" t="s">
        <v>652</v>
      </c>
      <c r="B909" s="39" t="s">
        <v>245</v>
      </c>
      <c r="C909" s="39" t="s">
        <v>1412</v>
      </c>
      <c r="D909" s="40">
        <v>7.0368000000000004</v>
      </c>
      <c r="E909" s="40">
        <v>1.3805000000000001</v>
      </c>
      <c r="F909" s="40"/>
      <c r="G909" s="41"/>
      <c r="H909" s="41"/>
      <c r="I909" s="41"/>
      <c r="J909" s="42" t="s">
        <v>532</v>
      </c>
    </row>
    <row r="910" spans="1:12" s="43" customFormat="1" ht="15" x14ac:dyDescent="0.25">
      <c r="A910" s="38" t="s">
        <v>569</v>
      </c>
      <c r="B910" s="39" t="s">
        <v>245</v>
      </c>
      <c r="C910" s="39" t="s">
        <v>1412</v>
      </c>
      <c r="D910" s="40">
        <v>7.0368000000000004</v>
      </c>
      <c r="E910" s="40">
        <v>1.2927999999999999</v>
      </c>
      <c r="F910" s="40"/>
      <c r="G910" s="41"/>
      <c r="H910" s="41"/>
      <c r="I910" s="41"/>
      <c r="J910" s="42" t="s">
        <v>532</v>
      </c>
    </row>
    <row r="911" spans="1:12" x14ac:dyDescent="0.25">
      <c r="A911" s="44">
        <v>2018</v>
      </c>
      <c r="B911" s="44" t="s">
        <v>245</v>
      </c>
      <c r="C911" s="44" t="s">
        <v>2005</v>
      </c>
      <c r="D911" s="45">
        <v>7.0368000000000004</v>
      </c>
      <c r="E911" s="45">
        <v>1.3366500000000001</v>
      </c>
      <c r="F911" s="45"/>
      <c r="J911" s="47" t="s">
        <v>533</v>
      </c>
      <c r="K911" s="48"/>
      <c r="L911" s="48"/>
    </row>
    <row r="912" spans="1:12" s="43" customFormat="1" ht="15" x14ac:dyDescent="0.25">
      <c r="A912" s="38" t="s">
        <v>652</v>
      </c>
      <c r="B912" s="39" t="s">
        <v>246</v>
      </c>
      <c r="C912" s="39" t="s">
        <v>1775</v>
      </c>
      <c r="D912" s="40">
        <v>7.3662999999999998</v>
      </c>
      <c r="E912" s="40">
        <v>1.4066000000000001</v>
      </c>
      <c r="F912" s="40"/>
      <c r="G912" s="41"/>
      <c r="H912" s="41"/>
      <c r="I912" s="41"/>
      <c r="J912" s="42" t="s">
        <v>532</v>
      </c>
    </row>
    <row r="913" spans="1:12" x14ac:dyDescent="0.25">
      <c r="A913" s="44">
        <v>2018</v>
      </c>
      <c r="B913" s="44" t="s">
        <v>246</v>
      </c>
      <c r="C913" s="44" t="s">
        <v>1775</v>
      </c>
      <c r="D913" s="45">
        <v>7.3662999999999998</v>
      </c>
      <c r="E913" s="45">
        <v>1.4066000000000001</v>
      </c>
      <c r="F913" s="45"/>
      <c r="J913" s="47" t="s">
        <v>533</v>
      </c>
      <c r="K913" s="48"/>
      <c r="L913" s="48"/>
    </row>
    <row r="914" spans="1:12" s="43" customFormat="1" ht="15" x14ac:dyDescent="0.25">
      <c r="A914" s="38" t="s">
        <v>652</v>
      </c>
      <c r="B914" s="39" t="s">
        <v>247</v>
      </c>
      <c r="C914" s="39" t="s">
        <v>902</v>
      </c>
      <c r="D914" s="40">
        <v>7.4348999999999998</v>
      </c>
      <c r="E914" s="40">
        <v>1.4814000000000001</v>
      </c>
      <c r="F914" s="40"/>
      <c r="G914" s="41"/>
      <c r="H914" s="41"/>
      <c r="I914" s="41"/>
      <c r="J914" s="42" t="s">
        <v>532</v>
      </c>
    </row>
    <row r="915" spans="1:12" x14ac:dyDescent="0.25">
      <c r="A915" s="44">
        <v>2018</v>
      </c>
      <c r="B915" s="44" t="s">
        <v>247</v>
      </c>
      <c r="C915" s="44" t="s">
        <v>902</v>
      </c>
      <c r="D915" s="45">
        <v>7.4348999999999998</v>
      </c>
      <c r="E915" s="45">
        <v>1.4814000000000001</v>
      </c>
      <c r="F915" s="45"/>
      <c r="J915" s="47" t="s">
        <v>533</v>
      </c>
      <c r="K915" s="48"/>
      <c r="L915" s="48"/>
    </row>
    <row r="916" spans="1:12" s="43" customFormat="1" ht="15" x14ac:dyDescent="0.25">
      <c r="A916" s="38" t="s">
        <v>569</v>
      </c>
      <c r="B916" s="39" t="s">
        <v>248</v>
      </c>
      <c r="C916" s="39" t="s">
        <v>1497</v>
      </c>
      <c r="D916" s="40">
        <v>7.1338999999999997</v>
      </c>
      <c r="E916" s="40">
        <v>1.1954</v>
      </c>
      <c r="F916" s="40"/>
      <c r="G916" s="41"/>
      <c r="H916" s="41"/>
      <c r="I916" s="41"/>
      <c r="J916" s="42" t="s">
        <v>532</v>
      </c>
    </row>
    <row r="917" spans="1:12" x14ac:dyDescent="0.25">
      <c r="A917" s="44">
        <v>2018</v>
      </c>
      <c r="B917" s="44" t="s">
        <v>248</v>
      </c>
      <c r="C917" s="44" t="s">
        <v>1497</v>
      </c>
      <c r="D917" s="45">
        <v>7.1338999999999997</v>
      </c>
      <c r="E917" s="45">
        <v>1.1954</v>
      </c>
      <c r="F917" s="45"/>
      <c r="J917" s="47" t="s">
        <v>533</v>
      </c>
      <c r="K917" s="48"/>
      <c r="L917" s="48"/>
    </row>
    <row r="918" spans="1:12" s="43" customFormat="1" ht="15" x14ac:dyDescent="0.25">
      <c r="A918" s="38" t="s">
        <v>569</v>
      </c>
      <c r="B918" s="39" t="s">
        <v>249</v>
      </c>
      <c r="C918" s="39" t="s">
        <v>1799</v>
      </c>
      <c r="D918" s="40">
        <v>6.9104999999999999</v>
      </c>
      <c r="E918" s="40">
        <v>1.9017999999999999</v>
      </c>
      <c r="F918" s="40"/>
      <c r="G918" s="41"/>
      <c r="H918" s="41"/>
      <c r="I918" s="41"/>
      <c r="J918" s="42" t="s">
        <v>532</v>
      </c>
    </row>
    <row r="919" spans="1:12" x14ac:dyDescent="0.25">
      <c r="A919" s="44">
        <v>2018</v>
      </c>
      <c r="B919" s="44" t="s">
        <v>249</v>
      </c>
      <c r="C919" s="44" t="s">
        <v>1799</v>
      </c>
      <c r="D919" s="45">
        <v>6.9104999999999999</v>
      </c>
      <c r="E919" s="45">
        <v>1.9017999999999999</v>
      </c>
      <c r="F919" s="45"/>
      <c r="J919" s="47" t="s">
        <v>533</v>
      </c>
      <c r="K919" s="48"/>
      <c r="L919" s="48"/>
    </row>
    <row r="920" spans="1:12" s="43" customFormat="1" ht="15" x14ac:dyDescent="0.25">
      <c r="A920" s="38" t="s">
        <v>652</v>
      </c>
      <c r="B920" s="39" t="s">
        <v>250</v>
      </c>
      <c r="C920" s="39" t="s">
        <v>1776</v>
      </c>
      <c r="D920" s="40">
        <v>7.2648000000000001</v>
      </c>
      <c r="E920" s="40">
        <v>2.0773000000000001</v>
      </c>
      <c r="F920" s="40"/>
      <c r="G920" s="41"/>
      <c r="H920" s="41"/>
      <c r="I920" s="41"/>
      <c r="J920" s="42" t="s">
        <v>532</v>
      </c>
    </row>
    <row r="921" spans="1:12" x14ac:dyDescent="0.25">
      <c r="A921" s="44">
        <v>2018</v>
      </c>
      <c r="B921" s="44" t="s">
        <v>250</v>
      </c>
      <c r="C921" s="44" t="s">
        <v>1776</v>
      </c>
      <c r="D921" s="45">
        <v>7.2648000000000001</v>
      </c>
      <c r="E921" s="45">
        <v>2.0773000000000001</v>
      </c>
      <c r="F921" s="45"/>
      <c r="J921" s="47" t="s">
        <v>533</v>
      </c>
      <c r="K921" s="48"/>
      <c r="L921" s="48"/>
    </row>
    <row r="922" spans="1:12" s="43" customFormat="1" ht="15" x14ac:dyDescent="0.25">
      <c r="A922" s="38" t="s">
        <v>652</v>
      </c>
      <c r="B922" s="39" t="s">
        <v>251</v>
      </c>
      <c r="C922" s="39" t="s">
        <v>1777</v>
      </c>
      <c r="D922" s="40">
        <v>7.3324999999999996</v>
      </c>
      <c r="E922" s="40">
        <v>2.2343999999999999</v>
      </c>
      <c r="F922" s="40"/>
      <c r="G922" s="41"/>
      <c r="H922" s="41"/>
      <c r="I922" s="41"/>
      <c r="J922" s="42" t="s">
        <v>532</v>
      </c>
    </row>
    <row r="923" spans="1:12" x14ac:dyDescent="0.25">
      <c r="A923" s="44">
        <v>2018</v>
      </c>
      <c r="B923" s="44" t="s">
        <v>251</v>
      </c>
      <c r="C923" s="44" t="s">
        <v>1777</v>
      </c>
      <c r="D923" s="45">
        <v>7.3324999999999996</v>
      </c>
      <c r="E923" s="45">
        <v>2.2343999999999999</v>
      </c>
      <c r="F923" s="45"/>
      <c r="J923" s="47" t="s">
        <v>533</v>
      </c>
      <c r="K923" s="48"/>
      <c r="L923" s="48"/>
    </row>
    <row r="924" spans="1:12" s="43" customFormat="1" ht="15" x14ac:dyDescent="0.25">
      <c r="A924" s="38" t="s">
        <v>569</v>
      </c>
      <c r="B924" s="39" t="s">
        <v>252</v>
      </c>
      <c r="C924" s="39" t="s">
        <v>822</v>
      </c>
      <c r="D924" s="40">
        <v>7.0122</v>
      </c>
      <c r="E924" s="40">
        <v>2.1890999999999998</v>
      </c>
      <c r="F924" s="40"/>
      <c r="G924" s="41"/>
      <c r="H924" s="41"/>
      <c r="I924" s="41"/>
      <c r="J924" s="42" t="s">
        <v>532</v>
      </c>
    </row>
    <row r="925" spans="1:12" x14ac:dyDescent="0.25">
      <c r="A925" s="44">
        <v>2018</v>
      </c>
      <c r="B925" s="44" t="s">
        <v>252</v>
      </c>
      <c r="C925" s="44" t="s">
        <v>822</v>
      </c>
      <c r="D925" s="45">
        <v>7.0122</v>
      </c>
      <c r="E925" s="45">
        <v>2.1890999999999998</v>
      </c>
      <c r="F925" s="45"/>
      <c r="J925" s="47" t="s">
        <v>533</v>
      </c>
      <c r="K925" s="48"/>
      <c r="L925" s="48"/>
    </row>
    <row r="926" spans="1:12" s="43" customFormat="1" ht="15" x14ac:dyDescent="0.25">
      <c r="A926" s="38" t="s">
        <v>639</v>
      </c>
      <c r="B926" s="39" t="s">
        <v>253</v>
      </c>
      <c r="C926" s="39" t="s">
        <v>1324</v>
      </c>
      <c r="D926" s="40">
        <v>9.9309999999999992</v>
      </c>
      <c r="E926" s="40">
        <v>1.7436</v>
      </c>
      <c r="F926" s="40"/>
      <c r="G926" s="41"/>
      <c r="H926" s="41"/>
      <c r="I926" s="41"/>
      <c r="J926" s="42" t="s">
        <v>532</v>
      </c>
    </row>
    <row r="927" spans="1:12" x14ac:dyDescent="0.25">
      <c r="A927" s="44">
        <v>2018</v>
      </c>
      <c r="B927" s="44" t="s">
        <v>253</v>
      </c>
      <c r="C927" s="44" t="s">
        <v>1324</v>
      </c>
      <c r="D927" s="45">
        <v>9.9309999999999992</v>
      </c>
      <c r="E927" s="45">
        <v>1.7436</v>
      </c>
      <c r="F927" s="45"/>
      <c r="J927" s="47" t="s">
        <v>533</v>
      </c>
      <c r="K927" s="48"/>
      <c r="L927" s="48"/>
    </row>
    <row r="928" spans="1:12" s="43" customFormat="1" ht="15" x14ac:dyDescent="0.25">
      <c r="A928" s="38" t="s">
        <v>639</v>
      </c>
      <c r="B928" s="39" t="s">
        <v>254</v>
      </c>
      <c r="C928" s="39" t="s">
        <v>888</v>
      </c>
      <c r="D928" s="40">
        <v>9.5409000000000006</v>
      </c>
      <c r="E928" s="40">
        <v>1.38E-2</v>
      </c>
      <c r="F928" s="40"/>
      <c r="G928" s="41"/>
      <c r="H928" s="41"/>
      <c r="I928" s="41"/>
      <c r="J928" s="42" t="s">
        <v>532</v>
      </c>
    </row>
    <row r="929" spans="1:12" x14ac:dyDescent="0.25">
      <c r="A929" s="44">
        <v>2018</v>
      </c>
      <c r="B929" s="44" t="s">
        <v>254</v>
      </c>
      <c r="C929" s="44" t="s">
        <v>888</v>
      </c>
      <c r="D929" s="45">
        <v>9.5409000000000006</v>
      </c>
      <c r="E929" s="45">
        <v>1.38E-2</v>
      </c>
      <c r="F929" s="45"/>
      <c r="J929" s="47" t="s">
        <v>533</v>
      </c>
      <c r="K929" s="48"/>
      <c r="L929" s="48"/>
    </row>
    <row r="930" spans="1:12" s="43" customFormat="1" ht="15" x14ac:dyDescent="0.25">
      <c r="A930" s="38" t="s">
        <v>655</v>
      </c>
      <c r="B930" s="39" t="s">
        <v>255</v>
      </c>
      <c r="C930" s="39" t="s">
        <v>1746</v>
      </c>
      <c r="D930" s="40">
        <v>9.4842999999999993</v>
      </c>
      <c r="E930" s="40">
        <v>2.7444000000000002</v>
      </c>
      <c r="F930" s="40"/>
      <c r="G930" s="41"/>
      <c r="H930" s="41"/>
      <c r="I930" s="41"/>
      <c r="J930" s="42" t="s">
        <v>532</v>
      </c>
    </row>
    <row r="931" spans="1:12" x14ac:dyDescent="0.25">
      <c r="A931" s="44">
        <v>2018</v>
      </c>
      <c r="B931" s="44" t="s">
        <v>255</v>
      </c>
      <c r="C931" s="44" t="s">
        <v>1746</v>
      </c>
      <c r="D931" s="45">
        <v>9.4842999999999993</v>
      </c>
      <c r="E931" s="45">
        <v>2.7444000000000002</v>
      </c>
      <c r="F931" s="45"/>
      <c r="J931" s="47" t="s">
        <v>533</v>
      </c>
      <c r="K931" s="48"/>
      <c r="L931" s="48"/>
    </row>
    <row r="932" spans="1:12" s="43" customFormat="1" ht="15" x14ac:dyDescent="0.25">
      <c r="A932" s="38" t="s">
        <v>655</v>
      </c>
      <c r="B932" s="39" t="s">
        <v>256</v>
      </c>
      <c r="C932" s="39" t="s">
        <v>1747</v>
      </c>
      <c r="D932" s="40">
        <v>8.2208000000000006</v>
      </c>
      <c r="E932" s="40">
        <v>2.3944000000000001</v>
      </c>
      <c r="F932" s="40"/>
      <c r="G932" s="41"/>
      <c r="H932" s="41"/>
      <c r="I932" s="41"/>
      <c r="J932" s="42" t="s">
        <v>532</v>
      </c>
    </row>
    <row r="933" spans="1:12" x14ac:dyDescent="0.25">
      <c r="A933" s="44">
        <v>2018</v>
      </c>
      <c r="B933" s="44" t="s">
        <v>256</v>
      </c>
      <c r="C933" s="44" t="s">
        <v>1747</v>
      </c>
      <c r="D933" s="45">
        <v>8.2208000000000006</v>
      </c>
      <c r="E933" s="45">
        <v>2.3944000000000001</v>
      </c>
      <c r="F933" s="45"/>
      <c r="J933" s="47" t="s">
        <v>533</v>
      </c>
      <c r="K933" s="48"/>
      <c r="L933" s="48"/>
    </row>
    <row r="934" spans="1:12" s="43" customFormat="1" ht="15" x14ac:dyDescent="0.25">
      <c r="A934" s="38" t="s">
        <v>655</v>
      </c>
      <c r="B934" s="39" t="s">
        <v>257</v>
      </c>
      <c r="C934" s="39" t="s">
        <v>878</v>
      </c>
      <c r="D934" s="40">
        <v>8.5192999999999994</v>
      </c>
      <c r="E934" s="40">
        <v>1.6133</v>
      </c>
      <c r="F934" s="40"/>
      <c r="G934" s="41"/>
      <c r="H934" s="41"/>
      <c r="I934" s="41"/>
      <c r="J934" s="42" t="s">
        <v>532</v>
      </c>
    </row>
    <row r="935" spans="1:12" x14ac:dyDescent="0.25">
      <c r="A935" s="44">
        <v>2018</v>
      </c>
      <c r="B935" s="44" t="s">
        <v>257</v>
      </c>
      <c r="C935" s="44" t="s">
        <v>878</v>
      </c>
      <c r="D935" s="45">
        <v>8.5192999999999994</v>
      </c>
      <c r="E935" s="45">
        <v>1.6133</v>
      </c>
      <c r="F935" s="45"/>
      <c r="J935" s="47" t="s">
        <v>533</v>
      </c>
      <c r="K935" s="48"/>
      <c r="L935" s="48"/>
    </row>
    <row r="936" spans="1:12" s="43" customFormat="1" ht="15" x14ac:dyDescent="0.25">
      <c r="A936" s="38" t="s">
        <v>652</v>
      </c>
      <c r="B936" s="39" t="s">
        <v>258</v>
      </c>
      <c r="C936" s="39" t="s">
        <v>1778</v>
      </c>
      <c r="D936" s="40">
        <v>9.2722999999999995</v>
      </c>
      <c r="E936" s="40">
        <v>2.431</v>
      </c>
      <c r="F936" s="40"/>
      <c r="G936" s="41"/>
      <c r="H936" s="41"/>
      <c r="I936" s="41"/>
      <c r="J936" s="42" t="s">
        <v>532</v>
      </c>
    </row>
    <row r="937" spans="1:12" x14ac:dyDescent="0.25">
      <c r="A937" s="44">
        <v>2018</v>
      </c>
      <c r="B937" s="44" t="s">
        <v>258</v>
      </c>
      <c r="C937" s="44" t="s">
        <v>1778</v>
      </c>
      <c r="D937" s="45">
        <v>9.2723000000000013</v>
      </c>
      <c r="E937" s="45">
        <v>2.431</v>
      </c>
      <c r="F937" s="45"/>
      <c r="J937" s="47" t="s">
        <v>533</v>
      </c>
      <c r="K937" s="48"/>
      <c r="L937" s="48"/>
    </row>
    <row r="938" spans="1:12" s="43" customFormat="1" ht="15" x14ac:dyDescent="0.25">
      <c r="A938" s="38" t="s">
        <v>653</v>
      </c>
      <c r="B938" s="39" t="s">
        <v>259</v>
      </c>
      <c r="C938" s="39" t="s">
        <v>1698</v>
      </c>
      <c r="D938" s="40">
        <v>9.8178000000000001</v>
      </c>
      <c r="E938" s="40"/>
      <c r="F938" s="40"/>
      <c r="G938" s="41"/>
      <c r="H938" s="41"/>
      <c r="I938" s="41"/>
      <c r="J938" s="42" t="s">
        <v>532</v>
      </c>
    </row>
    <row r="939" spans="1:12" s="43" customFormat="1" ht="15" x14ac:dyDescent="0.25">
      <c r="A939" s="38" t="s">
        <v>652</v>
      </c>
      <c r="B939" s="39" t="s">
        <v>259</v>
      </c>
      <c r="C939" s="39" t="s">
        <v>1214</v>
      </c>
      <c r="D939" s="40">
        <v>9.8178000000000001</v>
      </c>
      <c r="E939" s="40">
        <v>1.7230000000000001</v>
      </c>
      <c r="F939" s="40"/>
      <c r="G939" s="41"/>
      <c r="H939" s="41"/>
      <c r="I939" s="41"/>
      <c r="J939" s="42" t="s">
        <v>532</v>
      </c>
    </row>
    <row r="940" spans="1:12" x14ac:dyDescent="0.25">
      <c r="A940" s="44">
        <v>2018</v>
      </c>
      <c r="B940" s="44" t="s">
        <v>259</v>
      </c>
      <c r="C940" s="44" t="s">
        <v>1989</v>
      </c>
      <c r="D940" s="45">
        <v>9.8178000000000001</v>
      </c>
      <c r="E940" s="45">
        <v>1.0082183406113538</v>
      </c>
      <c r="F940" s="45"/>
      <c r="J940" s="47" t="s">
        <v>533</v>
      </c>
      <c r="K940" s="48"/>
      <c r="L940" s="48"/>
    </row>
    <row r="941" spans="1:12" s="43" customFormat="1" ht="15" x14ac:dyDescent="0.25">
      <c r="A941" s="38" t="s">
        <v>647</v>
      </c>
      <c r="B941" s="39" t="s">
        <v>260</v>
      </c>
      <c r="C941" s="39" t="s">
        <v>1600</v>
      </c>
      <c r="D941" s="40">
        <v>10.1347</v>
      </c>
      <c r="E941" s="40">
        <v>2.7698999999999998</v>
      </c>
      <c r="F941" s="40"/>
      <c r="G941" s="41"/>
      <c r="H941" s="41"/>
      <c r="I941" s="41"/>
      <c r="J941" s="42" t="s">
        <v>532</v>
      </c>
    </row>
    <row r="942" spans="1:12" x14ac:dyDescent="0.25">
      <c r="A942" s="44">
        <v>2018</v>
      </c>
      <c r="B942" s="44" t="s">
        <v>260</v>
      </c>
      <c r="C942" s="44" t="s">
        <v>1600</v>
      </c>
      <c r="D942" s="45">
        <v>10.134700000000002</v>
      </c>
      <c r="E942" s="45">
        <v>2.7698999999999998</v>
      </c>
      <c r="F942" s="45"/>
      <c r="J942" s="47" t="s">
        <v>533</v>
      </c>
      <c r="K942" s="48"/>
      <c r="L942" s="48"/>
    </row>
    <row r="943" spans="1:12" s="43" customFormat="1" ht="15" x14ac:dyDescent="0.25">
      <c r="A943" s="38" t="s">
        <v>547</v>
      </c>
      <c r="B943" s="39" t="s">
        <v>261</v>
      </c>
      <c r="C943" s="39" t="s">
        <v>744</v>
      </c>
      <c r="D943" s="40">
        <v>11.9399</v>
      </c>
      <c r="E943" s="40">
        <v>3.4693000000000001</v>
      </c>
      <c r="F943" s="40"/>
      <c r="G943" s="41"/>
      <c r="H943" s="41"/>
      <c r="I943" s="41"/>
      <c r="J943" s="42" t="s">
        <v>532</v>
      </c>
    </row>
    <row r="944" spans="1:12" x14ac:dyDescent="0.25">
      <c r="A944" s="44">
        <v>2018</v>
      </c>
      <c r="B944" s="44" t="s">
        <v>261</v>
      </c>
      <c r="C944" s="44" t="s">
        <v>744</v>
      </c>
      <c r="D944" s="45">
        <v>11.939900000000002</v>
      </c>
      <c r="E944" s="45">
        <v>3.4693000000000001</v>
      </c>
      <c r="F944" s="45"/>
      <c r="J944" s="47" t="s">
        <v>533</v>
      </c>
      <c r="K944" s="48"/>
      <c r="L944" s="48"/>
    </row>
    <row r="945" spans="1:12" s="43" customFormat="1" ht="15" x14ac:dyDescent="0.25">
      <c r="A945" s="38" t="s">
        <v>544</v>
      </c>
      <c r="B945" s="39" t="s">
        <v>262</v>
      </c>
      <c r="C945" s="39" t="s">
        <v>1112</v>
      </c>
      <c r="D945" s="40">
        <v>10.6724</v>
      </c>
      <c r="E945" s="40">
        <v>3.6739999999999999</v>
      </c>
      <c r="F945" s="40"/>
      <c r="G945" s="41"/>
      <c r="H945" s="41"/>
      <c r="I945" s="41"/>
      <c r="J945" s="42" t="s">
        <v>532</v>
      </c>
    </row>
    <row r="946" spans="1:12" x14ac:dyDescent="0.25">
      <c r="A946" s="44">
        <v>2018</v>
      </c>
      <c r="B946" s="44" t="s">
        <v>262</v>
      </c>
      <c r="C946" s="44" t="s">
        <v>1112</v>
      </c>
      <c r="D946" s="45">
        <v>10.6724</v>
      </c>
      <c r="E946" s="45">
        <v>3.6739999999999999</v>
      </c>
      <c r="F946" s="45"/>
      <c r="J946" s="47" t="s">
        <v>533</v>
      </c>
      <c r="K946" s="48"/>
      <c r="L946" s="48"/>
    </row>
    <row r="947" spans="1:12" s="43" customFormat="1" ht="15" x14ac:dyDescent="0.25">
      <c r="A947" s="38" t="s">
        <v>653</v>
      </c>
      <c r="B947" s="39" t="s">
        <v>433</v>
      </c>
      <c r="C947" s="39" t="s">
        <v>1699</v>
      </c>
      <c r="D947" s="40">
        <v>15.044499999999999</v>
      </c>
      <c r="E947" s="40">
        <v>2.9519000000000002</v>
      </c>
      <c r="F947" s="40">
        <v>4.2</v>
      </c>
      <c r="G947" s="41">
        <v>-2.5820238095238102</v>
      </c>
      <c r="H947" s="41">
        <v>0.29716666666666702</v>
      </c>
      <c r="I947" s="41">
        <v>-2.8791904761904799</v>
      </c>
      <c r="J947" s="42" t="s">
        <v>532</v>
      </c>
    </row>
    <row r="948" spans="1:12" x14ac:dyDescent="0.25">
      <c r="A948" s="44">
        <v>2018</v>
      </c>
      <c r="B948" s="44" t="s">
        <v>433</v>
      </c>
      <c r="C948" s="44" t="s">
        <v>1699</v>
      </c>
      <c r="D948" s="45">
        <v>15.044499999999999</v>
      </c>
      <c r="E948" s="45">
        <v>2.9519000000000002</v>
      </c>
      <c r="F948" s="45">
        <v>4.2</v>
      </c>
      <c r="G948" s="46">
        <v>-2.5820238095238093</v>
      </c>
      <c r="H948" s="46">
        <v>0.29716666666666663</v>
      </c>
      <c r="I948" s="46">
        <v>-2.8791904761904759</v>
      </c>
      <c r="J948" s="47" t="s">
        <v>533</v>
      </c>
      <c r="K948" s="48"/>
      <c r="L948" s="48"/>
    </row>
    <row r="949" spans="1:12" s="43" customFormat="1" ht="15" x14ac:dyDescent="0.25">
      <c r="A949" s="38" t="s">
        <v>659</v>
      </c>
      <c r="B949" s="39" t="s">
        <v>518</v>
      </c>
      <c r="C949" s="39" t="s">
        <v>1804</v>
      </c>
      <c r="D949" s="40"/>
      <c r="E949" s="40">
        <v>2.339</v>
      </c>
      <c r="F949" s="40"/>
      <c r="G949" s="41"/>
      <c r="H949" s="41"/>
      <c r="I949" s="41"/>
      <c r="J949" s="42" t="s">
        <v>532</v>
      </c>
    </row>
    <row r="950" spans="1:12" x14ac:dyDescent="0.25">
      <c r="A950" s="44">
        <v>2018</v>
      </c>
      <c r="B950" s="44" t="s">
        <v>518</v>
      </c>
      <c r="C950" s="44" t="s">
        <v>1804</v>
      </c>
      <c r="D950" s="45"/>
      <c r="E950" s="45">
        <v>2.339</v>
      </c>
      <c r="F950" s="45"/>
      <c r="J950" s="47" t="s">
        <v>533</v>
      </c>
      <c r="K950" s="48"/>
      <c r="L950" s="48"/>
    </row>
    <row r="951" spans="1:12" s="43" customFormat="1" ht="15" x14ac:dyDescent="0.25">
      <c r="A951" s="38" t="s">
        <v>662</v>
      </c>
      <c r="B951" s="39" t="s">
        <v>519</v>
      </c>
      <c r="C951" s="39" t="s">
        <v>1802</v>
      </c>
      <c r="D951" s="40"/>
      <c r="E951" s="40">
        <v>2.7450999999999999</v>
      </c>
      <c r="F951" s="40"/>
      <c r="G951" s="41"/>
      <c r="H951" s="41"/>
      <c r="I951" s="41"/>
      <c r="J951" s="42" t="s">
        <v>532</v>
      </c>
    </row>
    <row r="952" spans="1:12" x14ac:dyDescent="0.25">
      <c r="A952" s="44">
        <v>2018</v>
      </c>
      <c r="B952" s="44" t="s">
        <v>519</v>
      </c>
      <c r="C952" s="44" t="s">
        <v>1802</v>
      </c>
      <c r="D952" s="45"/>
      <c r="E952" s="45">
        <v>2.7450999999999999</v>
      </c>
      <c r="F952" s="45"/>
      <c r="J952" s="47" t="s">
        <v>533</v>
      </c>
      <c r="K952" s="48"/>
      <c r="L952" s="48"/>
    </row>
    <row r="953" spans="1:12" s="43" customFormat="1" ht="15" x14ac:dyDescent="0.25">
      <c r="A953" s="38" t="s">
        <v>617</v>
      </c>
      <c r="B953" s="39" t="s">
        <v>84</v>
      </c>
      <c r="C953" s="39" t="s">
        <v>1575</v>
      </c>
      <c r="D953" s="40">
        <v>0.25919999999999999</v>
      </c>
      <c r="E953" s="40">
        <v>0.32640000000000002</v>
      </c>
      <c r="F953" s="40">
        <v>0.96870000000000001</v>
      </c>
      <c r="G953" s="41">
        <v>0.73242489934964405</v>
      </c>
      <c r="H953" s="41">
        <v>0.66305357695881095</v>
      </c>
      <c r="I953" s="41">
        <v>6.9371322390833101E-2</v>
      </c>
      <c r="J953" s="42" t="s">
        <v>532</v>
      </c>
    </row>
    <row r="954" spans="1:12" x14ac:dyDescent="0.25">
      <c r="A954" s="44">
        <v>2018</v>
      </c>
      <c r="B954" s="44" t="s">
        <v>84</v>
      </c>
      <c r="C954" s="44" t="s">
        <v>1575</v>
      </c>
      <c r="D954" s="45">
        <v>0.25919999999999999</v>
      </c>
      <c r="E954" s="45">
        <v>0.32640000000000002</v>
      </c>
      <c r="F954" s="45">
        <v>0.96870000000000001</v>
      </c>
      <c r="G954" s="46">
        <v>0.73242489934964405</v>
      </c>
      <c r="H954" s="46">
        <v>0.66305357695881073</v>
      </c>
      <c r="I954" s="46">
        <v>6.9371322390833101E-2</v>
      </c>
      <c r="J954" s="47" t="s">
        <v>533</v>
      </c>
      <c r="K954" s="48"/>
      <c r="L954" s="48"/>
    </row>
    <row r="955" spans="1:12" s="43" customFormat="1" ht="15" x14ac:dyDescent="0.25">
      <c r="A955" s="38" t="s">
        <v>561</v>
      </c>
      <c r="B955" s="39" t="s">
        <v>85</v>
      </c>
      <c r="C955" s="39" t="s">
        <v>1564</v>
      </c>
      <c r="D955" s="40">
        <v>0.2611</v>
      </c>
      <c r="E955" s="40">
        <v>0.31080000000000002</v>
      </c>
      <c r="F955" s="40"/>
      <c r="G955" s="41"/>
      <c r="H955" s="41"/>
      <c r="I955" s="41"/>
      <c r="J955" s="42" t="s">
        <v>532</v>
      </c>
    </row>
    <row r="956" spans="1:12" x14ac:dyDescent="0.25">
      <c r="A956" s="44">
        <v>2018</v>
      </c>
      <c r="B956" s="44" t="s">
        <v>85</v>
      </c>
      <c r="C956" s="44" t="s">
        <v>1564</v>
      </c>
      <c r="D956" s="45">
        <v>0.2611</v>
      </c>
      <c r="E956" s="45">
        <v>0.31080000000000002</v>
      </c>
      <c r="F956" s="45"/>
      <c r="J956" s="47" t="s">
        <v>533</v>
      </c>
      <c r="K956" s="48"/>
      <c r="L956" s="48"/>
    </row>
    <row r="957" spans="1:12" s="43" customFormat="1" ht="15" x14ac:dyDescent="0.25">
      <c r="A957" s="38" t="s">
        <v>641</v>
      </c>
      <c r="B957" s="39" t="s">
        <v>263</v>
      </c>
      <c r="C957" s="39" t="s">
        <v>1014</v>
      </c>
      <c r="D957" s="40">
        <v>0.27429999999999999</v>
      </c>
      <c r="E957" s="40">
        <v>0.31830000000000003</v>
      </c>
      <c r="F957" s="40">
        <v>0.96870000000000001</v>
      </c>
      <c r="G957" s="41">
        <v>0.71683699803860801</v>
      </c>
      <c r="H957" s="41">
        <v>0.67141529885413398</v>
      </c>
      <c r="I957" s="41">
        <v>4.5421699184474001E-2</v>
      </c>
      <c r="J957" s="42" t="s">
        <v>532</v>
      </c>
    </row>
    <row r="958" spans="1:12" x14ac:dyDescent="0.25">
      <c r="A958" s="44">
        <v>2018</v>
      </c>
      <c r="B958" s="44" t="s">
        <v>263</v>
      </c>
      <c r="C958" s="44" t="s">
        <v>1014</v>
      </c>
      <c r="D958" s="45">
        <v>0.27429999999999999</v>
      </c>
      <c r="E958" s="45">
        <v>0.31830000000000003</v>
      </c>
      <c r="F958" s="45">
        <v>0.96869999999999989</v>
      </c>
      <c r="G958" s="46">
        <v>0.71683699803860845</v>
      </c>
      <c r="H958" s="46">
        <v>0.67141529885413442</v>
      </c>
      <c r="I958" s="46">
        <v>4.5421699184474029E-2</v>
      </c>
      <c r="J958" s="47" t="s">
        <v>533</v>
      </c>
      <c r="K958" s="48"/>
      <c r="L958" s="48"/>
    </row>
    <row r="959" spans="1:12" s="43" customFormat="1" ht="15" x14ac:dyDescent="0.25">
      <c r="A959" s="38" t="s">
        <v>541</v>
      </c>
      <c r="B959" s="39" t="s">
        <v>264</v>
      </c>
      <c r="C959" s="39" t="s">
        <v>1157</v>
      </c>
      <c r="D959" s="40">
        <v>0.25559999999999999</v>
      </c>
      <c r="E959" s="40">
        <v>0.2344</v>
      </c>
      <c r="F959" s="40"/>
      <c r="G959" s="41"/>
      <c r="H959" s="41"/>
      <c r="I959" s="41"/>
      <c r="J959" s="42" t="s">
        <v>532</v>
      </c>
    </row>
    <row r="960" spans="1:12" s="43" customFormat="1" ht="15" x14ac:dyDescent="0.25">
      <c r="A960" s="38" t="s">
        <v>555</v>
      </c>
      <c r="B960" s="39" t="s">
        <v>264</v>
      </c>
      <c r="C960" s="39" t="s">
        <v>1507</v>
      </c>
      <c r="D960" s="40">
        <v>0.25559999999999999</v>
      </c>
      <c r="E960" s="40">
        <v>0.2344</v>
      </c>
      <c r="F960" s="40"/>
      <c r="G960" s="41"/>
      <c r="H960" s="41"/>
      <c r="I960" s="41"/>
      <c r="J960" s="42" t="s">
        <v>532</v>
      </c>
    </row>
    <row r="961" spans="1:12" x14ac:dyDescent="0.25">
      <c r="A961" s="44">
        <v>2018</v>
      </c>
      <c r="B961" s="44" t="s">
        <v>264</v>
      </c>
      <c r="C961" s="44" t="s">
        <v>1959</v>
      </c>
      <c r="D961" s="45">
        <v>0.25559999999999999</v>
      </c>
      <c r="E961" s="45">
        <v>0.2344</v>
      </c>
      <c r="F961" s="45"/>
      <c r="J961" s="47" t="s">
        <v>533</v>
      </c>
      <c r="K961" s="48"/>
      <c r="L961" s="48"/>
    </row>
    <row r="962" spans="1:12" s="43" customFormat="1" ht="15" x14ac:dyDescent="0.25">
      <c r="A962" s="38" t="s">
        <v>561</v>
      </c>
      <c r="B962" s="39" t="s">
        <v>265</v>
      </c>
      <c r="C962" s="39" t="s">
        <v>1581</v>
      </c>
      <c r="D962" s="40">
        <v>0.49609999999999999</v>
      </c>
      <c r="E962" s="40">
        <v>0.53569999999999995</v>
      </c>
      <c r="F962" s="40"/>
      <c r="G962" s="41"/>
      <c r="H962" s="41"/>
      <c r="I962" s="41"/>
      <c r="J962" s="42" t="s">
        <v>532</v>
      </c>
    </row>
    <row r="963" spans="1:12" x14ac:dyDescent="0.25">
      <c r="A963" s="44">
        <v>2018</v>
      </c>
      <c r="B963" s="44" t="s">
        <v>265</v>
      </c>
      <c r="C963" s="44" t="s">
        <v>1581</v>
      </c>
      <c r="D963" s="45">
        <v>0.49609999999999993</v>
      </c>
      <c r="E963" s="45">
        <v>0.53569999999999995</v>
      </c>
      <c r="F963" s="45"/>
      <c r="J963" s="47" t="s">
        <v>533</v>
      </c>
      <c r="K963" s="48"/>
      <c r="L963" s="48"/>
    </row>
    <row r="964" spans="1:12" s="43" customFormat="1" ht="15" x14ac:dyDescent="0.25">
      <c r="A964" s="38" t="s">
        <v>641</v>
      </c>
      <c r="B964" s="39" t="s">
        <v>266</v>
      </c>
      <c r="C964" s="39" t="s">
        <v>1619</v>
      </c>
      <c r="D964" s="40">
        <v>0.497</v>
      </c>
      <c r="E964" s="40">
        <v>0.63349999999999995</v>
      </c>
      <c r="F964" s="40">
        <v>1.5660000000000001</v>
      </c>
      <c r="G964" s="41">
        <v>0.68263090676883798</v>
      </c>
      <c r="H964" s="41">
        <v>0.59546615581098306</v>
      </c>
      <c r="I964" s="41">
        <v>8.7164750957854406E-2</v>
      </c>
      <c r="J964" s="42" t="s">
        <v>532</v>
      </c>
    </row>
    <row r="965" spans="1:12" x14ac:dyDescent="0.25">
      <c r="A965" s="44">
        <v>2018</v>
      </c>
      <c r="B965" s="44" t="s">
        <v>266</v>
      </c>
      <c r="C965" s="44" t="s">
        <v>1619</v>
      </c>
      <c r="D965" s="45">
        <v>0.497</v>
      </c>
      <c r="E965" s="45">
        <v>0.63349999999999995</v>
      </c>
      <c r="F965" s="45">
        <v>1.5660000000000001</v>
      </c>
      <c r="G965" s="46">
        <v>0.68263090676883775</v>
      </c>
      <c r="H965" s="46">
        <v>0.59546615581098339</v>
      </c>
      <c r="I965" s="46">
        <v>8.7164750957854364E-2</v>
      </c>
      <c r="J965" s="47" t="s">
        <v>533</v>
      </c>
      <c r="K965" s="48"/>
      <c r="L965" s="48"/>
    </row>
    <row r="966" spans="1:12" s="43" customFormat="1" ht="15" x14ac:dyDescent="0.25">
      <c r="A966" s="38" t="s">
        <v>561</v>
      </c>
      <c r="B966" s="39" t="s">
        <v>267</v>
      </c>
      <c r="C966" s="39" t="s">
        <v>1582</v>
      </c>
      <c r="D966" s="40">
        <v>0.45750000000000002</v>
      </c>
      <c r="E966" s="40">
        <v>0.49980000000000002</v>
      </c>
      <c r="F966" s="40"/>
      <c r="G966" s="41"/>
      <c r="H966" s="41"/>
      <c r="I966" s="41"/>
      <c r="J966" s="42" t="s">
        <v>532</v>
      </c>
    </row>
    <row r="967" spans="1:12" x14ac:dyDescent="0.25">
      <c r="A967" s="44">
        <v>2018</v>
      </c>
      <c r="B967" s="44" t="s">
        <v>267</v>
      </c>
      <c r="C967" s="44" t="s">
        <v>1582</v>
      </c>
      <c r="D967" s="45">
        <v>0.45750000000000002</v>
      </c>
      <c r="E967" s="45">
        <v>0.49980000000000002</v>
      </c>
      <c r="F967" s="45"/>
      <c r="J967" s="47" t="s">
        <v>533</v>
      </c>
      <c r="K967" s="48"/>
      <c r="L967" s="48"/>
    </row>
    <row r="968" spans="1:12" s="43" customFormat="1" ht="15" x14ac:dyDescent="0.25">
      <c r="A968" s="38" t="s">
        <v>574</v>
      </c>
      <c r="B968" s="39" t="s">
        <v>268</v>
      </c>
      <c r="C968" s="39" t="s">
        <v>1557</v>
      </c>
      <c r="D968" s="40">
        <v>0.45050000000000001</v>
      </c>
      <c r="E968" s="40">
        <v>0.65710000000000002</v>
      </c>
      <c r="F968" s="40"/>
      <c r="G968" s="41"/>
      <c r="H968" s="41"/>
      <c r="I968" s="41"/>
      <c r="J968" s="42" t="s">
        <v>532</v>
      </c>
    </row>
    <row r="969" spans="1:12" x14ac:dyDescent="0.25">
      <c r="A969" s="44">
        <v>2018</v>
      </c>
      <c r="B969" s="44" t="s">
        <v>268</v>
      </c>
      <c r="C969" s="44" t="s">
        <v>1557</v>
      </c>
      <c r="D969" s="45">
        <v>0.45050000000000001</v>
      </c>
      <c r="E969" s="45">
        <v>0.65710000000000002</v>
      </c>
      <c r="F969" s="45"/>
      <c r="J969" s="47" t="s">
        <v>533</v>
      </c>
      <c r="K969" s="48"/>
      <c r="L969" s="48"/>
    </row>
    <row r="970" spans="1:12" s="43" customFormat="1" ht="15" x14ac:dyDescent="0.25">
      <c r="A970" s="38" t="s">
        <v>545</v>
      </c>
      <c r="B970" s="39" t="s">
        <v>269</v>
      </c>
      <c r="C970" s="39" t="s">
        <v>1337</v>
      </c>
      <c r="D970" s="40">
        <v>0.48580000000000001</v>
      </c>
      <c r="E970" s="40">
        <v>0.58940000000000003</v>
      </c>
      <c r="F970" s="40"/>
      <c r="G970" s="41"/>
      <c r="H970" s="41"/>
      <c r="I970" s="41"/>
      <c r="J970" s="42" t="s">
        <v>532</v>
      </c>
    </row>
    <row r="971" spans="1:12" x14ac:dyDescent="0.25">
      <c r="A971" s="44">
        <v>2018</v>
      </c>
      <c r="B971" s="44" t="s">
        <v>269</v>
      </c>
      <c r="C971" s="44" t="s">
        <v>1337</v>
      </c>
      <c r="D971" s="45">
        <v>0.48580000000000001</v>
      </c>
      <c r="E971" s="45">
        <v>0.58940000000000003</v>
      </c>
      <c r="F971" s="45"/>
      <c r="J971" s="47" t="s">
        <v>533</v>
      </c>
      <c r="K971" s="48"/>
      <c r="L971" s="48"/>
    </row>
    <row r="972" spans="1:12" s="43" customFormat="1" ht="15" x14ac:dyDescent="0.25">
      <c r="A972" s="38" t="s">
        <v>640</v>
      </c>
      <c r="B972" s="39" t="s">
        <v>270</v>
      </c>
      <c r="C972" s="39" t="s">
        <v>1042</v>
      </c>
      <c r="D972" s="40">
        <v>0.45800000000000002</v>
      </c>
      <c r="E972" s="40">
        <v>0.47289999999999999</v>
      </c>
      <c r="F972" s="40">
        <v>1.5660000000000001</v>
      </c>
      <c r="G972" s="41">
        <v>0.70753512132822505</v>
      </c>
      <c r="H972" s="41">
        <v>0.69802043422733095</v>
      </c>
      <c r="I972" s="41">
        <v>9.5146871008939798E-3</v>
      </c>
      <c r="J972" s="42" t="s">
        <v>532</v>
      </c>
    </row>
    <row r="973" spans="1:12" x14ac:dyDescent="0.25">
      <c r="A973" s="44">
        <v>2018</v>
      </c>
      <c r="B973" s="44" t="s">
        <v>270</v>
      </c>
      <c r="C973" s="44" t="s">
        <v>1042</v>
      </c>
      <c r="D973" s="45">
        <v>0.45800000000000002</v>
      </c>
      <c r="E973" s="45">
        <v>0.47289999999999999</v>
      </c>
      <c r="F973" s="45">
        <v>1.5660000000000003</v>
      </c>
      <c r="G973" s="46">
        <v>0.70753512132822483</v>
      </c>
      <c r="H973" s="46">
        <v>0.69802043422733084</v>
      </c>
      <c r="I973" s="46">
        <v>9.5146871008939815E-3</v>
      </c>
      <c r="J973" s="47" t="s">
        <v>533</v>
      </c>
      <c r="K973" s="48"/>
      <c r="L973" s="48"/>
    </row>
    <row r="974" spans="1:12" s="43" customFormat="1" ht="15" x14ac:dyDescent="0.25">
      <c r="A974" s="38" t="s">
        <v>561</v>
      </c>
      <c r="B974" s="39" t="s">
        <v>271</v>
      </c>
      <c r="C974" s="39" t="s">
        <v>1160</v>
      </c>
      <c r="D974" s="40">
        <v>0.997</v>
      </c>
      <c r="E974" s="40">
        <v>1.1156999999999999</v>
      </c>
      <c r="F974" s="40">
        <v>3.06</v>
      </c>
      <c r="G974" s="41">
        <v>0.67418300653594798</v>
      </c>
      <c r="H974" s="41">
        <v>0.63539215686274497</v>
      </c>
      <c r="I974" s="41">
        <v>3.8790849673202697E-2</v>
      </c>
      <c r="J974" s="42" t="s">
        <v>532</v>
      </c>
    </row>
    <row r="975" spans="1:12" s="43" customFormat="1" ht="15" x14ac:dyDescent="0.25">
      <c r="A975" s="38" t="s">
        <v>645</v>
      </c>
      <c r="B975" s="39" t="s">
        <v>271</v>
      </c>
      <c r="C975" s="39" t="s">
        <v>888</v>
      </c>
      <c r="D975" s="40">
        <v>0.997</v>
      </c>
      <c r="E975" s="40">
        <v>1.1282000000000001</v>
      </c>
      <c r="F975" s="40">
        <v>3.06</v>
      </c>
      <c r="G975" s="41">
        <v>0.67418300653594798</v>
      </c>
      <c r="H975" s="41">
        <v>0.63130718954248399</v>
      </c>
      <c r="I975" s="41">
        <v>4.28758169934641E-2</v>
      </c>
      <c r="J975" s="42" t="s">
        <v>532</v>
      </c>
    </row>
    <row r="976" spans="1:12" x14ac:dyDescent="0.25">
      <c r="A976" s="44">
        <v>2018</v>
      </c>
      <c r="B976" s="44" t="s">
        <v>271</v>
      </c>
      <c r="C976" s="44" t="s">
        <v>1972</v>
      </c>
      <c r="D976" s="45">
        <v>0.997</v>
      </c>
      <c r="E976" s="45">
        <v>1.118318715083799</v>
      </c>
      <c r="F976" s="45">
        <v>3.06</v>
      </c>
      <c r="G976" s="46">
        <v>0.67418300653594776</v>
      </c>
      <c r="H976" s="46">
        <v>0.63453636761967347</v>
      </c>
      <c r="I976" s="46">
        <v>3.9646638916274193E-2</v>
      </c>
      <c r="J976" s="47" t="s">
        <v>533</v>
      </c>
      <c r="K976" s="48"/>
      <c r="L976" s="48"/>
    </row>
    <row r="977" spans="1:12" s="43" customFormat="1" ht="15" x14ac:dyDescent="0.25">
      <c r="A977" s="38" t="s">
        <v>641</v>
      </c>
      <c r="B977" s="39" t="s">
        <v>272</v>
      </c>
      <c r="C977" s="39" t="s">
        <v>1620</v>
      </c>
      <c r="D977" s="40">
        <v>1.024</v>
      </c>
      <c r="E977" s="40">
        <v>1.3139000000000001</v>
      </c>
      <c r="F977" s="40">
        <v>3.06</v>
      </c>
      <c r="G977" s="41">
        <v>0.66535947712418297</v>
      </c>
      <c r="H977" s="41">
        <v>0.57062091503267998</v>
      </c>
      <c r="I977" s="41">
        <v>9.4738562091503206E-2</v>
      </c>
      <c r="J977" s="42" t="s">
        <v>532</v>
      </c>
    </row>
    <row r="978" spans="1:12" x14ac:dyDescent="0.25">
      <c r="A978" s="44">
        <v>2018</v>
      </c>
      <c r="B978" s="44" t="s">
        <v>272</v>
      </c>
      <c r="C978" s="44" t="s">
        <v>1620</v>
      </c>
      <c r="D978" s="45">
        <v>1.024</v>
      </c>
      <c r="E978" s="45">
        <v>1.3139000000000001</v>
      </c>
      <c r="F978" s="45">
        <v>3.06</v>
      </c>
      <c r="G978" s="46">
        <v>0.66535947712418297</v>
      </c>
      <c r="H978" s="46">
        <v>0.57062091503267975</v>
      </c>
      <c r="I978" s="46">
        <v>9.473856209150322E-2</v>
      </c>
      <c r="J978" s="47" t="s">
        <v>533</v>
      </c>
      <c r="K978" s="48"/>
      <c r="L978" s="48"/>
    </row>
    <row r="979" spans="1:12" s="43" customFormat="1" ht="15" x14ac:dyDescent="0.25">
      <c r="A979" s="38" t="s">
        <v>561</v>
      </c>
      <c r="B979" s="39" t="s">
        <v>273</v>
      </c>
      <c r="C979" s="39" t="s">
        <v>1583</v>
      </c>
      <c r="D979" s="40">
        <v>1.0256000000000001</v>
      </c>
      <c r="E979" s="40">
        <v>1.0441</v>
      </c>
      <c r="F979" s="40"/>
      <c r="G979" s="41"/>
      <c r="H979" s="41"/>
      <c r="I979" s="41"/>
      <c r="J979" s="42" t="s">
        <v>532</v>
      </c>
    </row>
    <row r="980" spans="1:12" x14ac:dyDescent="0.25">
      <c r="A980" s="44">
        <v>2018</v>
      </c>
      <c r="B980" s="44" t="s">
        <v>273</v>
      </c>
      <c r="C980" s="44" t="s">
        <v>1583</v>
      </c>
      <c r="D980" s="45">
        <v>1.0256000000000001</v>
      </c>
      <c r="E980" s="45">
        <v>1.0441</v>
      </c>
      <c r="F980" s="45"/>
      <c r="J980" s="47" t="s">
        <v>533</v>
      </c>
      <c r="K980" s="48"/>
      <c r="L980" s="48"/>
    </row>
    <row r="981" spans="1:12" s="43" customFormat="1" ht="15" x14ac:dyDescent="0.25">
      <c r="A981" s="38" t="s">
        <v>574</v>
      </c>
      <c r="B981" s="39" t="s">
        <v>274</v>
      </c>
      <c r="C981" s="39" t="s">
        <v>1558</v>
      </c>
      <c r="D981" s="40">
        <v>0.93100000000000005</v>
      </c>
      <c r="E981" s="40">
        <v>1.0058</v>
      </c>
      <c r="F981" s="40"/>
      <c r="G981" s="41"/>
      <c r="H981" s="41"/>
      <c r="I981" s="41"/>
      <c r="J981" s="42" t="s">
        <v>532</v>
      </c>
    </row>
    <row r="982" spans="1:12" x14ac:dyDescent="0.25">
      <c r="A982" s="44">
        <v>2018</v>
      </c>
      <c r="B982" s="44" t="s">
        <v>274</v>
      </c>
      <c r="C982" s="44" t="s">
        <v>1558</v>
      </c>
      <c r="D982" s="45">
        <v>0.93100000000000016</v>
      </c>
      <c r="E982" s="45">
        <v>1.0058</v>
      </c>
      <c r="F982" s="45"/>
      <c r="J982" s="47" t="s">
        <v>533</v>
      </c>
      <c r="K982" s="48"/>
      <c r="L982" s="48"/>
    </row>
    <row r="983" spans="1:12" s="43" customFormat="1" ht="15" x14ac:dyDescent="0.25">
      <c r="A983" s="38" t="s">
        <v>545</v>
      </c>
      <c r="B983" s="39" t="s">
        <v>275</v>
      </c>
      <c r="C983" s="39" t="s">
        <v>745</v>
      </c>
      <c r="D983" s="40">
        <v>1.0015000000000001</v>
      </c>
      <c r="E983" s="40">
        <v>1.2231000000000001</v>
      </c>
      <c r="F983" s="40"/>
      <c r="G983" s="41"/>
      <c r="H983" s="41"/>
      <c r="I983" s="41"/>
      <c r="J983" s="42" t="s">
        <v>532</v>
      </c>
    </row>
    <row r="984" spans="1:12" x14ac:dyDescent="0.25">
      <c r="A984" s="44">
        <v>2018</v>
      </c>
      <c r="B984" s="44" t="s">
        <v>275</v>
      </c>
      <c r="C984" s="44" t="s">
        <v>745</v>
      </c>
      <c r="D984" s="45">
        <v>1.0015000000000001</v>
      </c>
      <c r="E984" s="45">
        <v>1.2231000000000001</v>
      </c>
      <c r="F984" s="45"/>
      <c r="J984" s="47" t="s">
        <v>533</v>
      </c>
      <c r="K984" s="48"/>
      <c r="L984" s="48"/>
    </row>
    <row r="985" spans="1:12" s="43" customFormat="1" ht="15" x14ac:dyDescent="0.25">
      <c r="A985" s="38" t="s">
        <v>640</v>
      </c>
      <c r="B985" s="39" t="s">
        <v>276</v>
      </c>
      <c r="C985" s="39" t="s">
        <v>1611</v>
      </c>
      <c r="D985" s="40">
        <v>0.94589999999999996</v>
      </c>
      <c r="E985" s="40">
        <v>1.0210999999999999</v>
      </c>
      <c r="F985" s="40">
        <v>3.06</v>
      </c>
      <c r="G985" s="41">
        <v>0.69088235294117595</v>
      </c>
      <c r="H985" s="41">
        <v>0.66630718954248402</v>
      </c>
      <c r="I985" s="41">
        <v>2.4575163398692899E-2</v>
      </c>
      <c r="J985" s="42" t="s">
        <v>532</v>
      </c>
    </row>
    <row r="986" spans="1:12" x14ac:dyDescent="0.25">
      <c r="A986" s="44">
        <v>2018</v>
      </c>
      <c r="B986" s="44" t="s">
        <v>276</v>
      </c>
      <c r="C986" s="44" t="s">
        <v>1611</v>
      </c>
      <c r="D986" s="45">
        <v>0.94590000000000007</v>
      </c>
      <c r="E986" s="45">
        <v>1.0210999999999999</v>
      </c>
      <c r="F986" s="45">
        <v>3.06</v>
      </c>
      <c r="G986" s="46">
        <v>0.6908823529411765</v>
      </c>
      <c r="H986" s="46">
        <v>0.66630718954248358</v>
      </c>
      <c r="I986" s="46">
        <v>2.4575163398692923E-2</v>
      </c>
      <c r="J986" s="47" t="s">
        <v>533</v>
      </c>
      <c r="K986" s="48"/>
      <c r="L986" s="48"/>
    </row>
    <row r="987" spans="1:12" s="43" customFormat="1" ht="15" x14ac:dyDescent="0.25">
      <c r="A987" s="38" t="s">
        <v>561</v>
      </c>
      <c r="B987" s="39" t="s">
        <v>277</v>
      </c>
      <c r="C987" s="39" t="s">
        <v>1584</v>
      </c>
      <c r="D987" s="40">
        <v>7.0811999999999999</v>
      </c>
      <c r="E987" s="40">
        <v>8.2390000000000008</v>
      </c>
      <c r="F987" s="40">
        <v>22.303999999999998</v>
      </c>
      <c r="G987" s="41">
        <v>0.68251434720229598</v>
      </c>
      <c r="H987" s="41">
        <v>0.63060437589670004</v>
      </c>
      <c r="I987" s="41">
        <v>5.1909971305595499E-2</v>
      </c>
      <c r="J987" s="42" t="s">
        <v>532</v>
      </c>
    </row>
    <row r="988" spans="1:12" s="43" customFormat="1" ht="15" x14ac:dyDescent="0.25">
      <c r="A988" s="38" t="s">
        <v>645</v>
      </c>
      <c r="B988" s="39" t="s">
        <v>277</v>
      </c>
      <c r="C988" s="39" t="s">
        <v>1664</v>
      </c>
      <c r="D988" s="40">
        <v>7.0811999999999999</v>
      </c>
      <c r="E988" s="40">
        <v>8.2059999999999995</v>
      </c>
      <c r="F988" s="40">
        <v>22.303999999999998</v>
      </c>
      <c r="G988" s="41">
        <v>0.68251434720229598</v>
      </c>
      <c r="H988" s="41">
        <v>0.63208393113342898</v>
      </c>
      <c r="I988" s="41">
        <v>5.0430416068866599E-2</v>
      </c>
      <c r="J988" s="42" t="s">
        <v>532</v>
      </c>
    </row>
    <row r="989" spans="1:12" x14ac:dyDescent="0.25">
      <c r="A989" s="44">
        <v>2018</v>
      </c>
      <c r="B989" s="44" t="s">
        <v>277</v>
      </c>
      <c r="C989" s="44" t="s">
        <v>1973</v>
      </c>
      <c r="D989" s="45">
        <v>7.0811999999999999</v>
      </c>
      <c r="E989" s="45">
        <v>8.2308051224944325</v>
      </c>
      <c r="F989" s="45">
        <v>22.303999999999998</v>
      </c>
      <c r="G989" s="46">
        <v>0.68251434720229553</v>
      </c>
      <c r="H989" s="46">
        <v>0.63097179328844899</v>
      </c>
      <c r="I989" s="46">
        <v>5.1542553913846545E-2</v>
      </c>
      <c r="J989" s="47" t="s">
        <v>533</v>
      </c>
      <c r="K989" s="48"/>
      <c r="L989" s="48"/>
    </row>
    <row r="990" spans="1:12" s="43" customFormat="1" ht="15" x14ac:dyDescent="0.25">
      <c r="A990" s="38" t="s">
        <v>647</v>
      </c>
      <c r="B990" s="39" t="s">
        <v>278</v>
      </c>
      <c r="C990" s="39" t="s">
        <v>1119</v>
      </c>
      <c r="D990" s="40">
        <v>7.4108000000000001</v>
      </c>
      <c r="E990" s="40">
        <v>6.2736999999999998</v>
      </c>
      <c r="F990" s="40">
        <v>22.303999999999998</v>
      </c>
      <c r="G990" s="41">
        <v>0.66773672883787705</v>
      </c>
      <c r="H990" s="41">
        <v>0.71871861549497795</v>
      </c>
      <c r="I990" s="41">
        <v>-5.0981886657101801E-2</v>
      </c>
      <c r="J990" s="42" t="s">
        <v>532</v>
      </c>
    </row>
    <row r="991" spans="1:12" s="43" customFormat="1" ht="15" x14ac:dyDescent="0.25">
      <c r="A991" s="38" t="s">
        <v>641</v>
      </c>
      <c r="B991" s="39" t="s">
        <v>278</v>
      </c>
      <c r="C991" s="39" t="s">
        <v>1421</v>
      </c>
      <c r="D991" s="40">
        <v>7.4108000000000001</v>
      </c>
      <c r="E991" s="40">
        <v>9.7960999999999991</v>
      </c>
      <c r="F991" s="40">
        <v>22.303999999999998</v>
      </c>
      <c r="G991" s="41">
        <v>0.66773672883787705</v>
      </c>
      <c r="H991" s="41">
        <v>0.56079178622668602</v>
      </c>
      <c r="I991" s="41">
        <v>0.106944942611191</v>
      </c>
      <c r="J991" s="42" t="s">
        <v>532</v>
      </c>
    </row>
    <row r="992" spans="1:12" x14ac:dyDescent="0.25">
      <c r="A992" s="44">
        <v>2018</v>
      </c>
      <c r="B992" s="44" t="s">
        <v>278</v>
      </c>
      <c r="C992" s="44" t="s">
        <v>1976</v>
      </c>
      <c r="D992" s="45">
        <v>7.4108000000000001</v>
      </c>
      <c r="E992" s="45">
        <v>9.011316580310881</v>
      </c>
      <c r="F992" s="45">
        <v>22.303999999999998</v>
      </c>
      <c r="G992" s="46">
        <v>0.6677367288378766</v>
      </c>
      <c r="H992" s="46">
        <v>0.59597755647817063</v>
      </c>
      <c r="I992" s="46">
        <v>7.1759172359705928E-2</v>
      </c>
      <c r="J992" s="47" t="s">
        <v>533</v>
      </c>
      <c r="K992" s="48"/>
      <c r="L992" s="48"/>
    </row>
    <row r="993" spans="1:12" s="43" customFormat="1" ht="15" x14ac:dyDescent="0.25">
      <c r="A993" s="38" t="s">
        <v>561</v>
      </c>
      <c r="B993" s="39" t="s">
        <v>279</v>
      </c>
      <c r="C993" s="39" t="s">
        <v>1585</v>
      </c>
      <c r="D993" s="40">
        <v>6.5129999999999999</v>
      </c>
      <c r="E993" s="40">
        <v>7.5433000000000003</v>
      </c>
      <c r="F993" s="40"/>
      <c r="G993" s="41"/>
      <c r="H993" s="41"/>
      <c r="I993" s="41"/>
      <c r="J993" s="42" t="s">
        <v>532</v>
      </c>
    </row>
    <row r="994" spans="1:12" x14ac:dyDescent="0.25">
      <c r="A994" s="44">
        <v>2018</v>
      </c>
      <c r="B994" s="44" t="s">
        <v>279</v>
      </c>
      <c r="C994" s="44" t="s">
        <v>1585</v>
      </c>
      <c r="D994" s="45">
        <v>6.5129999999999999</v>
      </c>
      <c r="E994" s="45">
        <v>7.5433000000000003</v>
      </c>
      <c r="F994" s="45"/>
      <c r="J994" s="47" t="s">
        <v>533</v>
      </c>
      <c r="K994" s="48"/>
      <c r="L994" s="48"/>
    </row>
    <row r="995" spans="1:12" s="43" customFormat="1" ht="15" x14ac:dyDescent="0.25">
      <c r="A995" s="38" t="s">
        <v>574</v>
      </c>
      <c r="B995" s="39" t="s">
        <v>280</v>
      </c>
      <c r="C995" s="39" t="s">
        <v>1559</v>
      </c>
      <c r="D995" s="40">
        <v>6.8057999999999996</v>
      </c>
      <c r="E995" s="40">
        <v>7.3323999999999998</v>
      </c>
      <c r="F995" s="40"/>
      <c r="G995" s="41"/>
      <c r="H995" s="41"/>
      <c r="I995" s="41"/>
      <c r="J995" s="42" t="s">
        <v>532</v>
      </c>
    </row>
    <row r="996" spans="1:12" x14ac:dyDescent="0.25">
      <c r="A996" s="44">
        <v>2018</v>
      </c>
      <c r="B996" s="44" t="s">
        <v>280</v>
      </c>
      <c r="C996" s="44" t="s">
        <v>1559</v>
      </c>
      <c r="D996" s="45">
        <v>6.8057999999999996</v>
      </c>
      <c r="E996" s="45">
        <v>7.3323999999999998</v>
      </c>
      <c r="F996" s="45"/>
      <c r="J996" s="47" t="s">
        <v>533</v>
      </c>
      <c r="K996" s="48"/>
      <c r="L996" s="48"/>
    </row>
    <row r="997" spans="1:12" s="43" customFormat="1" ht="15" x14ac:dyDescent="0.25">
      <c r="A997" s="38" t="s">
        <v>545</v>
      </c>
      <c r="B997" s="39" t="s">
        <v>281</v>
      </c>
      <c r="C997" s="39" t="s">
        <v>1475</v>
      </c>
      <c r="D997" s="40">
        <v>7.2312000000000003</v>
      </c>
      <c r="E997" s="40">
        <v>8.9758999999999993</v>
      </c>
      <c r="F997" s="40"/>
      <c r="G997" s="41"/>
      <c r="H997" s="41"/>
      <c r="I997" s="41"/>
      <c r="J997" s="42" t="s">
        <v>532</v>
      </c>
    </row>
    <row r="998" spans="1:12" x14ac:dyDescent="0.25">
      <c r="A998" s="44">
        <v>2018</v>
      </c>
      <c r="B998" s="44" t="s">
        <v>281</v>
      </c>
      <c r="C998" s="44" t="s">
        <v>1475</v>
      </c>
      <c r="D998" s="45">
        <v>7.2312000000000003</v>
      </c>
      <c r="E998" s="45">
        <v>8.9758999999999993</v>
      </c>
      <c r="F998" s="45"/>
      <c r="J998" s="47" t="s">
        <v>533</v>
      </c>
      <c r="K998" s="48"/>
      <c r="L998" s="48"/>
    </row>
    <row r="999" spans="1:12" s="43" customFormat="1" ht="15" x14ac:dyDescent="0.25">
      <c r="A999" s="38" t="s">
        <v>640</v>
      </c>
      <c r="B999" s="39" t="s">
        <v>282</v>
      </c>
      <c r="C999" s="39" t="s">
        <v>1612</v>
      </c>
      <c r="D999" s="40">
        <v>6.7864000000000004</v>
      </c>
      <c r="E999" s="40">
        <v>7.3845999999999998</v>
      </c>
      <c r="F999" s="40">
        <v>22.303999999999998</v>
      </c>
      <c r="G999" s="41">
        <v>0.69573170731707301</v>
      </c>
      <c r="H999" s="41">
        <v>0.66891140602582499</v>
      </c>
      <c r="I999" s="41">
        <v>2.68203012912481E-2</v>
      </c>
      <c r="J999" s="42" t="s">
        <v>532</v>
      </c>
    </row>
    <row r="1000" spans="1:12" x14ac:dyDescent="0.25">
      <c r="A1000" s="44">
        <v>2018</v>
      </c>
      <c r="B1000" s="44" t="s">
        <v>282</v>
      </c>
      <c r="C1000" s="44" t="s">
        <v>1612</v>
      </c>
      <c r="D1000" s="45">
        <v>6.7864000000000004</v>
      </c>
      <c r="E1000" s="45">
        <v>7.3845999999999989</v>
      </c>
      <c r="F1000" s="45">
        <v>22.303999999999998</v>
      </c>
      <c r="G1000" s="46">
        <v>0.69573170731707312</v>
      </c>
      <c r="H1000" s="46">
        <v>0.66891140602582499</v>
      </c>
      <c r="I1000" s="46">
        <v>2.6820301291248128E-2</v>
      </c>
      <c r="J1000" s="47" t="s">
        <v>533</v>
      </c>
      <c r="K1000" s="48"/>
      <c r="L1000" s="48"/>
    </row>
    <row r="1001" spans="1:12" s="43" customFormat="1" ht="15" x14ac:dyDescent="0.25">
      <c r="A1001" s="38" t="s">
        <v>658</v>
      </c>
      <c r="B1001" s="39" t="s">
        <v>283</v>
      </c>
      <c r="C1001" s="39" t="s">
        <v>1742</v>
      </c>
      <c r="D1001" s="40">
        <v>12.483599999999999</v>
      </c>
      <c r="E1001" s="40">
        <v>0.45169999999999999</v>
      </c>
      <c r="F1001" s="40">
        <v>42.17</v>
      </c>
      <c r="G1001" s="41">
        <v>0.70396964666824802</v>
      </c>
      <c r="H1001" s="41">
        <v>0.98928859378705203</v>
      </c>
      <c r="I1001" s="41">
        <v>-0.28531894711880501</v>
      </c>
      <c r="J1001" s="42" t="s">
        <v>532</v>
      </c>
    </row>
    <row r="1002" spans="1:12" x14ac:dyDescent="0.25">
      <c r="A1002" s="44">
        <v>2018</v>
      </c>
      <c r="B1002" s="44" t="s">
        <v>283</v>
      </c>
      <c r="C1002" s="44" t="s">
        <v>1742</v>
      </c>
      <c r="D1002" s="45">
        <v>12.483599999999999</v>
      </c>
      <c r="E1002" s="45">
        <v>0.45169999999999999</v>
      </c>
      <c r="F1002" s="45">
        <v>42.17</v>
      </c>
      <c r="G1002" s="46">
        <v>0.70396964666824757</v>
      </c>
      <c r="H1002" s="46">
        <v>0.98928859378705225</v>
      </c>
      <c r="I1002" s="46">
        <v>-0.28531894711880479</v>
      </c>
      <c r="J1002" s="47" t="s">
        <v>533</v>
      </c>
      <c r="K1002" s="48"/>
      <c r="L1002" s="48"/>
    </row>
    <row r="1003" spans="1:12" s="43" customFormat="1" ht="15" x14ac:dyDescent="0.25">
      <c r="A1003" s="38" t="s">
        <v>658</v>
      </c>
      <c r="B1003" s="39" t="s">
        <v>284</v>
      </c>
      <c r="C1003" s="39" t="s">
        <v>1743</v>
      </c>
      <c r="D1003" s="40">
        <v>10.8108</v>
      </c>
      <c r="E1003" s="40">
        <v>0.89459999999999995</v>
      </c>
      <c r="F1003" s="40">
        <v>2.7</v>
      </c>
      <c r="G1003" s="41">
        <v>-3.004</v>
      </c>
      <c r="H1003" s="41">
        <v>0.66866666666666696</v>
      </c>
      <c r="I1003" s="41">
        <v>-3.6726666666666699</v>
      </c>
      <c r="J1003" s="42" t="s">
        <v>532</v>
      </c>
    </row>
    <row r="1004" spans="1:12" x14ac:dyDescent="0.25">
      <c r="A1004" s="44">
        <v>2018</v>
      </c>
      <c r="B1004" s="44" t="s">
        <v>284</v>
      </c>
      <c r="C1004" s="44" t="s">
        <v>1743</v>
      </c>
      <c r="D1004" s="45">
        <v>10.8108</v>
      </c>
      <c r="E1004" s="45">
        <v>0.89459999999999995</v>
      </c>
      <c r="F1004" s="45">
        <v>2.7</v>
      </c>
      <c r="G1004" s="46">
        <v>-3.004</v>
      </c>
      <c r="H1004" s="46">
        <v>0.66866666666666663</v>
      </c>
      <c r="I1004" s="46">
        <v>-3.6726666666666663</v>
      </c>
      <c r="J1004" s="47" t="s">
        <v>533</v>
      </c>
      <c r="K1004" s="48"/>
      <c r="L1004" s="48"/>
    </row>
    <row r="1005" spans="1:12" s="43" customFormat="1" ht="15" x14ac:dyDescent="0.25">
      <c r="A1005" s="38" t="s">
        <v>644</v>
      </c>
      <c r="B1005" s="39" t="s">
        <v>285</v>
      </c>
      <c r="C1005" s="39" t="s">
        <v>1787</v>
      </c>
      <c r="D1005" s="40">
        <v>8.0473999999999997</v>
      </c>
      <c r="E1005" s="40">
        <v>0.70540000000000003</v>
      </c>
      <c r="F1005" s="40">
        <v>2.7</v>
      </c>
      <c r="G1005" s="41">
        <v>-1.9805185185185199</v>
      </c>
      <c r="H1005" s="41">
        <v>0.73874074074074103</v>
      </c>
      <c r="I1005" s="41">
        <v>-2.7192592592592599</v>
      </c>
      <c r="J1005" s="42" t="s">
        <v>532</v>
      </c>
    </row>
    <row r="1006" spans="1:12" x14ac:dyDescent="0.25">
      <c r="A1006" s="44">
        <v>2018</v>
      </c>
      <c r="B1006" s="44" t="s">
        <v>285</v>
      </c>
      <c r="C1006" s="44" t="s">
        <v>1787</v>
      </c>
      <c r="D1006" s="45">
        <v>8.0473999999999997</v>
      </c>
      <c r="E1006" s="45">
        <v>0.70540000000000003</v>
      </c>
      <c r="F1006" s="45">
        <v>2.7</v>
      </c>
      <c r="G1006" s="46">
        <v>-1.9805185185185179</v>
      </c>
      <c r="H1006" s="46">
        <v>0.73874074074074059</v>
      </c>
      <c r="I1006" s="46">
        <v>-2.7192592592592586</v>
      </c>
      <c r="J1006" s="47" t="s">
        <v>533</v>
      </c>
      <c r="K1006" s="48"/>
      <c r="L1006" s="48"/>
    </row>
    <row r="1007" spans="1:12" s="43" customFormat="1" ht="15" x14ac:dyDescent="0.25">
      <c r="A1007" s="38" t="s">
        <v>569</v>
      </c>
      <c r="B1007" s="39" t="s">
        <v>286</v>
      </c>
      <c r="C1007" s="39" t="s">
        <v>1731</v>
      </c>
      <c r="D1007" s="40">
        <v>8.2125000000000004</v>
      </c>
      <c r="E1007" s="40">
        <v>0.78720000000000001</v>
      </c>
      <c r="F1007" s="40">
        <v>2.7</v>
      </c>
      <c r="G1007" s="41">
        <v>-2.0416666666666701</v>
      </c>
      <c r="H1007" s="41">
        <v>0.70844444444444399</v>
      </c>
      <c r="I1007" s="41">
        <v>-2.7501111111111101</v>
      </c>
      <c r="J1007" s="42" t="s">
        <v>532</v>
      </c>
    </row>
    <row r="1008" spans="1:12" x14ac:dyDescent="0.25">
      <c r="A1008" s="44">
        <v>2018</v>
      </c>
      <c r="B1008" s="44" t="s">
        <v>286</v>
      </c>
      <c r="C1008" s="44" t="s">
        <v>1731</v>
      </c>
      <c r="D1008" s="45">
        <v>8.2125000000000004</v>
      </c>
      <c r="E1008" s="45">
        <v>0.78720000000000001</v>
      </c>
      <c r="F1008" s="45">
        <v>2.7</v>
      </c>
      <c r="G1008" s="46">
        <v>-2.0416666666666665</v>
      </c>
      <c r="H1008" s="46">
        <v>0.70844444444444454</v>
      </c>
      <c r="I1008" s="46">
        <v>-2.7501111111111114</v>
      </c>
      <c r="J1008" s="47" t="s">
        <v>533</v>
      </c>
      <c r="K1008" s="48"/>
      <c r="L1008" s="48"/>
    </row>
    <row r="1009" spans="1:12" s="43" customFormat="1" ht="15" x14ac:dyDescent="0.25">
      <c r="A1009" s="38" t="s">
        <v>534</v>
      </c>
      <c r="B1009" s="39" t="s">
        <v>287</v>
      </c>
      <c r="C1009" s="39" t="s">
        <v>1737</v>
      </c>
      <c r="D1009" s="40">
        <v>8.9913000000000007</v>
      </c>
      <c r="E1009" s="40">
        <v>0.69940000000000002</v>
      </c>
      <c r="F1009" s="40">
        <v>2.7</v>
      </c>
      <c r="G1009" s="41">
        <v>-2.3301111111111101</v>
      </c>
      <c r="H1009" s="41">
        <v>0.74096296296296305</v>
      </c>
      <c r="I1009" s="41">
        <v>-3.0710740740740698</v>
      </c>
      <c r="J1009" s="42" t="s">
        <v>532</v>
      </c>
    </row>
    <row r="1010" spans="1:12" x14ac:dyDescent="0.25">
      <c r="A1010" s="44">
        <v>2018</v>
      </c>
      <c r="B1010" s="44" t="s">
        <v>287</v>
      </c>
      <c r="C1010" s="44" t="s">
        <v>1737</v>
      </c>
      <c r="D1010" s="45">
        <v>8.9913000000000007</v>
      </c>
      <c r="E1010" s="45">
        <v>0.69940000000000002</v>
      </c>
      <c r="F1010" s="45">
        <v>2.7</v>
      </c>
      <c r="G1010" s="46">
        <v>-2.3301111111111106</v>
      </c>
      <c r="H1010" s="46">
        <v>0.74096296296296305</v>
      </c>
      <c r="I1010" s="46">
        <v>-3.0710740740740734</v>
      </c>
      <c r="J1010" s="47" t="s">
        <v>533</v>
      </c>
      <c r="K1010" s="48"/>
      <c r="L1010" s="48"/>
    </row>
    <row r="1011" spans="1:12" s="43" customFormat="1" ht="15" x14ac:dyDescent="0.25">
      <c r="A1011" s="38" t="s">
        <v>644</v>
      </c>
      <c r="B1011" s="39" t="s">
        <v>288</v>
      </c>
      <c r="C1011" s="39" t="s">
        <v>1788</v>
      </c>
      <c r="D1011" s="40">
        <v>9.2518999999999991</v>
      </c>
      <c r="E1011" s="40">
        <v>0.34870000000000001</v>
      </c>
      <c r="F1011" s="40">
        <v>36.049999999999997</v>
      </c>
      <c r="G1011" s="41">
        <v>0.74335922330097104</v>
      </c>
      <c r="H1011" s="41">
        <v>0.99032732316227401</v>
      </c>
      <c r="I1011" s="41">
        <v>-0.246968099861304</v>
      </c>
      <c r="J1011" s="42" t="s">
        <v>532</v>
      </c>
    </row>
    <row r="1012" spans="1:12" x14ac:dyDescent="0.25">
      <c r="A1012" s="44">
        <v>2018</v>
      </c>
      <c r="B1012" s="44" t="s">
        <v>288</v>
      </c>
      <c r="C1012" s="44" t="s">
        <v>1788</v>
      </c>
      <c r="D1012" s="45">
        <v>9.2518999999999991</v>
      </c>
      <c r="E1012" s="45">
        <v>0.34870000000000001</v>
      </c>
      <c r="F1012" s="45">
        <v>36.049999999999997</v>
      </c>
      <c r="G1012" s="46">
        <v>0.74335922330097093</v>
      </c>
      <c r="H1012" s="46">
        <v>0.99032732316227456</v>
      </c>
      <c r="I1012" s="46">
        <v>-0.24696809986130361</v>
      </c>
      <c r="J1012" s="47" t="s">
        <v>533</v>
      </c>
      <c r="K1012" s="48"/>
      <c r="L1012" s="48"/>
    </row>
    <row r="1013" spans="1:12" s="43" customFormat="1" ht="15" x14ac:dyDescent="0.25">
      <c r="A1013" s="38" t="s">
        <v>644</v>
      </c>
      <c r="B1013" s="39" t="s">
        <v>289</v>
      </c>
      <c r="C1013" s="39" t="s">
        <v>1789</v>
      </c>
      <c r="D1013" s="40">
        <v>9.4438999999999993</v>
      </c>
      <c r="E1013" s="40">
        <v>0.38219999999999998</v>
      </c>
      <c r="F1013" s="40"/>
      <c r="G1013" s="41"/>
      <c r="H1013" s="41"/>
      <c r="I1013" s="41"/>
      <c r="J1013" s="42" t="s">
        <v>532</v>
      </c>
    </row>
    <row r="1014" spans="1:12" x14ac:dyDescent="0.25">
      <c r="A1014" s="44">
        <v>2018</v>
      </c>
      <c r="B1014" s="44" t="s">
        <v>289</v>
      </c>
      <c r="C1014" s="44" t="s">
        <v>1789</v>
      </c>
      <c r="D1014" s="45">
        <v>9.4438999999999993</v>
      </c>
      <c r="E1014" s="45">
        <v>0.38219999999999993</v>
      </c>
      <c r="F1014" s="45"/>
      <c r="J1014" s="47" t="s">
        <v>533</v>
      </c>
      <c r="K1014" s="48"/>
      <c r="L1014" s="48"/>
    </row>
    <row r="1015" spans="1:12" s="43" customFormat="1" ht="15" x14ac:dyDescent="0.25">
      <c r="A1015" s="38" t="s">
        <v>534</v>
      </c>
      <c r="B1015" s="39" t="s">
        <v>290</v>
      </c>
      <c r="C1015" s="39" t="s">
        <v>1738</v>
      </c>
      <c r="D1015" s="40">
        <v>10.3491</v>
      </c>
      <c r="E1015" s="40">
        <v>0.34789999999999999</v>
      </c>
      <c r="F1015" s="40">
        <v>40.71</v>
      </c>
      <c r="G1015" s="41">
        <v>0.74578481945468</v>
      </c>
      <c r="H1015" s="41">
        <v>0.99145418816015696</v>
      </c>
      <c r="I1015" s="41">
        <v>-0.24566936870547801</v>
      </c>
      <c r="J1015" s="42" t="s">
        <v>532</v>
      </c>
    </row>
    <row r="1016" spans="1:12" x14ac:dyDescent="0.25">
      <c r="A1016" s="44">
        <v>2018</v>
      </c>
      <c r="B1016" s="44" t="s">
        <v>290</v>
      </c>
      <c r="C1016" s="44" t="s">
        <v>1738</v>
      </c>
      <c r="D1016" s="45">
        <v>10.3491</v>
      </c>
      <c r="E1016" s="45">
        <v>0.34789999999999999</v>
      </c>
      <c r="F1016" s="45">
        <v>40.71</v>
      </c>
      <c r="G1016" s="46">
        <v>0.74578481945467956</v>
      </c>
      <c r="H1016" s="46">
        <v>0.99145418816015707</v>
      </c>
      <c r="I1016" s="46">
        <v>-0.24566936870547773</v>
      </c>
      <c r="J1016" s="47" t="s">
        <v>533</v>
      </c>
      <c r="K1016" s="48"/>
      <c r="L1016" s="48"/>
    </row>
    <row r="1017" spans="1:12" s="43" customFormat="1" ht="15" x14ac:dyDescent="0.25">
      <c r="A1017" s="38" t="s">
        <v>634</v>
      </c>
      <c r="B1017" s="39" t="s">
        <v>142</v>
      </c>
      <c r="C1017" s="39" t="s">
        <v>1409</v>
      </c>
      <c r="D1017" s="40">
        <v>2.1945000000000001</v>
      </c>
      <c r="E1017" s="40">
        <v>2.5339</v>
      </c>
      <c r="F1017" s="40">
        <v>6.9870000000000001</v>
      </c>
      <c r="G1017" s="41">
        <v>0.68591670244740199</v>
      </c>
      <c r="H1017" s="41">
        <v>0.63734077572634895</v>
      </c>
      <c r="I1017" s="41">
        <v>4.8575926721053403E-2</v>
      </c>
      <c r="J1017" s="42" t="s">
        <v>532</v>
      </c>
    </row>
    <row r="1018" spans="1:12" x14ac:dyDescent="0.25">
      <c r="A1018" s="44">
        <v>2018</v>
      </c>
      <c r="B1018" s="44" t="s">
        <v>142</v>
      </c>
      <c r="C1018" s="44" t="s">
        <v>1409</v>
      </c>
      <c r="D1018" s="45">
        <v>2.1945000000000001</v>
      </c>
      <c r="E1018" s="45">
        <v>2.5339</v>
      </c>
      <c r="F1018" s="45">
        <v>6.9870000000000001</v>
      </c>
      <c r="G1018" s="46">
        <v>0.68591670244740233</v>
      </c>
      <c r="H1018" s="46">
        <v>0.63734077572634895</v>
      </c>
      <c r="I1018" s="46">
        <v>4.8575926721053375E-2</v>
      </c>
      <c r="J1018" s="47" t="s">
        <v>533</v>
      </c>
      <c r="K1018" s="48"/>
      <c r="L1018" s="48"/>
    </row>
    <row r="1019" spans="1:12" s="43" customFormat="1" ht="15" x14ac:dyDescent="0.25">
      <c r="A1019" s="38" t="s">
        <v>584</v>
      </c>
      <c r="B1019" s="39" t="s">
        <v>166</v>
      </c>
      <c r="C1019" s="39" t="s">
        <v>1156</v>
      </c>
      <c r="D1019" s="40">
        <v>3.0083000000000002</v>
      </c>
      <c r="E1019" s="40">
        <v>2.9771999999999998</v>
      </c>
      <c r="F1019" s="40">
        <v>6.7880000000000003</v>
      </c>
      <c r="G1019" s="41">
        <v>0.55682086034178002</v>
      </c>
      <c r="H1019" s="41">
        <v>0.56140247495580398</v>
      </c>
      <c r="I1019" s="41">
        <v>-4.58161461402484E-3</v>
      </c>
      <c r="J1019" s="42" t="s">
        <v>532</v>
      </c>
    </row>
    <row r="1020" spans="1:12" x14ac:dyDescent="0.25">
      <c r="A1020" s="44">
        <v>2018</v>
      </c>
      <c r="B1020" s="44" t="s">
        <v>166</v>
      </c>
      <c r="C1020" s="44" t="s">
        <v>1862</v>
      </c>
      <c r="D1020" s="45">
        <v>2.8098689611699443</v>
      </c>
      <c r="E1020" s="45">
        <v>2.9130579172970243</v>
      </c>
      <c r="F1020" s="45">
        <v>6.7880000000000003</v>
      </c>
      <c r="G1020" s="46">
        <v>0.586053482444027</v>
      </c>
      <c r="H1020" s="46">
        <v>0.57085180947303704</v>
      </c>
      <c r="I1020" s="46">
        <v>1.5201672970989979E-2</v>
      </c>
      <c r="J1020" s="47" t="s">
        <v>533</v>
      </c>
      <c r="K1020" s="48"/>
      <c r="L1020" s="48"/>
    </row>
    <row r="1021" spans="1:12" s="43" customFormat="1" ht="15" x14ac:dyDescent="0.25">
      <c r="A1021" s="38" t="s">
        <v>559</v>
      </c>
      <c r="B1021" s="39" t="s">
        <v>167</v>
      </c>
      <c r="C1021" s="39" t="s">
        <v>825</v>
      </c>
      <c r="D1021" s="40">
        <v>7.7655000000000003</v>
      </c>
      <c r="E1021" s="40">
        <v>7.6412000000000004</v>
      </c>
      <c r="F1021" s="40">
        <v>22.274999999999999</v>
      </c>
      <c r="G1021" s="41">
        <v>0.65138047138047095</v>
      </c>
      <c r="H1021" s="41">
        <v>0.656960718294052</v>
      </c>
      <c r="I1021" s="41">
        <v>-5.5802469135801704E-3</v>
      </c>
      <c r="J1021" s="42" t="s">
        <v>532</v>
      </c>
    </row>
    <row r="1022" spans="1:12" s="43" customFormat="1" ht="15" x14ac:dyDescent="0.25">
      <c r="A1022" s="38" t="s">
        <v>601</v>
      </c>
      <c r="B1022" s="39" t="s">
        <v>167</v>
      </c>
      <c r="C1022" s="39" t="s">
        <v>900</v>
      </c>
      <c r="D1022" s="40">
        <v>7.7655000000000003</v>
      </c>
      <c r="E1022" s="40">
        <v>10.228</v>
      </c>
      <c r="F1022" s="40">
        <v>22.274999999999999</v>
      </c>
      <c r="G1022" s="41">
        <v>0.65138047138047095</v>
      </c>
      <c r="H1022" s="41">
        <v>0.54083052749719396</v>
      </c>
      <c r="I1022" s="41">
        <v>0.110549943883277</v>
      </c>
      <c r="J1022" s="42" t="s">
        <v>532</v>
      </c>
    </row>
    <row r="1023" spans="1:12" s="43" customFormat="1" ht="15" x14ac:dyDescent="0.25">
      <c r="A1023" s="38" t="s">
        <v>674</v>
      </c>
      <c r="B1023" s="39" t="s">
        <v>181</v>
      </c>
      <c r="C1023" s="39" t="s">
        <v>859</v>
      </c>
      <c r="D1023" s="40">
        <v>2.2618</v>
      </c>
      <c r="E1023" s="40">
        <v>2.6273</v>
      </c>
      <c r="F1023" s="40">
        <v>7.3079999999999998</v>
      </c>
      <c r="G1023" s="41">
        <v>0.69050013683634404</v>
      </c>
      <c r="H1023" s="41">
        <v>0.64049158456485999</v>
      </c>
      <c r="I1023" s="41">
        <v>5.0008552271483299E-2</v>
      </c>
      <c r="J1023" s="42" t="s">
        <v>532</v>
      </c>
    </row>
    <row r="1024" spans="1:12" s="43" customFormat="1" ht="15" x14ac:dyDescent="0.25">
      <c r="A1024" s="38" t="s">
        <v>695</v>
      </c>
      <c r="B1024" s="39" t="s">
        <v>181</v>
      </c>
      <c r="C1024" s="39" t="s">
        <v>1182</v>
      </c>
      <c r="D1024" s="40">
        <v>2.3965999999999998</v>
      </c>
      <c r="E1024" s="40">
        <v>2.7191999999999998</v>
      </c>
      <c r="F1024" s="40">
        <v>7.3079999999999998</v>
      </c>
      <c r="G1024" s="41">
        <v>0.67206143951833597</v>
      </c>
      <c r="H1024" s="41">
        <v>0.62791461412151095</v>
      </c>
      <c r="I1024" s="41">
        <v>4.4146825396825198E-2</v>
      </c>
      <c r="J1024" s="42" t="s">
        <v>532</v>
      </c>
    </row>
    <row r="1025" spans="1:12" s="43" customFormat="1" ht="15" x14ac:dyDescent="0.25">
      <c r="A1025" s="38" t="s">
        <v>590</v>
      </c>
      <c r="B1025" s="39" t="s">
        <v>181</v>
      </c>
      <c r="C1025" s="39" t="s">
        <v>1382</v>
      </c>
      <c r="D1025" s="40">
        <v>2.3965999999999998</v>
      </c>
      <c r="E1025" s="40">
        <v>2.6863000000000001</v>
      </c>
      <c r="F1025" s="40">
        <v>7.2270000000000003</v>
      </c>
      <c r="G1025" s="41">
        <v>0.66838591393385904</v>
      </c>
      <c r="H1025" s="41">
        <v>0.62829666528296702</v>
      </c>
      <c r="I1025" s="41">
        <v>4.0089248650892501E-2</v>
      </c>
      <c r="J1025" s="42" t="s">
        <v>532</v>
      </c>
    </row>
    <row r="1026" spans="1:12" x14ac:dyDescent="0.25">
      <c r="A1026" s="44">
        <v>2018</v>
      </c>
      <c r="B1026" s="44" t="s">
        <v>181</v>
      </c>
      <c r="C1026" s="44" t="s">
        <v>1870</v>
      </c>
      <c r="D1026" s="45">
        <v>2.3568119487908961</v>
      </c>
      <c r="E1026" s="45">
        <v>2.678643029871977</v>
      </c>
      <c r="F1026" s="45">
        <v>7.2749317211948785</v>
      </c>
      <c r="G1026" s="46">
        <v>0.67600333688781222</v>
      </c>
      <c r="H1026" s="46">
        <v>0.63178285032397574</v>
      </c>
      <c r="I1026" s="46">
        <v>4.4220486563836384E-2</v>
      </c>
      <c r="J1026" s="47" t="s">
        <v>533</v>
      </c>
      <c r="K1026" s="48"/>
      <c r="L1026" s="48"/>
    </row>
    <row r="1027" spans="1:12" s="43" customFormat="1" ht="15" x14ac:dyDescent="0.25">
      <c r="A1027" s="38" t="s">
        <v>630</v>
      </c>
      <c r="B1027" s="39" t="s">
        <v>199</v>
      </c>
      <c r="C1027" s="39" t="s">
        <v>1260</v>
      </c>
      <c r="D1027" s="40">
        <v>2.4230999999999998</v>
      </c>
      <c r="E1027" s="40">
        <v>2.5929000000000002</v>
      </c>
      <c r="F1027" s="40">
        <v>6.9420000000000002</v>
      </c>
      <c r="G1027" s="41">
        <v>0.65095073465859998</v>
      </c>
      <c r="H1027" s="41">
        <v>0.62649092480553203</v>
      </c>
      <c r="I1027" s="41">
        <v>2.44598098530684E-2</v>
      </c>
      <c r="J1027" s="42" t="s">
        <v>532</v>
      </c>
    </row>
    <row r="1028" spans="1:12" x14ac:dyDescent="0.25">
      <c r="A1028" s="44">
        <v>2018</v>
      </c>
      <c r="B1028" s="44" t="s">
        <v>199</v>
      </c>
      <c r="C1028" s="44" t="s">
        <v>1260</v>
      </c>
      <c r="D1028" s="45">
        <v>2.4230999999999998</v>
      </c>
      <c r="E1028" s="45">
        <v>2.5929000000000002</v>
      </c>
      <c r="F1028" s="45">
        <v>6.9420000000000002</v>
      </c>
      <c r="G1028" s="46">
        <v>0.65095073465859987</v>
      </c>
      <c r="H1028" s="46">
        <v>0.62649092480553148</v>
      </c>
      <c r="I1028" s="46">
        <v>2.4459809853068393E-2</v>
      </c>
      <c r="J1028" s="47" t="s">
        <v>533</v>
      </c>
      <c r="K1028" s="48"/>
      <c r="L1028" s="48"/>
    </row>
    <row r="1029" spans="1:12" s="43" customFormat="1" ht="15" x14ac:dyDescent="0.25">
      <c r="A1029" s="38" t="s">
        <v>687</v>
      </c>
      <c r="B1029" s="39" t="s">
        <v>9</v>
      </c>
      <c r="C1029" s="39" t="s">
        <v>1106</v>
      </c>
      <c r="D1029" s="40">
        <v>2.7241</v>
      </c>
      <c r="E1029" s="40">
        <v>2.6945000000000001</v>
      </c>
      <c r="F1029" s="40">
        <v>7.47</v>
      </c>
      <c r="G1029" s="41">
        <v>0.63532351628737205</v>
      </c>
      <c r="H1029" s="41">
        <v>0.63929049531459203</v>
      </c>
      <c r="I1029" s="41">
        <v>-3.9669790272198703E-3</v>
      </c>
      <c r="J1029" s="42" t="s">
        <v>532</v>
      </c>
    </row>
    <row r="1030" spans="1:12" s="43" customFormat="1" ht="15" x14ac:dyDescent="0.25">
      <c r="A1030" s="38" t="s">
        <v>534</v>
      </c>
      <c r="B1030" s="39" t="s">
        <v>513</v>
      </c>
      <c r="C1030" s="39" t="s">
        <v>1741</v>
      </c>
      <c r="D1030" s="40">
        <v>0</v>
      </c>
      <c r="E1030" s="40">
        <v>2.3593000000000002</v>
      </c>
      <c r="F1030" s="40">
        <v>6.48</v>
      </c>
      <c r="G1030" s="41">
        <v>1</v>
      </c>
      <c r="H1030" s="41">
        <v>0.63591049382716003</v>
      </c>
      <c r="I1030" s="41">
        <v>0.36408950617284003</v>
      </c>
      <c r="J1030" s="42" t="s">
        <v>532</v>
      </c>
    </row>
    <row r="1031" spans="1:12" s="43" customFormat="1" ht="15" x14ac:dyDescent="0.25">
      <c r="A1031" s="38" t="s">
        <v>658</v>
      </c>
      <c r="B1031" s="39" t="s">
        <v>513</v>
      </c>
      <c r="C1031" s="39" t="s">
        <v>1741</v>
      </c>
      <c r="D1031" s="40">
        <v>0</v>
      </c>
      <c r="E1031" s="40">
        <v>2.3593000000000002</v>
      </c>
      <c r="F1031" s="40">
        <v>6.48</v>
      </c>
      <c r="G1031" s="41">
        <v>1</v>
      </c>
      <c r="H1031" s="41">
        <v>0.63591049382716003</v>
      </c>
      <c r="I1031" s="41">
        <v>0.36408950617284003</v>
      </c>
      <c r="J1031" s="42" t="s">
        <v>532</v>
      </c>
    </row>
    <row r="1032" spans="1:12" s="43" customFormat="1" ht="15" x14ac:dyDescent="0.25">
      <c r="A1032" s="38" t="s">
        <v>655</v>
      </c>
      <c r="B1032" s="39" t="s">
        <v>513</v>
      </c>
      <c r="C1032" s="39" t="s">
        <v>1750</v>
      </c>
      <c r="D1032" s="40">
        <v>0</v>
      </c>
      <c r="E1032" s="40">
        <v>2.3163</v>
      </c>
      <c r="F1032" s="40">
        <v>6.48</v>
      </c>
      <c r="G1032" s="41">
        <v>1</v>
      </c>
      <c r="H1032" s="41">
        <v>0.642546296296296</v>
      </c>
      <c r="I1032" s="41">
        <v>0.357453703703704</v>
      </c>
      <c r="J1032" s="42" t="s">
        <v>532</v>
      </c>
    </row>
    <row r="1033" spans="1:12" x14ac:dyDescent="0.25">
      <c r="A1033" s="44">
        <v>2018</v>
      </c>
      <c r="B1033" s="44" t="s">
        <v>513</v>
      </c>
      <c r="C1033" s="44" t="s">
        <v>1997</v>
      </c>
      <c r="D1033" s="45">
        <v>0</v>
      </c>
      <c r="E1033" s="45">
        <v>2.3462055276381912</v>
      </c>
      <c r="F1033" s="45">
        <v>6.4800000000000013</v>
      </c>
      <c r="G1033" s="46">
        <v>1</v>
      </c>
      <c r="H1033" s="46">
        <v>0.63793124573484705</v>
      </c>
      <c r="I1033" s="46">
        <v>0.36206875426515295</v>
      </c>
      <c r="J1033" s="47" t="s">
        <v>533</v>
      </c>
      <c r="K1033" s="48"/>
      <c r="L1033" s="48"/>
    </row>
    <row r="1034" spans="1:12" s="43" customFormat="1" ht="15" x14ac:dyDescent="0.25">
      <c r="A1034" s="38" t="s">
        <v>644</v>
      </c>
      <c r="B1034" s="39" t="s">
        <v>219</v>
      </c>
      <c r="C1034" s="39" t="s">
        <v>1793</v>
      </c>
      <c r="D1034" s="40"/>
      <c r="E1034" s="40">
        <v>0.16980000000000001</v>
      </c>
      <c r="F1034" s="40">
        <v>7.0369999999999999</v>
      </c>
      <c r="G1034" s="41"/>
      <c r="H1034" s="41">
        <v>0.97587039931789099</v>
      </c>
      <c r="I1034" s="41"/>
      <c r="J1034" s="42" t="s">
        <v>532</v>
      </c>
    </row>
    <row r="1035" spans="1:12" x14ac:dyDescent="0.25">
      <c r="A1035" s="44">
        <v>2018</v>
      </c>
      <c r="B1035" s="44" t="s">
        <v>219</v>
      </c>
      <c r="C1035" s="44" t="s">
        <v>1793</v>
      </c>
      <c r="D1035" s="45"/>
      <c r="E1035" s="45">
        <v>0.16980000000000001</v>
      </c>
      <c r="F1035" s="45">
        <v>7.0369999999999999</v>
      </c>
      <c r="H1035" s="46">
        <v>0.97587039931789121</v>
      </c>
      <c r="J1035" s="47" t="s">
        <v>533</v>
      </c>
      <c r="K1035" s="48"/>
      <c r="L1035" s="48"/>
    </row>
    <row r="1036" spans="1:12" s="43" customFormat="1" ht="15" x14ac:dyDescent="0.25">
      <c r="A1036" s="38" t="s">
        <v>638</v>
      </c>
      <c r="B1036" s="39" t="s">
        <v>220</v>
      </c>
      <c r="C1036" s="39" t="s">
        <v>1242</v>
      </c>
      <c r="D1036" s="40">
        <v>2.2667999999999999</v>
      </c>
      <c r="E1036" s="40">
        <v>1.9461999999999999</v>
      </c>
      <c r="F1036" s="40">
        <v>7.32</v>
      </c>
      <c r="G1036" s="41">
        <v>0.69032559198542798</v>
      </c>
      <c r="H1036" s="41">
        <v>0.73412568306010895</v>
      </c>
      <c r="I1036" s="41">
        <v>-4.3800091074681302E-2</v>
      </c>
      <c r="J1036" s="42" t="s">
        <v>532</v>
      </c>
    </row>
    <row r="1037" spans="1:12" x14ac:dyDescent="0.25">
      <c r="A1037" s="44">
        <v>2018</v>
      </c>
      <c r="B1037" s="44" t="s">
        <v>220</v>
      </c>
      <c r="C1037" s="44" t="s">
        <v>1242</v>
      </c>
      <c r="D1037" s="45">
        <v>2.2667999999999999</v>
      </c>
      <c r="E1037" s="45">
        <v>1.9461999999999999</v>
      </c>
      <c r="F1037" s="45">
        <v>7.32</v>
      </c>
      <c r="G1037" s="46">
        <v>0.69032559198542798</v>
      </c>
      <c r="H1037" s="46">
        <v>0.73412568306010928</v>
      </c>
      <c r="I1037" s="46">
        <v>-4.3800091074681302E-2</v>
      </c>
      <c r="J1037" s="47" t="s">
        <v>533</v>
      </c>
      <c r="K1037" s="48"/>
      <c r="L1037" s="48"/>
    </row>
    <row r="1038" spans="1:12" s="43" customFormat="1" ht="15" x14ac:dyDescent="0.25">
      <c r="A1038" s="38" t="s">
        <v>570</v>
      </c>
      <c r="B1038" s="39" t="s">
        <v>221</v>
      </c>
      <c r="C1038" s="39" t="s">
        <v>1439</v>
      </c>
      <c r="D1038" s="40">
        <v>2.1640999999999999</v>
      </c>
      <c r="E1038" s="40">
        <v>3.7050999999999998</v>
      </c>
      <c r="F1038" s="40">
        <v>7.5460000000000003</v>
      </c>
      <c r="G1038" s="41">
        <v>0.71320788055481898</v>
      </c>
      <c r="H1038" s="41">
        <v>0.50899593603675197</v>
      </c>
      <c r="I1038" s="41">
        <v>0.20421194451806701</v>
      </c>
      <c r="J1038" s="42" t="s">
        <v>532</v>
      </c>
    </row>
    <row r="1039" spans="1:12" x14ac:dyDescent="0.25">
      <c r="A1039" s="44">
        <v>2018</v>
      </c>
      <c r="B1039" s="44" t="s">
        <v>221</v>
      </c>
      <c r="C1039" s="44" t="s">
        <v>1439</v>
      </c>
      <c r="D1039" s="45">
        <v>2.1640999999999999</v>
      </c>
      <c r="E1039" s="45">
        <v>3.7050999999999998</v>
      </c>
      <c r="F1039" s="45">
        <v>7.5460000000000012</v>
      </c>
      <c r="G1039" s="46">
        <v>0.71320788055481943</v>
      </c>
      <c r="H1039" s="46">
        <v>0.50899593603675242</v>
      </c>
      <c r="I1039" s="46">
        <v>0.20421194451806701</v>
      </c>
      <c r="J1039" s="47" t="s">
        <v>533</v>
      </c>
      <c r="K1039" s="48"/>
      <c r="L1039" s="48"/>
    </row>
    <row r="1040" spans="1:12" s="43" customFormat="1" ht="15" x14ac:dyDescent="0.25">
      <c r="A1040" s="38" t="s">
        <v>536</v>
      </c>
      <c r="B1040" s="39" t="s">
        <v>222</v>
      </c>
      <c r="C1040" s="39" t="s">
        <v>1392</v>
      </c>
      <c r="D1040" s="40">
        <v>2.5638000000000001</v>
      </c>
      <c r="E1040" s="40">
        <v>2.7770999999999999</v>
      </c>
      <c r="F1040" s="40">
        <v>8.6639999999999997</v>
      </c>
      <c r="G1040" s="41">
        <v>0.70408442982456099</v>
      </c>
      <c r="H1040" s="41">
        <v>0.67946820175438605</v>
      </c>
      <c r="I1040" s="41">
        <v>2.4616228070175501E-2</v>
      </c>
      <c r="J1040" s="42" t="s">
        <v>532</v>
      </c>
    </row>
    <row r="1041" spans="1:12" x14ac:dyDescent="0.25">
      <c r="A1041" s="44">
        <v>2018</v>
      </c>
      <c r="B1041" s="44" t="s">
        <v>222</v>
      </c>
      <c r="C1041" s="44" t="s">
        <v>1392</v>
      </c>
      <c r="D1041" s="45">
        <v>2.5638000000000001</v>
      </c>
      <c r="E1041" s="45">
        <v>2.7770999999999999</v>
      </c>
      <c r="F1041" s="45">
        <v>8.6639999999999997</v>
      </c>
      <c r="G1041" s="46">
        <v>0.70408442982456143</v>
      </c>
      <c r="H1041" s="46">
        <v>0.67946820175438594</v>
      </c>
      <c r="I1041" s="46">
        <v>2.4616228070175494E-2</v>
      </c>
      <c r="J1041" s="47" t="s">
        <v>533</v>
      </c>
      <c r="K1041" s="48"/>
      <c r="L1041" s="48"/>
    </row>
    <row r="1042" spans="1:12" s="43" customFormat="1" ht="15" x14ac:dyDescent="0.25">
      <c r="A1042" s="38" t="s">
        <v>686</v>
      </c>
      <c r="B1042" s="39" t="s">
        <v>223</v>
      </c>
      <c r="C1042" s="39" t="s">
        <v>1096</v>
      </c>
      <c r="D1042" s="40">
        <v>2.4102999999999999</v>
      </c>
      <c r="E1042" s="40">
        <v>2.9582000000000002</v>
      </c>
      <c r="F1042" s="40">
        <v>8.5079999999999991</v>
      </c>
      <c r="G1042" s="41">
        <v>0.71670339680300899</v>
      </c>
      <c r="H1042" s="41">
        <v>0.65230665256229403</v>
      </c>
      <c r="I1042" s="41">
        <v>6.4396744240714704E-2</v>
      </c>
      <c r="J1042" s="42" t="s">
        <v>532</v>
      </c>
    </row>
    <row r="1043" spans="1:12" s="43" customFormat="1" ht="15" x14ac:dyDescent="0.25">
      <c r="A1043" s="38" t="s">
        <v>540</v>
      </c>
      <c r="B1043" s="39" t="s">
        <v>223</v>
      </c>
      <c r="C1043" s="39" t="s">
        <v>1481</v>
      </c>
      <c r="D1043" s="40">
        <v>3.181</v>
      </c>
      <c r="E1043" s="40">
        <v>3.1193</v>
      </c>
      <c r="F1043" s="40">
        <v>7.9729999999999999</v>
      </c>
      <c r="G1043" s="41">
        <v>0.60102847108992796</v>
      </c>
      <c r="H1043" s="41">
        <v>0.60876708892512199</v>
      </c>
      <c r="I1043" s="41">
        <v>-7.7386178351938097E-3</v>
      </c>
      <c r="J1043" s="42" t="s">
        <v>532</v>
      </c>
    </row>
    <row r="1044" spans="1:12" x14ac:dyDescent="0.25">
      <c r="A1044" s="44">
        <v>2018</v>
      </c>
      <c r="B1044" s="44" t="s">
        <v>223</v>
      </c>
      <c r="C1044" s="44" t="s">
        <v>1695</v>
      </c>
      <c r="D1044" s="45">
        <v>2.9072289552238804</v>
      </c>
      <c r="E1044" s="45">
        <v>3.0620734328358208</v>
      </c>
      <c r="F1044" s="45">
        <v>8.1630447761194027</v>
      </c>
      <c r="G1044" s="46">
        <v>0.64211896708950034</v>
      </c>
      <c r="H1044" s="46">
        <v>0.62423338167981912</v>
      </c>
      <c r="I1044" s="46">
        <v>1.7885585409681166E-2</v>
      </c>
      <c r="J1044" s="47" t="s">
        <v>533</v>
      </c>
      <c r="K1044" s="48"/>
      <c r="L1044" s="48"/>
    </row>
    <row r="1045" spans="1:12" s="43" customFormat="1" ht="15" x14ac:dyDescent="0.25">
      <c r="A1045" s="38" t="s">
        <v>653</v>
      </c>
      <c r="B1045" s="39" t="s">
        <v>227</v>
      </c>
      <c r="C1045" s="39" t="s">
        <v>1704</v>
      </c>
      <c r="D1045" s="40">
        <v>3.1353</v>
      </c>
      <c r="E1045" s="40">
        <v>2.3428</v>
      </c>
      <c r="F1045" s="40">
        <v>14.929</v>
      </c>
      <c r="G1045" s="41">
        <v>0.78998593341818002</v>
      </c>
      <c r="H1045" s="41">
        <v>0.84307053386027198</v>
      </c>
      <c r="I1045" s="41">
        <v>-5.3084600442092497E-2</v>
      </c>
      <c r="J1045" s="42" t="s">
        <v>532</v>
      </c>
    </row>
    <row r="1046" spans="1:12" x14ac:dyDescent="0.25">
      <c r="A1046" s="44">
        <v>2018</v>
      </c>
      <c r="B1046" s="44" t="s">
        <v>227</v>
      </c>
      <c r="C1046" s="44" t="s">
        <v>1704</v>
      </c>
      <c r="D1046" s="45">
        <v>3.1353</v>
      </c>
      <c r="E1046" s="45">
        <v>2.3428</v>
      </c>
      <c r="F1046" s="45">
        <v>14.929000000000002</v>
      </c>
      <c r="G1046" s="46">
        <v>0.78998593341817946</v>
      </c>
      <c r="H1046" s="46">
        <v>0.84307053386027198</v>
      </c>
      <c r="I1046" s="46">
        <v>-5.3084600442092511E-2</v>
      </c>
      <c r="J1046" s="47" t="s">
        <v>533</v>
      </c>
      <c r="K1046" s="48"/>
      <c r="L1046" s="48"/>
    </row>
    <row r="1047" spans="1:12" s="43" customFormat="1" ht="15" x14ac:dyDescent="0.25">
      <c r="A1047" s="38" t="s">
        <v>624</v>
      </c>
      <c r="B1047" s="39" t="s">
        <v>447</v>
      </c>
      <c r="C1047" s="39" t="s">
        <v>1178</v>
      </c>
      <c r="D1047" s="40">
        <v>0.91080000000000005</v>
      </c>
      <c r="E1047" s="40">
        <v>0.93510000000000004</v>
      </c>
      <c r="F1047" s="40">
        <v>1.57</v>
      </c>
      <c r="G1047" s="41">
        <v>0.41987261146496802</v>
      </c>
      <c r="H1047" s="41">
        <v>0.40439490445859899</v>
      </c>
      <c r="I1047" s="41">
        <v>1.54777070063694E-2</v>
      </c>
      <c r="J1047" s="42" t="s">
        <v>532</v>
      </c>
    </row>
    <row r="1048" spans="1:12" x14ac:dyDescent="0.25">
      <c r="A1048" s="44">
        <v>2018</v>
      </c>
      <c r="B1048" s="44" t="s">
        <v>447</v>
      </c>
      <c r="C1048" s="44" t="s">
        <v>1178</v>
      </c>
      <c r="D1048" s="45">
        <v>0.91080000000000005</v>
      </c>
      <c r="E1048" s="45">
        <v>0.93510000000000004</v>
      </c>
      <c r="F1048" s="45">
        <v>1.57</v>
      </c>
      <c r="G1048" s="46">
        <v>0.41987261146496818</v>
      </c>
      <c r="H1048" s="46">
        <v>0.40439490445859871</v>
      </c>
      <c r="I1048" s="46">
        <v>1.5477707006369412E-2</v>
      </c>
      <c r="J1048" s="47" t="s">
        <v>533</v>
      </c>
      <c r="K1048" s="48"/>
      <c r="L1048" s="48"/>
    </row>
    <row r="1049" spans="1:12" s="43" customFormat="1" ht="15" x14ac:dyDescent="0.25">
      <c r="A1049" s="38" t="s">
        <v>551</v>
      </c>
      <c r="B1049" s="39" t="s">
        <v>448</v>
      </c>
      <c r="C1049" s="39" t="s">
        <v>868</v>
      </c>
      <c r="D1049" s="40">
        <v>0.99260000000000004</v>
      </c>
      <c r="E1049" s="40">
        <v>1.2643</v>
      </c>
      <c r="F1049" s="40">
        <v>1.4530000000000001</v>
      </c>
      <c r="G1049" s="41">
        <v>0.31686166551961498</v>
      </c>
      <c r="H1049" s="41">
        <v>0.12986923606331699</v>
      </c>
      <c r="I1049" s="41">
        <v>0.18699242945629699</v>
      </c>
      <c r="J1049" s="42" t="s">
        <v>532</v>
      </c>
    </row>
    <row r="1050" spans="1:12" x14ac:dyDescent="0.25">
      <c r="A1050" s="44">
        <v>2018</v>
      </c>
      <c r="B1050" s="44" t="s">
        <v>448</v>
      </c>
      <c r="C1050" s="44" t="s">
        <v>868</v>
      </c>
      <c r="D1050" s="45">
        <v>0.99260000000000004</v>
      </c>
      <c r="E1050" s="45">
        <v>1.2643</v>
      </c>
      <c r="F1050" s="45">
        <v>1.4530000000000001</v>
      </c>
      <c r="G1050" s="46">
        <v>0.31686166551961459</v>
      </c>
      <c r="H1050" s="46">
        <v>0.12986923606331732</v>
      </c>
      <c r="I1050" s="46">
        <v>0.18699242945629729</v>
      </c>
      <c r="J1050" s="47" t="s">
        <v>533</v>
      </c>
      <c r="K1050" s="48"/>
      <c r="L1050" s="48"/>
    </row>
    <row r="1051" spans="1:12" s="43" customFormat="1" ht="15" x14ac:dyDescent="0.25">
      <c r="A1051" s="38" t="s">
        <v>561</v>
      </c>
      <c r="B1051" s="39" t="s">
        <v>449</v>
      </c>
      <c r="C1051" s="39" t="s">
        <v>1589</v>
      </c>
      <c r="D1051" s="40">
        <v>0.85050000000000003</v>
      </c>
      <c r="E1051" s="40">
        <v>0.97270000000000001</v>
      </c>
      <c r="F1051" s="40">
        <v>1.4490000000000001</v>
      </c>
      <c r="G1051" s="41">
        <v>0.41304347826087001</v>
      </c>
      <c r="H1051" s="41">
        <v>0.328709454796411</v>
      </c>
      <c r="I1051" s="41">
        <v>8.4334023464458202E-2</v>
      </c>
      <c r="J1051" s="42" t="s">
        <v>532</v>
      </c>
    </row>
    <row r="1052" spans="1:12" x14ac:dyDescent="0.25">
      <c r="A1052" s="44">
        <v>2018</v>
      </c>
      <c r="B1052" s="44" t="s">
        <v>449</v>
      </c>
      <c r="C1052" s="44" t="s">
        <v>1589</v>
      </c>
      <c r="D1052" s="45">
        <v>0.85050000000000003</v>
      </c>
      <c r="E1052" s="45">
        <v>0.97270000000000012</v>
      </c>
      <c r="F1052" s="45">
        <v>1.4490000000000001</v>
      </c>
      <c r="G1052" s="46">
        <v>0.41304347826086962</v>
      </c>
      <c r="H1052" s="46">
        <v>0.32870945479641134</v>
      </c>
      <c r="I1052" s="46">
        <v>8.433402346445823E-2</v>
      </c>
      <c r="J1052" s="47" t="s">
        <v>533</v>
      </c>
      <c r="K1052" s="48"/>
      <c r="L1052" s="48"/>
    </row>
    <row r="1053" spans="1:12" s="43" customFormat="1" ht="15" x14ac:dyDescent="0.25">
      <c r="A1053" s="38" t="s">
        <v>583</v>
      </c>
      <c r="B1053" s="39" t="s">
        <v>450</v>
      </c>
      <c r="C1053" s="39" t="s">
        <v>946</v>
      </c>
      <c r="D1053" s="40">
        <v>1.028</v>
      </c>
      <c r="E1053" s="40">
        <v>0.96389999999999998</v>
      </c>
      <c r="F1053" s="40">
        <v>1.3049999999999999</v>
      </c>
      <c r="G1053" s="41">
        <v>0.21223499361430401</v>
      </c>
      <c r="H1053" s="41">
        <v>0.26137931034482798</v>
      </c>
      <c r="I1053" s="41">
        <v>-4.9144316730523697E-2</v>
      </c>
      <c r="J1053" s="42" t="s">
        <v>532</v>
      </c>
    </row>
    <row r="1054" spans="1:12" x14ac:dyDescent="0.25">
      <c r="A1054" s="44">
        <v>2018</v>
      </c>
      <c r="B1054" s="44" t="s">
        <v>450</v>
      </c>
      <c r="C1054" s="44" t="s">
        <v>946</v>
      </c>
      <c r="D1054" s="45">
        <v>1.028</v>
      </c>
      <c r="E1054" s="45">
        <v>0.96389999999999998</v>
      </c>
      <c r="F1054" s="45">
        <v>1.3049999999999999</v>
      </c>
      <c r="G1054" s="46">
        <v>0.2122349936143039</v>
      </c>
      <c r="H1054" s="46">
        <v>0.26137931034482759</v>
      </c>
      <c r="I1054" s="46">
        <v>-4.9144316730523691E-2</v>
      </c>
      <c r="J1054" s="47" t="s">
        <v>533</v>
      </c>
      <c r="K1054" s="48"/>
      <c r="L1054" s="48"/>
    </row>
    <row r="1055" spans="1:12" s="43" customFormat="1" ht="15" x14ac:dyDescent="0.25">
      <c r="A1055" s="38" t="s">
        <v>548</v>
      </c>
      <c r="B1055" s="39" t="s">
        <v>451</v>
      </c>
      <c r="C1055" s="39" t="s">
        <v>1271</v>
      </c>
      <c r="D1055" s="40">
        <v>1.3617999999999999</v>
      </c>
      <c r="E1055" s="40">
        <v>1.5085999999999999</v>
      </c>
      <c r="F1055" s="40">
        <v>1.708</v>
      </c>
      <c r="G1055" s="41">
        <v>0.20269320843091301</v>
      </c>
      <c r="H1055" s="41">
        <v>0.116744730679157</v>
      </c>
      <c r="I1055" s="41">
        <v>8.5948477751756305E-2</v>
      </c>
      <c r="J1055" s="42" t="s">
        <v>532</v>
      </c>
    </row>
    <row r="1056" spans="1:12" s="43" customFormat="1" ht="15" x14ac:dyDescent="0.25">
      <c r="A1056" s="38" t="s">
        <v>599</v>
      </c>
      <c r="B1056" s="39" t="s">
        <v>451</v>
      </c>
      <c r="C1056" s="39" t="s">
        <v>1478</v>
      </c>
      <c r="D1056" s="40">
        <v>1.3617999999999999</v>
      </c>
      <c r="E1056" s="40">
        <v>1.5056</v>
      </c>
      <c r="F1056" s="40">
        <v>3.4159999999999999</v>
      </c>
      <c r="G1056" s="41">
        <v>0.60134660421545705</v>
      </c>
      <c r="H1056" s="41">
        <v>0.55925058548009399</v>
      </c>
      <c r="I1056" s="41">
        <v>4.2096018735362999E-2</v>
      </c>
      <c r="J1056" s="42" t="s">
        <v>532</v>
      </c>
    </row>
    <row r="1057" spans="1:12" x14ac:dyDescent="0.25">
      <c r="A1057" s="44">
        <v>2018</v>
      </c>
      <c r="B1057" s="44" t="s">
        <v>451</v>
      </c>
      <c r="C1057" s="44" t="s">
        <v>1964</v>
      </c>
      <c r="D1057" s="45">
        <v>1.3617999999999999</v>
      </c>
      <c r="E1057" s="45">
        <v>1.5076307692307693</v>
      </c>
      <c r="F1057" s="45">
        <v>2.2598153846153846</v>
      </c>
      <c r="G1057" s="46">
        <v>0.33148892091515036</v>
      </c>
      <c r="H1057" s="46">
        <v>0.25970816069176728</v>
      </c>
      <c r="I1057" s="46">
        <v>7.1780760223383089E-2</v>
      </c>
      <c r="J1057" s="47" t="s">
        <v>533</v>
      </c>
      <c r="K1057" s="48"/>
      <c r="L1057" s="48"/>
    </row>
    <row r="1058" spans="1:12" s="43" customFormat="1" ht="15" x14ac:dyDescent="0.25">
      <c r="A1058" s="38" t="s">
        <v>570</v>
      </c>
      <c r="B1058" s="39" t="s">
        <v>452</v>
      </c>
      <c r="C1058" s="39" t="s">
        <v>1003</v>
      </c>
      <c r="D1058" s="40">
        <v>1.1154999999999999</v>
      </c>
      <c r="E1058" s="40">
        <v>1.7007000000000001</v>
      </c>
      <c r="F1058" s="40">
        <v>1.8109999999999999</v>
      </c>
      <c r="G1058" s="41">
        <v>0.38404196576477101</v>
      </c>
      <c r="H1058" s="41">
        <v>6.0905577029265502E-2</v>
      </c>
      <c r="I1058" s="41">
        <v>0.32313638873550499</v>
      </c>
      <c r="J1058" s="42" t="s">
        <v>532</v>
      </c>
    </row>
    <row r="1059" spans="1:12" x14ac:dyDescent="0.25">
      <c r="A1059" s="44">
        <v>2018</v>
      </c>
      <c r="B1059" s="44" t="s">
        <v>452</v>
      </c>
      <c r="C1059" s="44" t="s">
        <v>1003</v>
      </c>
      <c r="D1059" s="45">
        <v>1.1154999999999999</v>
      </c>
      <c r="E1059" s="45">
        <v>1.7007000000000001</v>
      </c>
      <c r="F1059" s="45">
        <v>1.8109999999999999</v>
      </c>
      <c r="G1059" s="46">
        <v>0.3840419657647709</v>
      </c>
      <c r="H1059" s="46">
        <v>6.0905577029265523E-2</v>
      </c>
      <c r="I1059" s="46">
        <v>0.32313638873550532</v>
      </c>
      <c r="J1059" s="47" t="s">
        <v>533</v>
      </c>
      <c r="K1059" s="48"/>
      <c r="L1059" s="48"/>
    </row>
    <row r="1060" spans="1:12" s="43" customFormat="1" ht="15" x14ac:dyDescent="0.25">
      <c r="A1060" s="38" t="s">
        <v>561</v>
      </c>
      <c r="B1060" s="39" t="s">
        <v>453</v>
      </c>
      <c r="C1060" s="39" t="s">
        <v>1590</v>
      </c>
      <c r="D1060" s="40">
        <v>1.2216</v>
      </c>
      <c r="E1060" s="40">
        <v>1.3644000000000001</v>
      </c>
      <c r="F1060" s="40">
        <v>2.129</v>
      </c>
      <c r="G1060" s="41">
        <v>0.42620948802254599</v>
      </c>
      <c r="H1060" s="41">
        <v>0.35913574448097701</v>
      </c>
      <c r="I1060" s="41">
        <v>6.7073743541568795E-2</v>
      </c>
      <c r="J1060" s="42" t="s">
        <v>532</v>
      </c>
    </row>
    <row r="1061" spans="1:12" x14ac:dyDescent="0.25">
      <c r="A1061" s="44">
        <v>2018</v>
      </c>
      <c r="B1061" s="44" t="s">
        <v>453</v>
      </c>
      <c r="C1061" s="44" t="s">
        <v>1590</v>
      </c>
      <c r="D1061" s="45">
        <v>1.2216</v>
      </c>
      <c r="E1061" s="45">
        <v>1.3644000000000001</v>
      </c>
      <c r="F1061" s="45">
        <v>2.129</v>
      </c>
      <c r="G1061" s="46">
        <v>0.42620948802254577</v>
      </c>
      <c r="H1061" s="46">
        <v>0.35913574448097696</v>
      </c>
      <c r="I1061" s="46">
        <v>6.7073743541568809E-2</v>
      </c>
      <c r="J1061" s="47" t="s">
        <v>533</v>
      </c>
      <c r="K1061" s="48"/>
      <c r="L1061" s="48"/>
    </row>
    <row r="1062" spans="1:12" s="43" customFormat="1" ht="15" x14ac:dyDescent="0.25">
      <c r="A1062" s="38" t="s">
        <v>633</v>
      </c>
      <c r="B1062" s="39" t="s">
        <v>231</v>
      </c>
      <c r="C1062" s="39" t="s">
        <v>1406</v>
      </c>
      <c r="D1062" s="40">
        <v>1.6588000000000001</v>
      </c>
      <c r="E1062" s="40">
        <v>1.9867999999999999</v>
      </c>
      <c r="F1062" s="40">
        <v>2.6859999999999999</v>
      </c>
      <c r="G1062" s="41">
        <v>0.38242740134028302</v>
      </c>
      <c r="H1062" s="41">
        <v>0.26031273268801203</v>
      </c>
      <c r="I1062" s="41">
        <v>0.122114668652271</v>
      </c>
      <c r="J1062" s="42" t="s">
        <v>532</v>
      </c>
    </row>
    <row r="1063" spans="1:12" x14ac:dyDescent="0.25">
      <c r="A1063" s="44">
        <v>2018</v>
      </c>
      <c r="B1063" s="44" t="s">
        <v>231</v>
      </c>
      <c r="C1063" s="44" t="s">
        <v>1406</v>
      </c>
      <c r="D1063" s="45">
        <v>1.6588000000000001</v>
      </c>
      <c r="E1063" s="45">
        <v>1.9867999999999999</v>
      </c>
      <c r="F1063" s="45">
        <v>2.6859999999999999</v>
      </c>
      <c r="G1063" s="46">
        <v>0.38242740134028286</v>
      </c>
      <c r="H1063" s="46">
        <v>0.26031273268801192</v>
      </c>
      <c r="I1063" s="46">
        <v>0.122114668652271</v>
      </c>
      <c r="J1063" s="47" t="s">
        <v>533</v>
      </c>
      <c r="K1063" s="48"/>
      <c r="L1063" s="48"/>
    </row>
    <row r="1064" spans="1:12" s="43" customFormat="1" ht="15" x14ac:dyDescent="0.25">
      <c r="A1064" s="38" t="s">
        <v>563</v>
      </c>
      <c r="B1064" s="39" t="s">
        <v>232</v>
      </c>
      <c r="C1064" s="39" t="s">
        <v>1464</v>
      </c>
      <c r="D1064" s="40">
        <v>1.7262</v>
      </c>
      <c r="E1064" s="40">
        <v>1.847</v>
      </c>
      <c r="F1064" s="40">
        <v>3.6640000000000001</v>
      </c>
      <c r="G1064" s="41">
        <v>0.52887554585152796</v>
      </c>
      <c r="H1064" s="41">
        <v>0.495906113537118</v>
      </c>
      <c r="I1064" s="41">
        <v>3.2969432314410498E-2</v>
      </c>
      <c r="J1064" s="42" t="s">
        <v>532</v>
      </c>
    </row>
    <row r="1065" spans="1:12" x14ac:dyDescent="0.25">
      <c r="A1065" s="44">
        <v>2018</v>
      </c>
      <c r="B1065" s="44" t="s">
        <v>232</v>
      </c>
      <c r="C1065" s="44" t="s">
        <v>1464</v>
      </c>
      <c r="D1065" s="45">
        <v>1.7262</v>
      </c>
      <c r="E1065" s="45">
        <v>1.847</v>
      </c>
      <c r="F1065" s="45">
        <v>3.6639999999999997</v>
      </c>
      <c r="G1065" s="46">
        <v>0.52887554585152841</v>
      </c>
      <c r="H1065" s="46">
        <v>0.49590611353711794</v>
      </c>
      <c r="I1065" s="46">
        <v>3.2969432314410463E-2</v>
      </c>
      <c r="J1065" s="47" t="s">
        <v>533</v>
      </c>
      <c r="K1065" s="48"/>
      <c r="L1065" s="48"/>
    </row>
    <row r="1066" spans="1:12" s="43" customFormat="1" ht="15" x14ac:dyDescent="0.25">
      <c r="A1066" s="38" t="s">
        <v>634</v>
      </c>
      <c r="B1066" s="39" t="s">
        <v>424</v>
      </c>
      <c r="C1066" s="39" t="s">
        <v>1414</v>
      </c>
      <c r="D1066" s="40">
        <v>2.194</v>
      </c>
      <c r="E1066" s="40">
        <v>2.9327000000000001</v>
      </c>
      <c r="F1066" s="40">
        <v>2.956</v>
      </c>
      <c r="G1066" s="41">
        <v>0.25778078484438399</v>
      </c>
      <c r="H1066" s="41">
        <v>7.8822733423544906E-3</v>
      </c>
      <c r="I1066" s="41">
        <v>0.24989851150202999</v>
      </c>
      <c r="J1066" s="42" t="s">
        <v>532</v>
      </c>
    </row>
    <row r="1067" spans="1:12" x14ac:dyDescent="0.25">
      <c r="A1067" s="44">
        <v>2018</v>
      </c>
      <c r="B1067" s="44" t="s">
        <v>424</v>
      </c>
      <c r="C1067" s="44" t="s">
        <v>1414</v>
      </c>
      <c r="D1067" s="45">
        <v>2.194</v>
      </c>
      <c r="E1067" s="45">
        <v>2.9327000000000001</v>
      </c>
      <c r="F1067" s="45">
        <v>2.956</v>
      </c>
      <c r="G1067" s="46">
        <v>0.25778078484438433</v>
      </c>
      <c r="H1067" s="46">
        <v>7.8822733423544906E-3</v>
      </c>
      <c r="I1067" s="46">
        <v>0.24989851150202985</v>
      </c>
      <c r="J1067" s="47" t="s">
        <v>533</v>
      </c>
      <c r="K1067" s="48"/>
      <c r="L1067" s="48"/>
    </row>
    <row r="1068" spans="1:12" s="43" customFormat="1" ht="15" x14ac:dyDescent="0.25">
      <c r="A1068" s="38" t="s">
        <v>563</v>
      </c>
      <c r="B1068" s="39" t="s">
        <v>229</v>
      </c>
      <c r="C1068" s="39" t="s">
        <v>946</v>
      </c>
      <c r="D1068" s="40">
        <v>1.5855999999999999</v>
      </c>
      <c r="E1068" s="40">
        <v>2.1442999999999999</v>
      </c>
      <c r="F1068" s="40">
        <v>3.7690000000000001</v>
      </c>
      <c r="G1068" s="41">
        <v>0.57930485539930998</v>
      </c>
      <c r="H1068" s="41">
        <v>0.431069249137702</v>
      </c>
      <c r="I1068" s="41">
        <v>0.14823560626160801</v>
      </c>
      <c r="J1068" s="42" t="s">
        <v>532</v>
      </c>
    </row>
    <row r="1069" spans="1:12" x14ac:dyDescent="0.25">
      <c r="A1069" s="44">
        <v>2018</v>
      </c>
      <c r="B1069" s="44" t="s">
        <v>229</v>
      </c>
      <c r="C1069" s="44" t="s">
        <v>946</v>
      </c>
      <c r="D1069" s="45">
        <v>1.5855999999999997</v>
      </c>
      <c r="E1069" s="45">
        <v>2.1442999999999999</v>
      </c>
      <c r="F1069" s="45">
        <v>3.7690000000000001</v>
      </c>
      <c r="G1069" s="46">
        <v>0.5793048553993102</v>
      </c>
      <c r="H1069" s="46">
        <v>0.43106924913770234</v>
      </c>
      <c r="I1069" s="46">
        <v>0.14823560626160787</v>
      </c>
      <c r="J1069" s="47" t="s">
        <v>533</v>
      </c>
      <c r="K1069" s="48"/>
      <c r="L1069" s="48"/>
    </row>
    <row r="1070" spans="1:12" s="43" customFormat="1" ht="15" x14ac:dyDescent="0.25">
      <c r="A1070" s="38" t="s">
        <v>563</v>
      </c>
      <c r="B1070" s="39" t="s">
        <v>425</v>
      </c>
      <c r="C1070" s="39" t="s">
        <v>1465</v>
      </c>
      <c r="D1070" s="40">
        <v>2.0996000000000001</v>
      </c>
      <c r="E1070" s="40">
        <v>2.2799999999999998</v>
      </c>
      <c r="F1070" s="40">
        <v>3.1589999999999998</v>
      </c>
      <c r="G1070" s="41">
        <v>0.33535929091484601</v>
      </c>
      <c r="H1070" s="41">
        <v>0.278252611585945</v>
      </c>
      <c r="I1070" s="41">
        <v>5.71066793289014E-2</v>
      </c>
      <c r="J1070" s="42" t="s">
        <v>532</v>
      </c>
    </row>
    <row r="1071" spans="1:12" x14ac:dyDescent="0.25">
      <c r="A1071" s="44">
        <v>2018</v>
      </c>
      <c r="B1071" s="44" t="s">
        <v>425</v>
      </c>
      <c r="C1071" s="44" t="s">
        <v>1465</v>
      </c>
      <c r="D1071" s="45">
        <v>2.0996000000000001</v>
      </c>
      <c r="E1071" s="45">
        <v>2.2799999999999998</v>
      </c>
      <c r="F1071" s="45">
        <v>3.1589999999999998</v>
      </c>
      <c r="G1071" s="46">
        <v>0.3353592909148464</v>
      </c>
      <c r="H1071" s="46">
        <v>0.27825261158594494</v>
      </c>
      <c r="I1071" s="46">
        <v>5.7106679328901455E-2</v>
      </c>
      <c r="J1071" s="47" t="s">
        <v>533</v>
      </c>
      <c r="K1071" s="48"/>
      <c r="L1071" s="48"/>
    </row>
    <row r="1072" spans="1:12" s="43" customFormat="1" ht="15" x14ac:dyDescent="0.25">
      <c r="A1072" s="38" t="s">
        <v>540</v>
      </c>
      <c r="B1072" s="39" t="s">
        <v>228</v>
      </c>
      <c r="C1072" s="39" t="s">
        <v>1597</v>
      </c>
      <c r="D1072" s="40">
        <v>2.2473999999999998</v>
      </c>
      <c r="E1072" s="40">
        <v>3.6877</v>
      </c>
      <c r="F1072" s="40">
        <v>3.7320000000000002</v>
      </c>
      <c r="G1072" s="41">
        <v>0.397802786709539</v>
      </c>
      <c r="H1072" s="41">
        <v>1.18703108252948E-2</v>
      </c>
      <c r="I1072" s="41">
        <v>0.38593247588424401</v>
      </c>
      <c r="J1072" s="42" t="s">
        <v>532</v>
      </c>
    </row>
    <row r="1073" spans="1:12" x14ac:dyDescent="0.25">
      <c r="A1073" s="44">
        <v>2018</v>
      </c>
      <c r="B1073" s="44" t="s">
        <v>228</v>
      </c>
      <c r="C1073" s="44" t="s">
        <v>1597</v>
      </c>
      <c r="D1073" s="45">
        <v>2.2473999999999998</v>
      </c>
      <c r="E1073" s="45">
        <v>3.6877</v>
      </c>
      <c r="F1073" s="45">
        <v>3.7320000000000002</v>
      </c>
      <c r="G1073" s="46">
        <v>0.39780278670953922</v>
      </c>
      <c r="H1073" s="46">
        <v>1.187031082529481E-2</v>
      </c>
      <c r="I1073" s="46">
        <v>0.38593247588424434</v>
      </c>
      <c r="J1073" s="47" t="s">
        <v>533</v>
      </c>
      <c r="K1073" s="48"/>
      <c r="L1073" s="48"/>
    </row>
    <row r="1074" spans="1:12" s="43" customFormat="1" ht="15" x14ac:dyDescent="0.25">
      <c r="A1074" s="38" t="s">
        <v>540</v>
      </c>
      <c r="B1074" s="39" t="s">
        <v>426</v>
      </c>
      <c r="C1074" s="39" t="s">
        <v>1598</v>
      </c>
      <c r="D1074" s="40">
        <v>2.2517999999999998</v>
      </c>
      <c r="E1074" s="40">
        <v>3.4184000000000001</v>
      </c>
      <c r="F1074" s="40">
        <v>4.0149999999999997</v>
      </c>
      <c r="G1074" s="41">
        <v>0.439153175591532</v>
      </c>
      <c r="H1074" s="41">
        <v>0.148592777085928</v>
      </c>
      <c r="I1074" s="41">
        <v>0.290560398505604</v>
      </c>
      <c r="J1074" s="42" t="s">
        <v>532</v>
      </c>
    </row>
    <row r="1075" spans="1:12" x14ac:dyDescent="0.25">
      <c r="A1075" s="44">
        <v>2018</v>
      </c>
      <c r="B1075" s="44" t="s">
        <v>426</v>
      </c>
      <c r="C1075" s="44" t="s">
        <v>1598</v>
      </c>
      <c r="D1075" s="45">
        <v>2.2517999999999998</v>
      </c>
      <c r="E1075" s="45">
        <v>3.4184000000000001</v>
      </c>
      <c r="F1075" s="45">
        <v>4.0149999999999997</v>
      </c>
      <c r="G1075" s="46">
        <v>0.43915317559153166</v>
      </c>
      <c r="H1075" s="46">
        <v>0.14859277708592766</v>
      </c>
      <c r="I1075" s="46">
        <v>0.290560398505604</v>
      </c>
      <c r="J1075" s="47" t="s">
        <v>533</v>
      </c>
      <c r="K1075" s="48"/>
      <c r="L1075" s="48"/>
    </row>
    <row r="1076" spans="1:12" s="43" customFormat="1" ht="15" x14ac:dyDescent="0.25">
      <c r="A1076" s="38" t="s">
        <v>540</v>
      </c>
      <c r="B1076" s="39" t="s">
        <v>427</v>
      </c>
      <c r="C1076" s="39" t="s">
        <v>1599</v>
      </c>
      <c r="D1076" s="40">
        <v>10.5784</v>
      </c>
      <c r="E1076" s="40">
        <v>5.7542</v>
      </c>
      <c r="F1076" s="40">
        <v>5.1909999999999998</v>
      </c>
      <c r="G1076" s="41">
        <v>-1.03783471392795</v>
      </c>
      <c r="H1076" s="41">
        <v>-0.108495472933924</v>
      </c>
      <c r="I1076" s="41">
        <v>-0.92933924099402798</v>
      </c>
      <c r="J1076" s="42" t="s">
        <v>532</v>
      </c>
    </row>
    <row r="1077" spans="1:12" x14ac:dyDescent="0.25">
      <c r="A1077" s="44">
        <v>2018</v>
      </c>
      <c r="B1077" s="44" t="s">
        <v>427</v>
      </c>
      <c r="C1077" s="44" t="s">
        <v>1599</v>
      </c>
      <c r="D1077" s="45">
        <v>10.5784</v>
      </c>
      <c r="E1077" s="45">
        <v>5.7542</v>
      </c>
      <c r="F1077" s="45">
        <v>5.1909999999999998</v>
      </c>
      <c r="G1077" s="46">
        <v>-1.0378347139279522</v>
      </c>
      <c r="H1077" s="46">
        <v>-0.10849547293392413</v>
      </c>
      <c r="I1077" s="46">
        <v>-0.92933924099402809</v>
      </c>
      <c r="J1077" s="47" t="s">
        <v>533</v>
      </c>
      <c r="K1077" s="48"/>
      <c r="L1077" s="48"/>
    </row>
    <row r="1078" spans="1:12" s="43" customFormat="1" ht="15" x14ac:dyDescent="0.25">
      <c r="A1078" s="38" t="s">
        <v>553</v>
      </c>
      <c r="B1078" s="39" t="s">
        <v>94</v>
      </c>
      <c r="C1078" s="39" t="s">
        <v>1283</v>
      </c>
      <c r="D1078" s="40">
        <v>4.4519000000000002</v>
      </c>
      <c r="E1078" s="40">
        <v>2.12</v>
      </c>
      <c r="F1078" s="40">
        <v>9.69</v>
      </c>
      <c r="G1078" s="41">
        <v>0.54056759545923605</v>
      </c>
      <c r="H1078" s="41">
        <v>0.781217750257998</v>
      </c>
      <c r="I1078" s="41">
        <v>-0.24065015479876201</v>
      </c>
      <c r="J1078" s="42" t="s">
        <v>532</v>
      </c>
    </row>
    <row r="1079" spans="1:12" x14ac:dyDescent="0.25">
      <c r="A1079" s="44">
        <v>2018</v>
      </c>
      <c r="B1079" s="44" t="s">
        <v>94</v>
      </c>
      <c r="C1079" s="44" t="s">
        <v>1283</v>
      </c>
      <c r="D1079" s="45">
        <v>4.4519000000000002</v>
      </c>
      <c r="E1079" s="45">
        <v>2.12</v>
      </c>
      <c r="F1079" s="45">
        <v>9.69</v>
      </c>
      <c r="G1079" s="46">
        <v>0.54056759545923627</v>
      </c>
      <c r="H1079" s="46">
        <v>0.78121775025799789</v>
      </c>
      <c r="I1079" s="46">
        <v>-0.24065015479876162</v>
      </c>
      <c r="J1079" s="47" t="s">
        <v>533</v>
      </c>
      <c r="K1079" s="48"/>
      <c r="L1079" s="48"/>
    </row>
    <row r="1080" spans="1:12" s="43" customFormat="1" ht="15" x14ac:dyDescent="0.25">
      <c r="A1080" s="38" t="s">
        <v>553</v>
      </c>
      <c r="B1080" s="39" t="s">
        <v>95</v>
      </c>
      <c r="C1080" s="39" t="s">
        <v>1101</v>
      </c>
      <c r="D1080" s="40">
        <v>3.9287000000000001</v>
      </c>
      <c r="E1080" s="40">
        <v>3.8936000000000002</v>
      </c>
      <c r="F1080" s="40">
        <v>9.7010000000000005</v>
      </c>
      <c r="G1080" s="41">
        <v>0.59502113184207805</v>
      </c>
      <c r="H1080" s="41">
        <v>0.59863931553448102</v>
      </c>
      <c r="I1080" s="41">
        <v>-3.61818369240285E-3</v>
      </c>
      <c r="J1080" s="42" t="s">
        <v>532</v>
      </c>
    </row>
    <row r="1081" spans="1:12" x14ac:dyDescent="0.25">
      <c r="A1081" s="44">
        <v>2018</v>
      </c>
      <c r="B1081" s="44" t="s">
        <v>95</v>
      </c>
      <c r="C1081" s="44" t="s">
        <v>1101</v>
      </c>
      <c r="D1081" s="45">
        <v>3.9287000000000001</v>
      </c>
      <c r="E1081" s="45">
        <v>3.8936000000000002</v>
      </c>
      <c r="F1081" s="45">
        <v>9.7010000000000005</v>
      </c>
      <c r="G1081" s="46">
        <v>0.59502113184207817</v>
      </c>
      <c r="H1081" s="46">
        <v>0.59863931553448102</v>
      </c>
      <c r="I1081" s="46">
        <v>-3.6181836924028543E-3</v>
      </c>
      <c r="J1081" s="47" t="s">
        <v>533</v>
      </c>
      <c r="K1081" s="48"/>
      <c r="L1081" s="48"/>
    </row>
    <row r="1082" spans="1:12" s="43" customFormat="1" ht="15" x14ac:dyDescent="0.25">
      <c r="A1082" s="38" t="s">
        <v>676</v>
      </c>
      <c r="B1082" s="39" t="s">
        <v>123</v>
      </c>
      <c r="C1082" s="39" t="s">
        <v>920</v>
      </c>
      <c r="D1082" s="40">
        <v>4.4029999999999996</v>
      </c>
      <c r="E1082" s="40">
        <v>4.7180999999999997</v>
      </c>
      <c r="F1082" s="40">
        <v>9.8059999999999992</v>
      </c>
      <c r="G1082" s="41">
        <v>0.55098919029165805</v>
      </c>
      <c r="H1082" s="41">
        <v>0.51885580256985497</v>
      </c>
      <c r="I1082" s="41">
        <v>3.2133387721802797E-2</v>
      </c>
      <c r="J1082" s="42" t="s">
        <v>532</v>
      </c>
    </row>
    <row r="1083" spans="1:12" s="43" customFormat="1" ht="15" x14ac:dyDescent="0.25">
      <c r="A1083" s="38" t="s">
        <v>537</v>
      </c>
      <c r="B1083" s="39" t="s">
        <v>123</v>
      </c>
      <c r="C1083" s="39" t="s">
        <v>1114</v>
      </c>
      <c r="D1083" s="40">
        <v>4.4029999999999996</v>
      </c>
      <c r="E1083" s="40">
        <v>7.3796999999999997</v>
      </c>
      <c r="F1083" s="40">
        <v>9.8059999999999992</v>
      </c>
      <c r="G1083" s="41">
        <v>0.55098919029165805</v>
      </c>
      <c r="H1083" s="41">
        <v>0.24743014480930001</v>
      </c>
      <c r="I1083" s="41">
        <v>0.30355904548235801</v>
      </c>
      <c r="J1083" s="42" t="s">
        <v>532</v>
      </c>
    </row>
    <row r="1084" spans="1:12" s="43" customFormat="1" ht="15" x14ac:dyDescent="0.25">
      <c r="A1084" s="38" t="s">
        <v>604</v>
      </c>
      <c r="B1084" s="39" t="s">
        <v>123</v>
      </c>
      <c r="C1084" s="39" t="s">
        <v>1366</v>
      </c>
      <c r="D1084" s="40">
        <v>4.4781000000000004</v>
      </c>
      <c r="E1084" s="40">
        <v>3.4512999999999998</v>
      </c>
      <c r="F1084" s="40">
        <v>9.8170000000000002</v>
      </c>
      <c r="G1084" s="41">
        <v>0.54384231435265395</v>
      </c>
      <c r="H1084" s="41">
        <v>0.64843638586126096</v>
      </c>
      <c r="I1084" s="41">
        <v>-0.104594071508607</v>
      </c>
      <c r="J1084" s="42" t="s">
        <v>532</v>
      </c>
    </row>
    <row r="1085" spans="1:12" x14ac:dyDescent="0.25">
      <c r="A1085" s="44">
        <v>2018</v>
      </c>
      <c r="B1085" s="44" t="s">
        <v>123</v>
      </c>
      <c r="C1085" s="44" t="s">
        <v>1889</v>
      </c>
      <c r="D1085" s="45">
        <v>4.4339743502343412</v>
      </c>
      <c r="E1085" s="45">
        <v>5.2230625905411161</v>
      </c>
      <c r="F1085" s="45">
        <v>9.8105368555602883</v>
      </c>
      <c r="G1085" s="46">
        <v>0.54804152266960604</v>
      </c>
      <c r="H1085" s="46">
        <v>0.46752319016892563</v>
      </c>
      <c r="I1085" s="46">
        <v>8.0518332500680356E-2</v>
      </c>
      <c r="J1085" s="47" t="s">
        <v>533</v>
      </c>
      <c r="K1085" s="48"/>
      <c r="L1085" s="48"/>
    </row>
    <row r="1086" spans="1:12" s="43" customFormat="1" ht="15" x14ac:dyDescent="0.25">
      <c r="A1086" s="38" t="s">
        <v>655</v>
      </c>
      <c r="B1086" s="39" t="s">
        <v>392</v>
      </c>
      <c r="C1086" s="39" t="s">
        <v>1599</v>
      </c>
      <c r="D1086" s="40">
        <v>3.4722</v>
      </c>
      <c r="E1086" s="40">
        <v>4.508</v>
      </c>
      <c r="F1086" s="40">
        <v>61.83</v>
      </c>
      <c r="G1086" s="41">
        <v>0.94384198609089398</v>
      </c>
      <c r="H1086" s="41">
        <v>0.927090409186479</v>
      </c>
      <c r="I1086" s="41">
        <v>1.67515769044153E-2</v>
      </c>
      <c r="J1086" s="42" t="s">
        <v>532</v>
      </c>
    </row>
    <row r="1087" spans="1:12" x14ac:dyDescent="0.25">
      <c r="A1087" s="44">
        <v>2018</v>
      </c>
      <c r="B1087" s="44" t="s">
        <v>392</v>
      </c>
      <c r="C1087" s="44" t="s">
        <v>1599</v>
      </c>
      <c r="D1087" s="45">
        <v>3.4722</v>
      </c>
      <c r="E1087" s="45">
        <v>4.508</v>
      </c>
      <c r="F1087" s="45">
        <v>61.829999999999991</v>
      </c>
      <c r="G1087" s="46">
        <v>0.94384198609089409</v>
      </c>
      <c r="H1087" s="46">
        <v>0.92709040918647911</v>
      </c>
      <c r="I1087" s="46">
        <v>1.6751576904415311E-2</v>
      </c>
      <c r="J1087" s="47" t="s">
        <v>533</v>
      </c>
      <c r="K1087" s="48"/>
      <c r="L1087" s="48"/>
    </row>
    <row r="1088" spans="1:12" s="43" customFormat="1" ht="15" x14ac:dyDescent="0.25">
      <c r="A1088" s="38" t="s">
        <v>652</v>
      </c>
      <c r="B1088" s="39" t="s">
        <v>393</v>
      </c>
      <c r="C1088" s="39" t="s">
        <v>1381</v>
      </c>
      <c r="D1088" s="40">
        <v>3.8992</v>
      </c>
      <c r="E1088" s="40">
        <v>4.3224</v>
      </c>
      <c r="F1088" s="40"/>
      <c r="G1088" s="41"/>
      <c r="H1088" s="41"/>
      <c r="I1088" s="41"/>
      <c r="J1088" s="39" t="s">
        <v>532</v>
      </c>
    </row>
    <row r="1089" spans="1:12" x14ac:dyDescent="0.25">
      <c r="A1089" s="44">
        <v>2018</v>
      </c>
      <c r="B1089" s="44" t="s">
        <v>393</v>
      </c>
      <c r="C1089" s="44" t="s">
        <v>1381</v>
      </c>
      <c r="D1089" s="45">
        <v>3.8992</v>
      </c>
      <c r="E1089" s="45">
        <v>4.3224</v>
      </c>
      <c r="F1089" s="45"/>
      <c r="J1089" s="47" t="s">
        <v>533</v>
      </c>
      <c r="K1089" s="48"/>
      <c r="L1089" s="48"/>
    </row>
    <row r="1090" spans="1:12" s="43" customFormat="1" ht="15" x14ac:dyDescent="0.25">
      <c r="A1090" s="38" t="s">
        <v>686</v>
      </c>
      <c r="B1090" s="39" t="s">
        <v>193</v>
      </c>
      <c r="C1090" s="39" t="s">
        <v>1093</v>
      </c>
      <c r="D1090" s="40">
        <v>3.6758000000000002</v>
      </c>
      <c r="E1090" s="40">
        <v>7.9657999999999998</v>
      </c>
      <c r="F1090" s="40">
        <v>12.35</v>
      </c>
      <c r="G1090" s="41">
        <v>0.70236437246963601</v>
      </c>
      <c r="H1090" s="41">
        <v>0.35499595141700402</v>
      </c>
      <c r="I1090" s="41">
        <v>0.34736842105263199</v>
      </c>
      <c r="J1090" s="42" t="s">
        <v>532</v>
      </c>
    </row>
    <row r="1091" spans="1:12" s="43" customFormat="1" ht="15" x14ac:dyDescent="0.25">
      <c r="A1091" s="38" t="s">
        <v>556</v>
      </c>
      <c r="B1091" s="39" t="s">
        <v>193</v>
      </c>
      <c r="C1091" s="39" t="s">
        <v>1379</v>
      </c>
      <c r="D1091" s="40">
        <v>5.3124000000000002</v>
      </c>
      <c r="E1091" s="40">
        <v>5.3040000000000003</v>
      </c>
      <c r="F1091" s="40">
        <v>12.500999999999999</v>
      </c>
      <c r="G1091" s="41">
        <v>0.575041996640269</v>
      </c>
      <c r="H1091" s="41">
        <v>0.57571394288456901</v>
      </c>
      <c r="I1091" s="41">
        <v>-6.7194624430044802E-4</v>
      </c>
      <c r="J1091" s="42" t="s">
        <v>532</v>
      </c>
    </row>
    <row r="1092" spans="1:12" s="43" customFormat="1" ht="15" x14ac:dyDescent="0.25">
      <c r="A1092" s="38" t="s">
        <v>620</v>
      </c>
      <c r="B1092" s="39" t="s">
        <v>193</v>
      </c>
      <c r="C1092" s="39" t="s">
        <v>1644</v>
      </c>
      <c r="D1092" s="40">
        <v>5.3124000000000002</v>
      </c>
      <c r="E1092" s="40"/>
      <c r="F1092" s="40">
        <v>12.500999999999999</v>
      </c>
      <c r="G1092" s="41">
        <v>0.575041996640269</v>
      </c>
      <c r="H1092" s="41"/>
      <c r="I1092" s="41"/>
      <c r="J1092" s="42" t="s">
        <v>532</v>
      </c>
    </row>
    <row r="1093" spans="1:12" x14ac:dyDescent="0.25">
      <c r="A1093" s="44">
        <v>2018</v>
      </c>
      <c r="B1093" s="44" t="s">
        <v>193</v>
      </c>
      <c r="C1093" s="44" t="s">
        <v>1938</v>
      </c>
      <c r="D1093" s="45">
        <v>5.0408141414141419</v>
      </c>
      <c r="E1093" s="45">
        <v>4.6895050505050504</v>
      </c>
      <c r="F1093" s="45">
        <v>12.475942279942279</v>
      </c>
      <c r="G1093" s="46">
        <v>0.59617052942580584</v>
      </c>
      <c r="H1093" s="46">
        <v>0.4244425242166896</v>
      </c>
      <c r="I1093" s="46">
        <v>5.721747773962544E-2</v>
      </c>
      <c r="J1093" s="47" t="s">
        <v>533</v>
      </c>
      <c r="K1093" s="48"/>
      <c r="L1093" s="48"/>
    </row>
    <row r="1094" spans="1:12" s="43" customFormat="1" ht="15" x14ac:dyDescent="0.25">
      <c r="A1094" s="38" t="s">
        <v>608</v>
      </c>
      <c r="B1094" s="39" t="s">
        <v>395</v>
      </c>
      <c r="C1094" s="39" t="s">
        <v>946</v>
      </c>
      <c r="D1094" s="40">
        <v>4.8838999999999997</v>
      </c>
      <c r="E1094" s="40">
        <v>7.2312000000000003</v>
      </c>
      <c r="F1094" s="40">
        <v>12.365</v>
      </c>
      <c r="G1094" s="41">
        <v>0.60502224019409601</v>
      </c>
      <c r="H1094" s="41">
        <v>0.41518803073190502</v>
      </c>
      <c r="I1094" s="41">
        <v>0.18983420946219201</v>
      </c>
      <c r="J1094" s="42" t="s">
        <v>532</v>
      </c>
    </row>
    <row r="1095" spans="1:12" x14ac:dyDescent="0.25">
      <c r="A1095" s="44">
        <v>2018</v>
      </c>
      <c r="B1095" s="44" t="s">
        <v>395</v>
      </c>
      <c r="C1095" s="44" t="s">
        <v>946</v>
      </c>
      <c r="D1095" s="45">
        <v>4.8838999999999997</v>
      </c>
      <c r="E1095" s="45">
        <v>7.2312000000000003</v>
      </c>
      <c r="F1095" s="45">
        <v>12.365</v>
      </c>
      <c r="G1095" s="46">
        <v>0.60502224019409623</v>
      </c>
      <c r="H1095" s="46">
        <v>0.41518803073190463</v>
      </c>
      <c r="I1095" s="46">
        <v>0.18983420946219165</v>
      </c>
      <c r="J1095" s="47" t="s">
        <v>533</v>
      </c>
      <c r="K1095" s="48"/>
      <c r="L1095" s="48"/>
    </row>
    <row r="1096" spans="1:12" s="43" customFormat="1" ht="15" x14ac:dyDescent="0.25">
      <c r="A1096" s="38" t="s">
        <v>666</v>
      </c>
      <c r="B1096" s="39" t="s">
        <v>90</v>
      </c>
      <c r="C1096" s="39" t="s">
        <v>719</v>
      </c>
      <c r="D1096" s="40">
        <v>0.69869999999999999</v>
      </c>
      <c r="E1096" s="40">
        <v>0.64800000000000002</v>
      </c>
      <c r="F1096" s="40">
        <v>1.68</v>
      </c>
      <c r="G1096" s="41">
        <v>0.58410714285714305</v>
      </c>
      <c r="H1096" s="41">
        <v>0.614315476190476</v>
      </c>
      <c r="I1096" s="41">
        <v>-3.0208333333333299E-2</v>
      </c>
      <c r="J1096" s="42" t="s">
        <v>532</v>
      </c>
    </row>
    <row r="1097" spans="1:12" s="43" customFormat="1" ht="15" x14ac:dyDescent="0.25">
      <c r="A1097" s="38" t="s">
        <v>675</v>
      </c>
      <c r="B1097" s="39" t="s">
        <v>90</v>
      </c>
      <c r="C1097" s="39" t="s">
        <v>914</v>
      </c>
      <c r="D1097" s="40">
        <v>0.69869999999999999</v>
      </c>
      <c r="E1097" s="40">
        <v>0.79769999999999996</v>
      </c>
      <c r="F1097" s="40">
        <v>1.68</v>
      </c>
      <c r="G1097" s="41">
        <v>0.58410714285714305</v>
      </c>
      <c r="H1097" s="41">
        <v>0.52517361111111105</v>
      </c>
      <c r="I1097" s="41">
        <v>5.8933531746031803E-2</v>
      </c>
      <c r="J1097" s="42" t="s">
        <v>532</v>
      </c>
    </row>
    <row r="1098" spans="1:12" s="43" customFormat="1" ht="15" x14ac:dyDescent="0.25">
      <c r="A1098" s="38" t="s">
        <v>592</v>
      </c>
      <c r="B1098" s="39" t="s">
        <v>90</v>
      </c>
      <c r="C1098" s="39" t="s">
        <v>1001</v>
      </c>
      <c r="D1098" s="40">
        <v>0.69869999999999999</v>
      </c>
      <c r="E1098" s="40">
        <v>0.91600000000000004</v>
      </c>
      <c r="F1098" s="40">
        <v>1.68</v>
      </c>
      <c r="G1098" s="41">
        <v>0.58410714285714305</v>
      </c>
      <c r="H1098" s="41">
        <v>0.45477678571428598</v>
      </c>
      <c r="I1098" s="41">
        <v>0.12933035714285701</v>
      </c>
      <c r="J1098" s="42" t="s">
        <v>532</v>
      </c>
    </row>
    <row r="1099" spans="1:12" s="43" customFormat="1" ht="15" x14ac:dyDescent="0.25">
      <c r="A1099" s="38" t="s">
        <v>683</v>
      </c>
      <c r="B1099" s="39" t="s">
        <v>90</v>
      </c>
      <c r="C1099" s="39" t="s">
        <v>1057</v>
      </c>
      <c r="D1099" s="40">
        <v>0.69869999999999999</v>
      </c>
      <c r="E1099" s="40">
        <v>0.73909999999999998</v>
      </c>
      <c r="F1099" s="40">
        <v>1.68</v>
      </c>
      <c r="G1099" s="41">
        <v>0.58410714285714305</v>
      </c>
      <c r="H1099" s="41">
        <v>0.56004960317460295</v>
      </c>
      <c r="I1099" s="41">
        <v>2.4057539682539798E-2</v>
      </c>
      <c r="J1099" s="42" t="s">
        <v>532</v>
      </c>
    </row>
    <row r="1100" spans="1:12" s="43" customFormat="1" ht="15" x14ac:dyDescent="0.25">
      <c r="A1100" s="38" t="s">
        <v>600</v>
      </c>
      <c r="B1100" s="39" t="s">
        <v>90</v>
      </c>
      <c r="C1100" s="39" t="s">
        <v>764</v>
      </c>
      <c r="D1100" s="40">
        <v>0.69869999999999999</v>
      </c>
      <c r="E1100" s="40">
        <v>0.72370000000000001</v>
      </c>
      <c r="F1100" s="40">
        <v>1.68</v>
      </c>
      <c r="G1100" s="41">
        <v>0.58410714285714305</v>
      </c>
      <c r="H1100" s="41">
        <v>0.56923115079365105</v>
      </c>
      <c r="I1100" s="41">
        <v>1.48759920634921E-2</v>
      </c>
      <c r="J1100" s="42" t="s">
        <v>532</v>
      </c>
    </row>
    <row r="1101" spans="1:12" s="43" customFormat="1" ht="15" x14ac:dyDescent="0.25">
      <c r="A1101" s="38" t="s">
        <v>621</v>
      </c>
      <c r="B1101" s="39" t="s">
        <v>90</v>
      </c>
      <c r="C1101" s="39" t="s">
        <v>1097</v>
      </c>
      <c r="D1101" s="40">
        <v>0.69869999999999999</v>
      </c>
      <c r="E1101" s="40">
        <v>0.4355</v>
      </c>
      <c r="F1101" s="40">
        <v>1.68</v>
      </c>
      <c r="G1101" s="41">
        <v>0.58410714285714305</v>
      </c>
      <c r="H1101" s="41">
        <v>0.740753968253968</v>
      </c>
      <c r="I1101" s="41">
        <v>-0.15664682539682501</v>
      </c>
      <c r="J1101" s="42" t="s">
        <v>532</v>
      </c>
    </row>
    <row r="1102" spans="1:12" s="43" customFormat="1" ht="15" x14ac:dyDescent="0.25">
      <c r="A1102" s="38" t="s">
        <v>537</v>
      </c>
      <c r="B1102" s="39" t="s">
        <v>90</v>
      </c>
      <c r="C1102" s="39" t="s">
        <v>1042</v>
      </c>
      <c r="D1102" s="40">
        <v>0.69869999999999999</v>
      </c>
      <c r="E1102" s="40">
        <v>0.52790000000000004</v>
      </c>
      <c r="F1102" s="40">
        <v>1.68</v>
      </c>
      <c r="G1102" s="41">
        <v>0.58410714285714305</v>
      </c>
      <c r="H1102" s="41">
        <v>0.68577380952380995</v>
      </c>
      <c r="I1102" s="41">
        <v>-0.101666666666667</v>
      </c>
      <c r="J1102" s="42" t="s">
        <v>532</v>
      </c>
    </row>
    <row r="1103" spans="1:12" s="43" customFormat="1" ht="15" x14ac:dyDescent="0.25">
      <c r="A1103" s="38" t="s">
        <v>629</v>
      </c>
      <c r="B1103" s="39" t="s">
        <v>90</v>
      </c>
      <c r="C1103" s="39" t="s">
        <v>1227</v>
      </c>
      <c r="D1103" s="40">
        <v>0.72709999999999997</v>
      </c>
      <c r="E1103" s="40">
        <v>0.81320000000000003</v>
      </c>
      <c r="F1103" s="40">
        <v>1.68</v>
      </c>
      <c r="G1103" s="41">
        <v>0.56720238095238096</v>
      </c>
      <c r="H1103" s="41">
        <v>0.51595833333333296</v>
      </c>
      <c r="I1103" s="41">
        <v>5.1244047619047703E-2</v>
      </c>
      <c r="J1103" s="42" t="s">
        <v>532</v>
      </c>
    </row>
    <row r="1104" spans="1:12" s="43" customFormat="1" ht="15" x14ac:dyDescent="0.25">
      <c r="A1104" s="38" t="s">
        <v>539</v>
      </c>
      <c r="B1104" s="39" t="s">
        <v>90</v>
      </c>
      <c r="C1104" s="39" t="s">
        <v>740</v>
      </c>
      <c r="D1104" s="40">
        <v>0.72709999999999997</v>
      </c>
      <c r="E1104" s="40">
        <v>0.70650000000000002</v>
      </c>
      <c r="F1104" s="40">
        <v>1.8220000000000001</v>
      </c>
      <c r="G1104" s="41">
        <v>0.60093304061470898</v>
      </c>
      <c r="H1104" s="41">
        <v>0.61223472374679799</v>
      </c>
      <c r="I1104" s="41">
        <v>-1.1301683132089299E-2</v>
      </c>
      <c r="J1104" s="42" t="s">
        <v>532</v>
      </c>
    </row>
    <row r="1105" spans="1:12" s="43" customFormat="1" ht="15" x14ac:dyDescent="0.25">
      <c r="A1105" s="38" t="s">
        <v>619</v>
      </c>
      <c r="B1105" s="39" t="s">
        <v>90</v>
      </c>
      <c r="C1105" s="39" t="s">
        <v>1428</v>
      </c>
      <c r="D1105" s="40">
        <v>0.72709999999999997</v>
      </c>
      <c r="E1105" s="40">
        <v>0.73140000000000005</v>
      </c>
      <c r="F1105" s="40">
        <v>1.8220000000000001</v>
      </c>
      <c r="G1105" s="41">
        <v>0.60093304061470898</v>
      </c>
      <c r="H1105" s="41">
        <v>0.59857757043541904</v>
      </c>
      <c r="I1105" s="41">
        <v>2.3554701792901601E-3</v>
      </c>
      <c r="J1105" s="42" t="s">
        <v>532</v>
      </c>
    </row>
    <row r="1106" spans="1:12" s="43" customFormat="1" ht="15" x14ac:dyDescent="0.25">
      <c r="A1106" s="38" t="s">
        <v>597</v>
      </c>
      <c r="B1106" s="39" t="s">
        <v>90</v>
      </c>
      <c r="C1106" s="39" t="s">
        <v>1542</v>
      </c>
      <c r="D1106" s="40">
        <v>0.72709999999999997</v>
      </c>
      <c r="E1106" s="40">
        <v>0.75549999999999995</v>
      </c>
      <c r="F1106" s="40">
        <v>1.8220000000000001</v>
      </c>
      <c r="G1106" s="41">
        <v>0.60093304061470898</v>
      </c>
      <c r="H1106" s="41">
        <v>0.58534577387486297</v>
      </c>
      <c r="I1106" s="41">
        <v>1.5587266739846299E-2</v>
      </c>
      <c r="J1106" s="42" t="s">
        <v>532</v>
      </c>
    </row>
    <row r="1107" spans="1:12" s="43" customFormat="1" ht="15" x14ac:dyDescent="0.25">
      <c r="A1107" s="38" t="s">
        <v>538</v>
      </c>
      <c r="B1107" s="39" t="s">
        <v>90</v>
      </c>
      <c r="C1107" s="39" t="s">
        <v>1602</v>
      </c>
      <c r="D1107" s="40">
        <v>0.72709999999999997</v>
      </c>
      <c r="E1107" s="40">
        <v>0.87139999999999995</v>
      </c>
      <c r="F1107" s="40">
        <v>1.8220000000000001</v>
      </c>
      <c r="G1107" s="41">
        <v>0.60093304061470898</v>
      </c>
      <c r="H1107" s="41">
        <v>0.52173435784851796</v>
      </c>
      <c r="I1107" s="41">
        <v>7.9198682766190895E-2</v>
      </c>
      <c r="J1107" s="42" t="s">
        <v>532</v>
      </c>
    </row>
    <row r="1108" spans="1:12" x14ac:dyDescent="0.25">
      <c r="A1108" s="44">
        <v>2018</v>
      </c>
      <c r="B1108" s="44" t="s">
        <v>90</v>
      </c>
      <c r="C1108" s="44" t="s">
        <v>1811</v>
      </c>
      <c r="D1108" s="45">
        <v>0.71359070907886013</v>
      </c>
      <c r="E1108" s="45">
        <v>0.72777484426772687</v>
      </c>
      <c r="F1108" s="45">
        <v>1.7418438701126575</v>
      </c>
      <c r="G1108" s="46">
        <v>0.58993400959739095</v>
      </c>
      <c r="H1108" s="46">
        <v>0.5820424836406034</v>
      </c>
      <c r="I1108" s="46">
        <v>7.8915259567875137E-3</v>
      </c>
      <c r="J1108" s="47" t="s">
        <v>533</v>
      </c>
      <c r="K1108" s="48"/>
      <c r="L1108" s="48"/>
    </row>
    <row r="1109" spans="1:12" s="43" customFormat="1" ht="15" x14ac:dyDescent="0.25">
      <c r="A1109" s="38" t="s">
        <v>662</v>
      </c>
      <c r="B1109" s="39" t="s">
        <v>307</v>
      </c>
      <c r="C1109" s="39" t="s">
        <v>1803</v>
      </c>
      <c r="D1109" s="40">
        <v>8.7162000000000006</v>
      </c>
      <c r="E1109" s="40">
        <v>1.6789000000000001</v>
      </c>
      <c r="F1109" s="40">
        <v>3.702</v>
      </c>
      <c r="G1109" s="41">
        <v>-1.3544570502431099</v>
      </c>
      <c r="H1109" s="41">
        <v>0.54648838465694205</v>
      </c>
      <c r="I1109" s="41">
        <v>-1.9009454349000501</v>
      </c>
      <c r="J1109" s="42" t="s">
        <v>532</v>
      </c>
    </row>
    <row r="1110" spans="1:12" x14ac:dyDescent="0.25">
      <c r="A1110" s="44">
        <v>2018</v>
      </c>
      <c r="B1110" s="44" t="s">
        <v>307</v>
      </c>
      <c r="C1110" s="44" t="s">
        <v>1803</v>
      </c>
      <c r="D1110" s="45">
        <v>8.7162000000000006</v>
      </c>
      <c r="E1110" s="45">
        <v>1.6789000000000001</v>
      </c>
      <c r="F1110" s="45">
        <v>3.702</v>
      </c>
      <c r="G1110" s="46">
        <v>-1.3544570502431119</v>
      </c>
      <c r="H1110" s="46">
        <v>0.54648838465694216</v>
      </c>
      <c r="I1110" s="46">
        <v>-1.9009454349000541</v>
      </c>
      <c r="J1110" s="47" t="s">
        <v>533</v>
      </c>
      <c r="K1110" s="48"/>
      <c r="L1110" s="48"/>
    </row>
    <row r="1111" spans="1:12" s="43" customFormat="1" ht="15" x14ac:dyDescent="0.25">
      <c r="A1111" s="38" t="s">
        <v>659</v>
      </c>
      <c r="B1111" s="39" t="s">
        <v>308</v>
      </c>
      <c r="C1111" s="39" t="s">
        <v>851</v>
      </c>
      <c r="D1111" s="40">
        <v>8.6633999999999993</v>
      </c>
      <c r="E1111" s="40"/>
      <c r="F1111" s="40"/>
      <c r="G1111" s="41"/>
      <c r="H1111" s="41"/>
      <c r="I1111" s="41"/>
      <c r="J1111" s="42" t="s">
        <v>532</v>
      </c>
    </row>
    <row r="1112" spans="1:12" x14ac:dyDescent="0.25">
      <c r="A1112" s="44">
        <v>2018</v>
      </c>
      <c r="B1112" s="44" t="s">
        <v>308</v>
      </c>
      <c r="C1112" s="44" t="s">
        <v>851</v>
      </c>
      <c r="D1112" s="45">
        <v>8.6633999999999993</v>
      </c>
      <c r="F1112" s="45"/>
      <c r="J1112" s="44" t="s">
        <v>533</v>
      </c>
      <c r="K1112" s="48"/>
      <c r="L1112" s="48"/>
    </row>
    <row r="1113" spans="1:12" s="43" customFormat="1" ht="15" x14ac:dyDescent="0.25">
      <c r="A1113" s="38" t="s">
        <v>601</v>
      </c>
      <c r="B1113" s="39" t="s">
        <v>106</v>
      </c>
      <c r="C1113" s="39" t="s">
        <v>897</v>
      </c>
      <c r="D1113" s="40">
        <v>0.54159999999999997</v>
      </c>
      <c r="E1113" s="40">
        <v>0.63349999999999995</v>
      </c>
      <c r="F1113" s="40">
        <v>1.6439999999999999</v>
      </c>
      <c r="G1113" s="41">
        <v>0.670559610705596</v>
      </c>
      <c r="H1113" s="41">
        <v>0.61465936739659399</v>
      </c>
      <c r="I1113" s="41">
        <v>5.5900243309002298E-2</v>
      </c>
      <c r="J1113" s="42" t="s">
        <v>532</v>
      </c>
    </row>
    <row r="1114" spans="1:12" s="43" customFormat="1" ht="15" x14ac:dyDescent="0.25">
      <c r="A1114" s="38" t="s">
        <v>592</v>
      </c>
      <c r="B1114" s="39" t="s">
        <v>106</v>
      </c>
      <c r="C1114" s="39" t="s">
        <v>1002</v>
      </c>
      <c r="D1114" s="40">
        <v>0.54159999999999997</v>
      </c>
      <c r="E1114" s="40">
        <v>0.57920000000000005</v>
      </c>
      <c r="F1114" s="40">
        <v>1.6439999999999999</v>
      </c>
      <c r="G1114" s="41">
        <v>0.670559610705596</v>
      </c>
      <c r="H1114" s="41">
        <v>0.64768856447688605</v>
      </c>
      <c r="I1114" s="41">
        <v>2.28710462287104E-2</v>
      </c>
      <c r="J1114" s="42" t="s">
        <v>532</v>
      </c>
    </row>
    <row r="1115" spans="1:12" s="43" customFormat="1" ht="15" x14ac:dyDescent="0.25">
      <c r="A1115" s="38" t="s">
        <v>600</v>
      </c>
      <c r="B1115" s="39" t="s">
        <v>106</v>
      </c>
      <c r="C1115" s="39" t="s">
        <v>1060</v>
      </c>
      <c r="D1115" s="40">
        <v>0.54159999999999997</v>
      </c>
      <c r="E1115" s="40">
        <v>0.56179999999999997</v>
      </c>
      <c r="F1115" s="40">
        <v>1.6439999999999999</v>
      </c>
      <c r="G1115" s="41">
        <v>0.670559610705596</v>
      </c>
      <c r="H1115" s="41">
        <v>0.65827250608272503</v>
      </c>
      <c r="I1115" s="41">
        <v>1.2287104622871E-2</v>
      </c>
      <c r="J1115" s="42" t="s">
        <v>532</v>
      </c>
    </row>
    <row r="1116" spans="1:12" x14ac:dyDescent="0.25">
      <c r="A1116" s="44">
        <v>2018</v>
      </c>
      <c r="B1116" s="44" t="s">
        <v>106</v>
      </c>
      <c r="C1116" s="44" t="s">
        <v>1881</v>
      </c>
      <c r="D1116" s="45">
        <v>0.54159999999999997</v>
      </c>
      <c r="E1116" s="45">
        <v>0.61294453694068685</v>
      </c>
      <c r="F1116" s="45">
        <v>1.6440000000000001</v>
      </c>
      <c r="G1116" s="46">
        <v>0.670559610705596</v>
      </c>
      <c r="H1116" s="46">
        <v>0.62716269042537309</v>
      </c>
      <c r="I1116" s="46">
        <v>4.3396920280223024E-2</v>
      </c>
      <c r="J1116" s="47" t="s">
        <v>533</v>
      </c>
      <c r="K1116" s="48"/>
      <c r="L1116" s="48"/>
    </row>
    <row r="1117" spans="1:12" s="43" customFormat="1" ht="15" x14ac:dyDescent="0.25">
      <c r="A1117" s="38" t="s">
        <v>593</v>
      </c>
      <c r="B1117" s="39" t="s">
        <v>107</v>
      </c>
      <c r="C1117" s="39" t="s">
        <v>863</v>
      </c>
      <c r="D1117" s="40">
        <v>0.53490000000000004</v>
      </c>
      <c r="E1117" s="40">
        <v>0.72030000000000005</v>
      </c>
      <c r="F1117" s="40">
        <v>1.6439999999999999</v>
      </c>
      <c r="G1117" s="41">
        <v>0.67463503649635004</v>
      </c>
      <c r="H1117" s="41">
        <v>0.56186131386861304</v>
      </c>
      <c r="I1117" s="41">
        <v>0.11277372262773699</v>
      </c>
      <c r="J1117" s="42" t="s">
        <v>532</v>
      </c>
    </row>
    <row r="1118" spans="1:12" s="43" customFormat="1" ht="15" x14ac:dyDescent="0.25">
      <c r="A1118" s="38" t="s">
        <v>602</v>
      </c>
      <c r="B1118" s="39" t="s">
        <v>107</v>
      </c>
      <c r="C1118" s="39" t="s">
        <v>906</v>
      </c>
      <c r="D1118" s="40">
        <v>0.53490000000000004</v>
      </c>
      <c r="E1118" s="40">
        <v>0.86970000000000003</v>
      </c>
      <c r="F1118" s="40">
        <v>1.6439999999999999</v>
      </c>
      <c r="G1118" s="41">
        <v>0.67463503649635004</v>
      </c>
      <c r="H1118" s="41">
        <v>0.47098540145985401</v>
      </c>
      <c r="I1118" s="41">
        <v>0.203649635036496</v>
      </c>
      <c r="J1118" s="42" t="s">
        <v>532</v>
      </c>
    </row>
    <row r="1119" spans="1:12" s="43" customFormat="1" ht="15" x14ac:dyDescent="0.25">
      <c r="A1119" s="38" t="s">
        <v>592</v>
      </c>
      <c r="B1119" s="39" t="s">
        <v>107</v>
      </c>
      <c r="C1119" s="39" t="s">
        <v>1003</v>
      </c>
      <c r="D1119" s="40">
        <v>0.53490000000000004</v>
      </c>
      <c r="E1119" s="40">
        <v>0.73109999999999997</v>
      </c>
      <c r="F1119" s="40">
        <v>1.6439999999999999</v>
      </c>
      <c r="G1119" s="41">
        <v>0.67463503649635004</v>
      </c>
      <c r="H1119" s="41">
        <v>0.55529197080292003</v>
      </c>
      <c r="I1119" s="41">
        <v>0.11934306569343101</v>
      </c>
      <c r="J1119" s="42" t="s">
        <v>532</v>
      </c>
    </row>
    <row r="1120" spans="1:12" x14ac:dyDescent="0.25">
      <c r="A1120" s="44">
        <v>2018</v>
      </c>
      <c r="B1120" s="44" t="s">
        <v>107</v>
      </c>
      <c r="C1120" s="44" t="s">
        <v>1872</v>
      </c>
      <c r="D1120" s="45">
        <v>0.53490000000000004</v>
      </c>
      <c r="E1120" s="45">
        <v>0.73046657381615598</v>
      </c>
      <c r="F1120" s="45">
        <v>1.6439999999999999</v>
      </c>
      <c r="G1120" s="46">
        <v>0.67463503649635026</v>
      </c>
      <c r="H1120" s="46">
        <v>0.55567726653518479</v>
      </c>
      <c r="I1120" s="46">
        <v>0.11895776996116544</v>
      </c>
      <c r="J1120" s="47" t="s">
        <v>533</v>
      </c>
      <c r="K1120" s="48"/>
      <c r="L1120" s="48"/>
    </row>
    <row r="1121" spans="1:12" s="43" customFormat="1" ht="15" x14ac:dyDescent="0.25">
      <c r="A1121" s="38" t="s">
        <v>594</v>
      </c>
      <c r="B1121" s="39" t="s">
        <v>108</v>
      </c>
      <c r="C1121" s="39" t="s">
        <v>871</v>
      </c>
      <c r="D1121" s="40">
        <v>0.5464</v>
      </c>
      <c r="E1121" s="40">
        <v>0.66159999999999997</v>
      </c>
      <c r="F1121" s="40">
        <v>1.6439999999999999</v>
      </c>
      <c r="G1121" s="41">
        <v>0.66763990267639906</v>
      </c>
      <c r="H1121" s="41">
        <v>0.59756690997566897</v>
      </c>
      <c r="I1121" s="41">
        <v>7.0072992700730002E-2</v>
      </c>
      <c r="J1121" s="42" t="s">
        <v>532</v>
      </c>
    </row>
    <row r="1122" spans="1:12" x14ac:dyDescent="0.25">
      <c r="A1122" s="44">
        <v>2018</v>
      </c>
      <c r="B1122" s="44" t="s">
        <v>108</v>
      </c>
      <c r="C1122" s="44" t="s">
        <v>871</v>
      </c>
      <c r="D1122" s="45">
        <v>0.5464</v>
      </c>
      <c r="E1122" s="45">
        <v>0.66159999999999997</v>
      </c>
      <c r="F1122" s="45">
        <v>1.6439999999999999</v>
      </c>
      <c r="G1122" s="46">
        <v>0.66763990267639906</v>
      </c>
      <c r="H1122" s="46">
        <v>0.59756690997566908</v>
      </c>
      <c r="I1122" s="46">
        <v>7.0072992700729975E-2</v>
      </c>
      <c r="J1122" s="47" t="s">
        <v>533</v>
      </c>
      <c r="K1122" s="48"/>
      <c r="L1122" s="48"/>
    </row>
    <row r="1123" spans="1:12" s="43" customFormat="1" ht="15" x14ac:dyDescent="0.25">
      <c r="A1123" s="38" t="s">
        <v>581</v>
      </c>
      <c r="B1123" s="39" t="s">
        <v>109</v>
      </c>
      <c r="C1123" s="39" t="s">
        <v>882</v>
      </c>
      <c r="D1123" s="40">
        <v>0.52480000000000004</v>
      </c>
      <c r="E1123" s="40">
        <v>0.58199999999999996</v>
      </c>
      <c r="F1123" s="40">
        <v>1.6439999999999999</v>
      </c>
      <c r="G1123" s="41">
        <v>0.68077858880778597</v>
      </c>
      <c r="H1123" s="41">
        <v>0.64598540145985395</v>
      </c>
      <c r="I1123" s="41">
        <v>3.4793187347931798E-2</v>
      </c>
      <c r="J1123" s="42" t="s">
        <v>532</v>
      </c>
    </row>
    <row r="1124" spans="1:12" x14ac:dyDescent="0.25">
      <c r="A1124" s="44">
        <v>2018</v>
      </c>
      <c r="B1124" s="44" t="s">
        <v>109</v>
      </c>
      <c r="C1124" s="44" t="s">
        <v>882</v>
      </c>
      <c r="D1124" s="45">
        <v>0.52480000000000004</v>
      </c>
      <c r="E1124" s="45">
        <v>0.58199999999999996</v>
      </c>
      <c r="F1124" s="45">
        <v>1.6439999999999999</v>
      </c>
      <c r="G1124" s="46">
        <v>0.68077858880778575</v>
      </c>
      <c r="H1124" s="46">
        <v>0.64598540145985395</v>
      </c>
      <c r="I1124" s="46">
        <v>3.4793187347931798E-2</v>
      </c>
      <c r="J1124" s="47" t="s">
        <v>533</v>
      </c>
      <c r="K1124" s="48"/>
      <c r="L1124" s="48"/>
    </row>
    <row r="1125" spans="1:12" s="43" customFormat="1" ht="15" x14ac:dyDescent="0.25">
      <c r="A1125" s="38" t="s">
        <v>581</v>
      </c>
      <c r="B1125" s="39" t="s">
        <v>110</v>
      </c>
      <c r="C1125" s="39" t="s">
        <v>883</v>
      </c>
      <c r="D1125" s="40">
        <v>0.53029999999999999</v>
      </c>
      <c r="E1125" s="40">
        <v>0.71650000000000003</v>
      </c>
      <c r="F1125" s="40">
        <v>1.6439999999999999</v>
      </c>
      <c r="G1125" s="41">
        <v>0.67743309002433105</v>
      </c>
      <c r="H1125" s="41">
        <v>0.56417274939172701</v>
      </c>
      <c r="I1125" s="41">
        <v>0.113260340632603</v>
      </c>
      <c r="J1125" s="42" t="s">
        <v>532</v>
      </c>
    </row>
    <row r="1126" spans="1:12" s="43" customFormat="1" ht="15" x14ac:dyDescent="0.25">
      <c r="A1126" s="38" t="s">
        <v>595</v>
      </c>
      <c r="B1126" s="39" t="s">
        <v>110</v>
      </c>
      <c r="C1126" s="39" t="s">
        <v>996</v>
      </c>
      <c r="D1126" s="40">
        <v>0.53029999999999999</v>
      </c>
      <c r="E1126" s="40">
        <v>0.72450000000000003</v>
      </c>
      <c r="F1126" s="40">
        <v>1.6439999999999999</v>
      </c>
      <c r="G1126" s="41">
        <v>0.67743309002433105</v>
      </c>
      <c r="H1126" s="41">
        <v>0.559306569343066</v>
      </c>
      <c r="I1126" s="41">
        <v>0.118126520681265</v>
      </c>
      <c r="J1126" s="42" t="s">
        <v>532</v>
      </c>
    </row>
    <row r="1127" spans="1:12" x14ac:dyDescent="0.25">
      <c r="A1127" s="44">
        <v>2018</v>
      </c>
      <c r="B1127" s="44" t="s">
        <v>110</v>
      </c>
      <c r="C1127" s="44" t="s">
        <v>1877</v>
      </c>
      <c r="D1127" s="45">
        <v>0.53029999999999999</v>
      </c>
      <c r="E1127" s="45">
        <v>0.71657535321821042</v>
      </c>
      <c r="F1127" s="45">
        <v>1.6439999999999997</v>
      </c>
      <c r="G1127" s="46">
        <v>0.67743309002433083</v>
      </c>
      <c r="H1127" s="46">
        <v>0.56412691410084526</v>
      </c>
      <c r="I1127" s="46">
        <v>0.11330617592348557</v>
      </c>
      <c r="J1127" s="47" t="s">
        <v>533</v>
      </c>
      <c r="K1127" s="48"/>
      <c r="L1127" s="48"/>
    </row>
    <row r="1128" spans="1:12" s="43" customFormat="1" ht="15" x14ac:dyDescent="0.25">
      <c r="A1128" s="38" t="s">
        <v>680</v>
      </c>
      <c r="B1128" s="39" t="s">
        <v>118</v>
      </c>
      <c r="C1128" s="39" t="s">
        <v>737</v>
      </c>
      <c r="D1128" s="40">
        <v>1.4033</v>
      </c>
      <c r="E1128" s="40">
        <v>1.6065</v>
      </c>
      <c r="F1128" s="40">
        <v>4.681</v>
      </c>
      <c r="G1128" s="41">
        <v>0.70021362956633204</v>
      </c>
      <c r="H1128" s="41">
        <v>0.65679342020935705</v>
      </c>
      <c r="I1128" s="41">
        <v>4.3420209356975097E-2</v>
      </c>
      <c r="J1128" s="42" t="s">
        <v>532</v>
      </c>
    </row>
    <row r="1129" spans="1:12" s="43" customFormat="1" ht="15" x14ac:dyDescent="0.25">
      <c r="A1129" s="38" t="s">
        <v>682</v>
      </c>
      <c r="B1129" s="39" t="s">
        <v>118</v>
      </c>
      <c r="C1129" s="39" t="s">
        <v>967</v>
      </c>
      <c r="D1129" s="40">
        <v>1.4033</v>
      </c>
      <c r="E1129" s="40">
        <v>1.5795999999999999</v>
      </c>
      <c r="F1129" s="40">
        <v>4.681</v>
      </c>
      <c r="G1129" s="41">
        <v>0.70021362956633204</v>
      </c>
      <c r="H1129" s="41">
        <v>0.66254361603645895</v>
      </c>
      <c r="I1129" s="41">
        <v>3.7670013529872599E-2</v>
      </c>
      <c r="J1129" s="42" t="s">
        <v>532</v>
      </c>
    </row>
    <row r="1130" spans="1:12" s="43" customFormat="1" ht="15" x14ac:dyDescent="0.25">
      <c r="A1130" s="38" t="s">
        <v>607</v>
      </c>
      <c r="B1130" s="39" t="s">
        <v>118</v>
      </c>
      <c r="C1130" s="39" t="s">
        <v>1033</v>
      </c>
      <c r="D1130" s="40">
        <v>1.4033</v>
      </c>
      <c r="E1130" s="40">
        <v>1.5042</v>
      </c>
      <c r="F1130" s="40">
        <v>4.681</v>
      </c>
      <c r="G1130" s="41">
        <v>0.70021362956633204</v>
      </c>
      <c r="H1130" s="41">
        <v>0.67866196681620705</v>
      </c>
      <c r="I1130" s="41">
        <v>2.1551662750124798E-2</v>
      </c>
      <c r="J1130" s="42" t="s">
        <v>532</v>
      </c>
    </row>
    <row r="1131" spans="1:12" x14ac:dyDescent="0.25">
      <c r="A1131" s="44">
        <v>2018</v>
      </c>
      <c r="B1131" s="44" t="s">
        <v>118</v>
      </c>
      <c r="C1131" s="44" t="s">
        <v>1909</v>
      </c>
      <c r="D1131" s="45">
        <v>1.4033000000000002</v>
      </c>
      <c r="E1131" s="45">
        <v>1.5801901291638341</v>
      </c>
      <c r="F1131" s="45">
        <v>4.681</v>
      </c>
      <c r="G1131" s="46">
        <v>0.70021362956633204</v>
      </c>
      <c r="H1131" s="46">
        <v>0.66241752811954224</v>
      </c>
      <c r="I1131" s="46">
        <v>3.779610144678977E-2</v>
      </c>
      <c r="J1131" s="47" t="s">
        <v>533</v>
      </c>
      <c r="K1131" s="48"/>
      <c r="L1131" s="48"/>
    </row>
    <row r="1132" spans="1:12" s="43" customFormat="1" ht="15" x14ac:dyDescent="0.25">
      <c r="A1132" s="38" t="s">
        <v>605</v>
      </c>
      <c r="B1132" s="39" t="s">
        <v>119</v>
      </c>
      <c r="C1132" s="39" t="s">
        <v>972</v>
      </c>
      <c r="D1132" s="40">
        <v>1.3856999999999999</v>
      </c>
      <c r="E1132" s="40">
        <v>1.6573</v>
      </c>
      <c r="F1132" s="40">
        <v>4.681</v>
      </c>
      <c r="G1132" s="41">
        <v>0.70397350993377505</v>
      </c>
      <c r="H1132" s="41">
        <v>0.64595171971800902</v>
      </c>
      <c r="I1132" s="41">
        <v>5.8021790215765902E-2</v>
      </c>
      <c r="J1132" s="42" t="s">
        <v>532</v>
      </c>
    </row>
    <row r="1133" spans="1:12" s="43" customFormat="1" ht="15" x14ac:dyDescent="0.25">
      <c r="A1133" s="38" t="s">
        <v>613</v>
      </c>
      <c r="B1133" s="39" t="s">
        <v>119</v>
      </c>
      <c r="C1133" s="39" t="s">
        <v>983</v>
      </c>
      <c r="D1133" s="40">
        <v>1.3856999999999999</v>
      </c>
      <c r="E1133" s="40">
        <v>1.6349</v>
      </c>
      <c r="F1133" s="40">
        <v>4.681</v>
      </c>
      <c r="G1133" s="41">
        <v>0.70397350993377505</v>
      </c>
      <c r="H1133" s="41">
        <v>0.65074058249661804</v>
      </c>
      <c r="I1133" s="41">
        <v>5.32329274371574E-2</v>
      </c>
      <c r="J1133" s="42" t="s">
        <v>532</v>
      </c>
    </row>
    <row r="1134" spans="1:12" s="43" customFormat="1" ht="15" x14ac:dyDescent="0.25">
      <c r="A1134" s="38" t="s">
        <v>609</v>
      </c>
      <c r="B1134" s="39" t="s">
        <v>119</v>
      </c>
      <c r="C1134" s="39" t="s">
        <v>1025</v>
      </c>
      <c r="D1134" s="40">
        <v>1.3856999999999999</v>
      </c>
      <c r="E1134" s="40">
        <v>1.5389999999999999</v>
      </c>
      <c r="F1134" s="40">
        <v>4.681</v>
      </c>
      <c r="G1134" s="41">
        <v>0.70397350993377505</v>
      </c>
      <c r="H1134" s="41">
        <v>0.67122053692230998</v>
      </c>
      <c r="I1134" s="41">
        <v>3.2752973011464799E-2</v>
      </c>
      <c r="J1134" s="42" t="s">
        <v>532</v>
      </c>
    </row>
    <row r="1135" spans="1:12" x14ac:dyDescent="0.25">
      <c r="A1135" s="44">
        <v>2018</v>
      </c>
      <c r="B1135" s="44" t="s">
        <v>119</v>
      </c>
      <c r="C1135" s="44" t="s">
        <v>1916</v>
      </c>
      <c r="D1135" s="45">
        <v>1.3856999999999999</v>
      </c>
      <c r="E1135" s="45">
        <v>1.6107377113133943</v>
      </c>
      <c r="F1135" s="45">
        <v>4.6810000000000009</v>
      </c>
      <c r="G1135" s="46">
        <v>0.70397350993377483</v>
      </c>
      <c r="H1135" s="46">
        <v>0.6558992225902478</v>
      </c>
      <c r="I1135" s="46">
        <v>4.8074287343527047E-2</v>
      </c>
      <c r="J1135" s="47" t="s">
        <v>533</v>
      </c>
      <c r="K1135" s="48"/>
      <c r="L1135" s="48"/>
    </row>
    <row r="1136" spans="1:12" s="43" customFormat="1" ht="15" x14ac:dyDescent="0.25">
      <c r="A1136" s="38" t="s">
        <v>678</v>
      </c>
      <c r="B1136" s="39" t="s">
        <v>120</v>
      </c>
      <c r="C1136" s="39" t="s">
        <v>931</v>
      </c>
      <c r="D1136" s="40">
        <v>1.4976</v>
      </c>
      <c r="E1136" s="40">
        <v>1.6059000000000001</v>
      </c>
      <c r="F1136" s="40">
        <v>4.681</v>
      </c>
      <c r="G1136" s="41">
        <v>0.68006836146122596</v>
      </c>
      <c r="H1136" s="41">
        <v>0.65693940041301702</v>
      </c>
      <c r="I1136" s="41">
        <v>2.3128961048208899E-2</v>
      </c>
      <c r="J1136" s="42" t="s">
        <v>532</v>
      </c>
    </row>
    <row r="1137" spans="1:12" s="43" customFormat="1" ht="15" x14ac:dyDescent="0.25">
      <c r="A1137" s="38" t="s">
        <v>592</v>
      </c>
      <c r="B1137" s="39" t="s">
        <v>120</v>
      </c>
      <c r="C1137" s="39" t="s">
        <v>1004</v>
      </c>
      <c r="D1137" s="40">
        <v>1.4976</v>
      </c>
      <c r="E1137" s="40">
        <v>1.7078</v>
      </c>
      <c r="F1137" s="40">
        <v>4.681</v>
      </c>
      <c r="G1137" s="41">
        <v>0.68006836146122596</v>
      </c>
      <c r="H1137" s="41">
        <v>0.63515986612547204</v>
      </c>
      <c r="I1137" s="41">
        <v>4.49084953357545E-2</v>
      </c>
      <c r="J1137" s="42" t="s">
        <v>532</v>
      </c>
    </row>
    <row r="1138" spans="1:12" s="43" customFormat="1" ht="15" x14ac:dyDescent="0.25">
      <c r="A1138" s="38" t="s">
        <v>607</v>
      </c>
      <c r="B1138" s="39" t="s">
        <v>120</v>
      </c>
      <c r="C1138" s="39" t="s">
        <v>1034</v>
      </c>
      <c r="D1138" s="40">
        <v>1.4976</v>
      </c>
      <c r="E1138" s="40">
        <v>1.6027</v>
      </c>
      <c r="F1138" s="40">
        <v>4.681</v>
      </c>
      <c r="G1138" s="41">
        <v>0.68006836146122596</v>
      </c>
      <c r="H1138" s="41">
        <v>0.65760521256141802</v>
      </c>
      <c r="I1138" s="41">
        <v>2.2463148899807699E-2</v>
      </c>
      <c r="J1138" s="42" t="s">
        <v>532</v>
      </c>
    </row>
    <row r="1139" spans="1:12" x14ac:dyDescent="0.25">
      <c r="A1139" s="44">
        <v>2018</v>
      </c>
      <c r="B1139" s="44" t="s">
        <v>120</v>
      </c>
      <c r="C1139" s="44" t="s">
        <v>1896</v>
      </c>
      <c r="D1139" s="45">
        <v>1.4976</v>
      </c>
      <c r="E1139" s="45">
        <v>1.6088708239277654</v>
      </c>
      <c r="F1139" s="45">
        <v>4.681</v>
      </c>
      <c r="G1139" s="46">
        <v>0.68006836146122618</v>
      </c>
      <c r="H1139" s="46">
        <v>0.65630269308279043</v>
      </c>
      <c r="I1139" s="46">
        <v>2.3765668378435741E-2</v>
      </c>
      <c r="J1139" s="47" t="s">
        <v>533</v>
      </c>
      <c r="K1139" s="48"/>
      <c r="L1139" s="48"/>
    </row>
    <row r="1140" spans="1:12" s="43" customFormat="1" ht="15" x14ac:dyDescent="0.25">
      <c r="A1140" s="38" t="s">
        <v>677</v>
      </c>
      <c r="B1140" s="39" t="s">
        <v>121</v>
      </c>
      <c r="C1140" s="39" t="s">
        <v>926</v>
      </c>
      <c r="D1140" s="40">
        <v>1.4089</v>
      </c>
      <c r="E1140" s="40">
        <v>1.6282000000000001</v>
      </c>
      <c r="F1140" s="40">
        <v>4.681</v>
      </c>
      <c r="G1140" s="41">
        <v>0.69901730399487305</v>
      </c>
      <c r="H1140" s="41">
        <v>0.65216834009826996</v>
      </c>
      <c r="I1140" s="41">
        <v>4.6848963896603202E-2</v>
      </c>
      <c r="J1140" s="42" t="s">
        <v>532</v>
      </c>
    </row>
    <row r="1141" spans="1:12" s="43" customFormat="1" ht="15" x14ac:dyDescent="0.25">
      <c r="A1141" s="38" t="s">
        <v>592</v>
      </c>
      <c r="B1141" s="39" t="s">
        <v>121</v>
      </c>
      <c r="C1141" s="39" t="s">
        <v>1005</v>
      </c>
      <c r="D1141" s="40">
        <v>1.4089</v>
      </c>
      <c r="E1141" s="40">
        <v>1.4391</v>
      </c>
      <c r="F1141" s="40">
        <v>4.681</v>
      </c>
      <c r="G1141" s="41">
        <v>0.69901730399487305</v>
      </c>
      <c r="H1141" s="41">
        <v>0.69257281207719201</v>
      </c>
      <c r="I1141" s="41">
        <v>6.4444919176812601E-3</v>
      </c>
      <c r="J1141" s="42" t="s">
        <v>532</v>
      </c>
    </row>
    <row r="1142" spans="1:12" x14ac:dyDescent="0.25">
      <c r="A1142" s="44">
        <v>2018</v>
      </c>
      <c r="B1142" s="44" t="s">
        <v>121</v>
      </c>
      <c r="C1142" s="44" t="s">
        <v>1893</v>
      </c>
      <c r="D1142" s="45">
        <v>1.4089</v>
      </c>
      <c r="E1142" s="45">
        <v>1.5847370817334065</v>
      </c>
      <c r="F1142" s="45">
        <v>4.681</v>
      </c>
      <c r="G1142" s="46">
        <v>0.69901730399487283</v>
      </c>
      <c r="H1142" s="46">
        <v>0.66145494117296433</v>
      </c>
      <c r="I1142" s="46">
        <v>3.7562362821908585E-2</v>
      </c>
      <c r="J1142" s="47" t="s">
        <v>533</v>
      </c>
      <c r="K1142" s="48"/>
      <c r="L1142" s="48"/>
    </row>
    <row r="1143" spans="1:12" s="43" customFormat="1" ht="15" x14ac:dyDescent="0.25">
      <c r="A1143" s="38" t="s">
        <v>675</v>
      </c>
      <c r="B1143" s="39" t="s">
        <v>122</v>
      </c>
      <c r="C1143" s="39" t="s">
        <v>915</v>
      </c>
      <c r="D1143" s="40">
        <v>1.4487000000000001</v>
      </c>
      <c r="E1143" s="40">
        <v>1.5868</v>
      </c>
      <c r="F1143" s="40">
        <v>4.681</v>
      </c>
      <c r="G1143" s="41">
        <v>0.69051484725486001</v>
      </c>
      <c r="H1143" s="41">
        <v>0.66101260414441398</v>
      </c>
      <c r="I1143" s="41">
        <v>2.95022431104465E-2</v>
      </c>
      <c r="J1143" s="42" t="s">
        <v>532</v>
      </c>
    </row>
    <row r="1144" spans="1:12" s="43" customFormat="1" ht="15" x14ac:dyDescent="0.25">
      <c r="A1144" s="38" t="s">
        <v>592</v>
      </c>
      <c r="B1144" s="39" t="s">
        <v>122</v>
      </c>
      <c r="C1144" s="39" t="s">
        <v>1006</v>
      </c>
      <c r="D1144" s="40">
        <v>1.4487000000000001</v>
      </c>
      <c r="E1144" s="40">
        <v>1.7141</v>
      </c>
      <c r="F1144" s="40">
        <v>4.681</v>
      </c>
      <c r="G1144" s="41">
        <v>0.69051484725486001</v>
      </c>
      <c r="H1144" s="41">
        <v>0.63382468133589698</v>
      </c>
      <c r="I1144" s="41">
        <v>5.6690165918963101E-2</v>
      </c>
      <c r="J1144" s="42" t="s">
        <v>532</v>
      </c>
    </row>
    <row r="1145" spans="1:12" x14ac:dyDescent="0.25">
      <c r="A1145" s="44">
        <v>2018</v>
      </c>
      <c r="B1145" s="44" t="s">
        <v>122</v>
      </c>
      <c r="C1145" s="44" t="s">
        <v>1885</v>
      </c>
      <c r="D1145" s="45">
        <v>1.4487000000000001</v>
      </c>
      <c r="E1145" s="45">
        <v>1.6093444740346206</v>
      </c>
      <c r="F1145" s="45">
        <v>4.681</v>
      </c>
      <c r="G1145" s="46">
        <v>0.69051484725486001</v>
      </c>
      <c r="H1145" s="46">
        <v>0.65619769903984271</v>
      </c>
      <c r="I1145" s="46">
        <v>3.4317148215017329E-2</v>
      </c>
      <c r="J1145" s="47" t="s">
        <v>533</v>
      </c>
      <c r="K1145" s="48"/>
      <c r="L1145" s="48"/>
    </row>
    <row r="1146" spans="1:12" s="43" customFormat="1" ht="15" x14ac:dyDescent="0.25">
      <c r="A1146" s="38" t="s">
        <v>614</v>
      </c>
      <c r="B1146" s="39" t="s">
        <v>336</v>
      </c>
      <c r="C1146" s="39" t="s">
        <v>1605</v>
      </c>
      <c r="D1146" s="40">
        <v>0.46949999999999997</v>
      </c>
      <c r="E1146" s="40">
        <v>0.70050000000000001</v>
      </c>
      <c r="F1146" s="40">
        <v>1.5129999999999999</v>
      </c>
      <c r="G1146" s="41">
        <v>0.68968935888962302</v>
      </c>
      <c r="H1146" s="41">
        <v>0.53701255783212198</v>
      </c>
      <c r="I1146" s="41">
        <v>0.152676801057502</v>
      </c>
      <c r="J1146" s="42" t="s">
        <v>532</v>
      </c>
    </row>
    <row r="1147" spans="1:12" x14ac:dyDescent="0.25">
      <c r="A1147" s="44">
        <v>2018</v>
      </c>
      <c r="B1147" s="44" t="s">
        <v>336</v>
      </c>
      <c r="C1147" s="44" t="s">
        <v>1605</v>
      </c>
      <c r="D1147" s="45">
        <v>0.46949999999999997</v>
      </c>
      <c r="E1147" s="45">
        <v>0.70050000000000001</v>
      </c>
      <c r="F1147" s="45">
        <v>1.5129999999999999</v>
      </c>
      <c r="G1147" s="46">
        <v>0.68968935888962324</v>
      </c>
      <c r="H1147" s="46">
        <v>0.53701255783212154</v>
      </c>
      <c r="I1147" s="46">
        <v>0.1526768010575017</v>
      </c>
      <c r="J1147" s="47" t="s">
        <v>533</v>
      </c>
      <c r="K1147" s="48"/>
      <c r="L1147" s="48"/>
    </row>
    <row r="1148" spans="1:12" s="43" customFormat="1" ht="15" x14ac:dyDescent="0.25">
      <c r="A1148" s="38" t="s">
        <v>574</v>
      </c>
      <c r="B1148" s="39" t="s">
        <v>337</v>
      </c>
      <c r="C1148" s="39" t="s">
        <v>1562</v>
      </c>
      <c r="D1148" s="40">
        <v>0.54359999999999997</v>
      </c>
      <c r="E1148" s="40">
        <v>0.66</v>
      </c>
      <c r="F1148" s="40"/>
      <c r="G1148" s="41"/>
      <c r="H1148" s="41"/>
      <c r="I1148" s="41"/>
      <c r="J1148" s="42" t="s">
        <v>532</v>
      </c>
    </row>
    <row r="1149" spans="1:12" x14ac:dyDescent="0.25">
      <c r="A1149" s="44">
        <v>2018</v>
      </c>
      <c r="B1149" s="44" t="s">
        <v>337</v>
      </c>
      <c r="C1149" s="44" t="s">
        <v>1562</v>
      </c>
      <c r="D1149" s="45">
        <v>0.54359999999999997</v>
      </c>
      <c r="E1149" s="45">
        <v>0.66</v>
      </c>
      <c r="F1149" s="45"/>
      <c r="J1149" s="47" t="s">
        <v>533</v>
      </c>
      <c r="K1149" s="48"/>
      <c r="L1149" s="48"/>
    </row>
    <row r="1150" spans="1:12" s="43" customFormat="1" ht="15" x14ac:dyDescent="0.25">
      <c r="A1150" s="38" t="s">
        <v>614</v>
      </c>
      <c r="B1150" s="39" t="s">
        <v>338</v>
      </c>
      <c r="C1150" s="39" t="s">
        <v>1606</v>
      </c>
      <c r="D1150" s="40">
        <v>0.52580000000000005</v>
      </c>
      <c r="E1150" s="40">
        <v>0.77600000000000002</v>
      </c>
      <c r="F1150" s="40">
        <v>1.5129999999999999</v>
      </c>
      <c r="G1150" s="41">
        <v>0.65247851949768698</v>
      </c>
      <c r="H1150" s="41">
        <v>0.48711169861202902</v>
      </c>
      <c r="I1150" s="41">
        <v>0.16536682088565799</v>
      </c>
      <c r="J1150" s="42" t="s">
        <v>532</v>
      </c>
    </row>
    <row r="1151" spans="1:12" x14ac:dyDescent="0.25">
      <c r="A1151" s="44">
        <v>2018</v>
      </c>
      <c r="B1151" s="44" t="s">
        <v>338</v>
      </c>
      <c r="C1151" s="44" t="s">
        <v>1606</v>
      </c>
      <c r="D1151" s="45">
        <v>0.52580000000000005</v>
      </c>
      <c r="E1151" s="45">
        <v>0.77600000000000002</v>
      </c>
      <c r="F1151" s="45">
        <v>1.5129999999999999</v>
      </c>
      <c r="G1151" s="46">
        <v>0.65247851949768665</v>
      </c>
      <c r="H1151" s="46">
        <v>0.48711169861202908</v>
      </c>
      <c r="I1151" s="46">
        <v>0.16536682088565763</v>
      </c>
      <c r="J1151" s="47" t="s">
        <v>533</v>
      </c>
      <c r="K1151" s="48"/>
      <c r="L1151" s="48"/>
    </row>
    <row r="1152" spans="1:12" s="43" customFormat="1" ht="15" x14ac:dyDescent="0.25">
      <c r="A1152" s="38" t="s">
        <v>617</v>
      </c>
      <c r="B1152" s="39" t="s">
        <v>339</v>
      </c>
      <c r="C1152" s="39" t="s">
        <v>1577</v>
      </c>
      <c r="D1152" s="40">
        <v>0.52370000000000005</v>
      </c>
      <c r="E1152" s="40">
        <v>0.85960000000000003</v>
      </c>
      <c r="F1152" s="40">
        <v>1.5129999999999999</v>
      </c>
      <c r="G1152" s="41">
        <v>0.653866490416391</v>
      </c>
      <c r="H1152" s="41">
        <v>0.43185723727693298</v>
      </c>
      <c r="I1152" s="41">
        <v>0.22200925313945799</v>
      </c>
      <c r="J1152" s="42" t="s">
        <v>532</v>
      </c>
    </row>
    <row r="1153" spans="1:12" s="43" customFormat="1" ht="15" x14ac:dyDescent="0.25">
      <c r="A1153" s="38" t="s">
        <v>538</v>
      </c>
      <c r="B1153" s="39" t="s">
        <v>339</v>
      </c>
      <c r="C1153" s="39" t="s">
        <v>1481</v>
      </c>
      <c r="D1153" s="40">
        <v>0.52370000000000005</v>
      </c>
      <c r="E1153" s="40">
        <v>0.86160000000000003</v>
      </c>
      <c r="F1153" s="40">
        <v>1.5129999999999999</v>
      </c>
      <c r="G1153" s="41">
        <v>0.653866490416391</v>
      </c>
      <c r="H1153" s="41">
        <v>0.43053536021150002</v>
      </c>
      <c r="I1153" s="41">
        <v>0.22333113020489101</v>
      </c>
      <c r="J1153" s="42" t="s">
        <v>532</v>
      </c>
    </row>
    <row r="1154" spans="1:12" s="43" customFormat="1" ht="15" x14ac:dyDescent="0.25">
      <c r="A1154" s="38" t="s">
        <v>646</v>
      </c>
      <c r="B1154" s="39" t="s">
        <v>339</v>
      </c>
      <c r="C1154" s="39" t="s">
        <v>1148</v>
      </c>
      <c r="D1154" s="40">
        <v>0.52370000000000005</v>
      </c>
      <c r="E1154" s="40"/>
      <c r="F1154" s="40">
        <v>1.5129999999999999</v>
      </c>
      <c r="G1154" s="41">
        <v>0.653866490416391</v>
      </c>
      <c r="H1154" s="41"/>
      <c r="I1154" s="41"/>
      <c r="J1154" s="42" t="s">
        <v>532</v>
      </c>
    </row>
    <row r="1155" spans="1:12" x14ac:dyDescent="0.25">
      <c r="A1155" s="44">
        <v>2018</v>
      </c>
      <c r="B1155" s="44" t="s">
        <v>339</v>
      </c>
      <c r="C1155" s="44" t="s">
        <v>1294</v>
      </c>
      <c r="D1155" s="45">
        <v>0.52370000000000005</v>
      </c>
      <c r="E1155" s="45">
        <v>0.77570657672849919</v>
      </c>
      <c r="F1155" s="45">
        <v>1.5129999999999999</v>
      </c>
      <c r="G1155" s="46">
        <v>0.65386649041639122</v>
      </c>
      <c r="H1155" s="46">
        <v>0.38949787619161197</v>
      </c>
      <c r="I1155" s="46">
        <v>0.20041539931052851</v>
      </c>
      <c r="J1155" s="47" t="s">
        <v>533</v>
      </c>
      <c r="K1155" s="48"/>
      <c r="L1155" s="48"/>
    </row>
    <row r="1156" spans="1:12" s="43" customFormat="1" ht="15" x14ac:dyDescent="0.25">
      <c r="A1156" s="38" t="s">
        <v>545</v>
      </c>
      <c r="B1156" s="39" t="s">
        <v>340</v>
      </c>
      <c r="C1156" s="39" t="s">
        <v>1569</v>
      </c>
      <c r="D1156" s="40">
        <v>0.4788</v>
      </c>
      <c r="E1156" s="40">
        <v>0.73399999999999999</v>
      </c>
      <c r="F1156" s="40">
        <v>1.5129999999999999</v>
      </c>
      <c r="G1156" s="41">
        <v>0.68354263053536002</v>
      </c>
      <c r="H1156" s="41">
        <v>0.51487111698611998</v>
      </c>
      <c r="I1156" s="41">
        <v>0.16867151354924001</v>
      </c>
      <c r="J1156" s="42" t="s">
        <v>532</v>
      </c>
    </row>
    <row r="1157" spans="1:12" s="43" customFormat="1" ht="15" x14ac:dyDescent="0.25">
      <c r="A1157" s="38" t="s">
        <v>645</v>
      </c>
      <c r="B1157" s="39" t="s">
        <v>340</v>
      </c>
      <c r="C1157" s="39" t="s">
        <v>1574</v>
      </c>
      <c r="D1157" s="40">
        <v>0.4788</v>
      </c>
      <c r="E1157" s="40">
        <v>0.71850000000000003</v>
      </c>
      <c r="F1157" s="40">
        <v>1.5129999999999999</v>
      </c>
      <c r="G1157" s="41">
        <v>0.68354263053536002</v>
      </c>
      <c r="H1157" s="41">
        <v>0.52511566424322498</v>
      </c>
      <c r="I1157" s="41">
        <v>0.15842696629213501</v>
      </c>
      <c r="J1157" s="42" t="s">
        <v>532</v>
      </c>
    </row>
    <row r="1158" spans="1:12" x14ac:dyDescent="0.25">
      <c r="A1158" s="44">
        <v>2018</v>
      </c>
      <c r="B1158" s="44" t="s">
        <v>340</v>
      </c>
      <c r="C1158" s="44" t="s">
        <v>1971</v>
      </c>
      <c r="D1158" s="45">
        <v>0.4788</v>
      </c>
      <c r="E1158" s="45">
        <v>0.73219661266568492</v>
      </c>
      <c r="F1158" s="45">
        <v>1.5129999999999999</v>
      </c>
      <c r="G1158" s="46">
        <v>0.68354263053536013</v>
      </c>
      <c r="H1158" s="46">
        <v>0.51606304516478196</v>
      </c>
      <c r="I1158" s="46">
        <v>0.16747958537057814</v>
      </c>
      <c r="J1158" s="47" t="s">
        <v>533</v>
      </c>
      <c r="K1158" s="48"/>
      <c r="L1158" s="48"/>
    </row>
    <row r="1159" spans="1:12" s="43" customFormat="1" ht="15" x14ac:dyDescent="0.25">
      <c r="A1159" s="38" t="s">
        <v>640</v>
      </c>
      <c r="B1159" s="39" t="s">
        <v>346</v>
      </c>
      <c r="C1159" s="39" t="s">
        <v>1613</v>
      </c>
      <c r="D1159" s="40">
        <v>1.1367</v>
      </c>
      <c r="E1159" s="40">
        <v>1.3109999999999999</v>
      </c>
      <c r="F1159" s="40">
        <v>2.9750000000000001</v>
      </c>
      <c r="G1159" s="41">
        <v>0.61791596638655499</v>
      </c>
      <c r="H1159" s="41">
        <v>0.55932773109243705</v>
      </c>
      <c r="I1159" s="41">
        <v>5.8588235294117601E-2</v>
      </c>
      <c r="J1159" s="42" t="s">
        <v>532</v>
      </c>
    </row>
    <row r="1160" spans="1:12" s="43" customFormat="1" ht="15" x14ac:dyDescent="0.25">
      <c r="A1160" s="38" t="s">
        <v>641</v>
      </c>
      <c r="B1160" s="39" t="s">
        <v>346</v>
      </c>
      <c r="C1160" s="39" t="s">
        <v>1621</v>
      </c>
      <c r="D1160" s="40">
        <v>1.1367</v>
      </c>
      <c r="E1160" s="40">
        <v>1.4313</v>
      </c>
      <c r="F1160" s="40">
        <v>2.9750000000000001</v>
      </c>
      <c r="G1160" s="41">
        <v>0.61791596638655499</v>
      </c>
      <c r="H1160" s="41">
        <v>0.51889075630252102</v>
      </c>
      <c r="I1160" s="41">
        <v>9.9025210084033602E-2</v>
      </c>
      <c r="J1160" s="42" t="s">
        <v>532</v>
      </c>
    </row>
    <row r="1161" spans="1:12" s="43" customFormat="1" ht="15" x14ac:dyDescent="0.25">
      <c r="A1161" s="38" t="s">
        <v>642</v>
      </c>
      <c r="B1161" s="39" t="s">
        <v>346</v>
      </c>
      <c r="C1161" s="39" t="s">
        <v>1627</v>
      </c>
      <c r="D1161" s="40">
        <v>1.1367</v>
      </c>
      <c r="E1161" s="40">
        <v>1.4389000000000001</v>
      </c>
      <c r="F1161" s="40">
        <v>2.9750000000000001</v>
      </c>
      <c r="G1161" s="41">
        <v>0.61791596638655499</v>
      </c>
      <c r="H1161" s="41">
        <v>0.51633613445378201</v>
      </c>
      <c r="I1161" s="41">
        <v>0.10157983193277299</v>
      </c>
      <c r="J1161" s="42" t="s">
        <v>532</v>
      </c>
    </row>
    <row r="1162" spans="1:12" s="43" customFormat="1" ht="15" x14ac:dyDescent="0.25">
      <c r="A1162" s="38" t="s">
        <v>648</v>
      </c>
      <c r="B1162" s="39" t="s">
        <v>346</v>
      </c>
      <c r="C1162" s="39" t="s">
        <v>1632</v>
      </c>
      <c r="D1162" s="40">
        <v>1.1367</v>
      </c>
      <c r="E1162" s="40">
        <v>1.4153</v>
      </c>
      <c r="F1162" s="40">
        <v>2.9750000000000001</v>
      </c>
      <c r="G1162" s="41">
        <v>0.61791596638655499</v>
      </c>
      <c r="H1162" s="41">
        <v>0.52426890756302502</v>
      </c>
      <c r="I1162" s="41">
        <v>9.3647058823529403E-2</v>
      </c>
      <c r="J1162" s="42" t="s">
        <v>532</v>
      </c>
    </row>
    <row r="1163" spans="1:12" x14ac:dyDescent="0.25">
      <c r="A1163" s="44">
        <v>2018</v>
      </c>
      <c r="B1163" s="44" t="s">
        <v>346</v>
      </c>
      <c r="C1163" s="44" t="s">
        <v>1977</v>
      </c>
      <c r="D1163" s="45">
        <v>1.1366999999999998</v>
      </c>
      <c r="E1163" s="45">
        <v>1.4092005312726392</v>
      </c>
      <c r="F1163" s="45">
        <v>2.9750000000000001</v>
      </c>
      <c r="G1163" s="46">
        <v>0.61791596638655466</v>
      </c>
      <c r="H1163" s="46">
        <v>0.52631914915205391</v>
      </c>
      <c r="I1163" s="46">
        <v>9.1596817234500694E-2</v>
      </c>
      <c r="J1163" s="47" t="s">
        <v>533</v>
      </c>
      <c r="K1163" s="48"/>
      <c r="L1163" s="48"/>
    </row>
    <row r="1164" spans="1:12" s="43" customFormat="1" ht="15" x14ac:dyDescent="0.25">
      <c r="A1164" s="38" t="s">
        <v>667</v>
      </c>
      <c r="B1164" s="39" t="s">
        <v>152</v>
      </c>
      <c r="C1164" s="39" t="s">
        <v>728</v>
      </c>
      <c r="D1164" s="40">
        <v>0.48130000000000001</v>
      </c>
      <c r="E1164" s="40">
        <v>0.5998</v>
      </c>
      <c r="F1164" s="40">
        <v>1.621</v>
      </c>
      <c r="G1164" s="41">
        <v>0.70306395229282304</v>
      </c>
      <c r="H1164" s="41">
        <v>0.629981492905614</v>
      </c>
      <c r="I1164" s="41">
        <v>7.30824593872096E-2</v>
      </c>
      <c r="J1164" s="42" t="s">
        <v>532</v>
      </c>
    </row>
    <row r="1165" spans="1:12" s="43" customFormat="1" ht="15" x14ac:dyDescent="0.25">
      <c r="A1165" s="38" t="s">
        <v>678</v>
      </c>
      <c r="B1165" s="39" t="s">
        <v>152</v>
      </c>
      <c r="C1165" s="39" t="s">
        <v>917</v>
      </c>
      <c r="D1165" s="40">
        <v>0.48130000000000001</v>
      </c>
      <c r="E1165" s="40">
        <v>0.69910000000000005</v>
      </c>
      <c r="F1165" s="40">
        <v>1.621</v>
      </c>
      <c r="G1165" s="41">
        <v>0.70306395229282304</v>
      </c>
      <c r="H1165" s="41">
        <v>0.56869730618959502</v>
      </c>
      <c r="I1165" s="41">
        <v>0.13436664610322799</v>
      </c>
      <c r="J1165" s="42" t="s">
        <v>532</v>
      </c>
    </row>
    <row r="1166" spans="1:12" s="43" customFormat="1" ht="15" x14ac:dyDescent="0.25">
      <c r="A1166" s="38" t="s">
        <v>684</v>
      </c>
      <c r="B1166" s="39" t="s">
        <v>152</v>
      </c>
      <c r="C1166" s="39" t="s">
        <v>1066</v>
      </c>
      <c r="D1166" s="40">
        <v>0.48130000000000001</v>
      </c>
      <c r="E1166" s="40">
        <v>0.52100000000000002</v>
      </c>
      <c r="F1166" s="40">
        <v>1.621</v>
      </c>
      <c r="G1166" s="41">
        <v>0.70306395229282304</v>
      </c>
      <c r="H1166" s="41">
        <v>0.67856775652889201</v>
      </c>
      <c r="I1166" s="41">
        <v>2.4496195763931701E-2</v>
      </c>
      <c r="J1166" s="42" t="s">
        <v>532</v>
      </c>
    </row>
    <row r="1167" spans="1:12" s="43" customFormat="1" ht="15" x14ac:dyDescent="0.25">
      <c r="A1167" s="38" t="s">
        <v>704</v>
      </c>
      <c r="B1167" s="39" t="s">
        <v>152</v>
      </c>
      <c r="C1167" s="39" t="s">
        <v>1294</v>
      </c>
      <c r="D1167" s="40">
        <v>0.58309999999999995</v>
      </c>
      <c r="E1167" s="40">
        <v>0.64449999999999996</v>
      </c>
      <c r="F1167" s="40">
        <v>1.621</v>
      </c>
      <c r="G1167" s="41">
        <v>0.64025293028994401</v>
      </c>
      <c r="H1167" s="41">
        <v>0.60242134484885901</v>
      </c>
      <c r="I1167" s="41">
        <v>3.7831585441085898E-2</v>
      </c>
      <c r="J1167" s="42" t="s">
        <v>532</v>
      </c>
    </row>
    <row r="1168" spans="1:12" s="43" customFormat="1" ht="15" x14ac:dyDescent="0.25">
      <c r="A1168" s="38" t="s">
        <v>551</v>
      </c>
      <c r="B1168" s="39" t="s">
        <v>152</v>
      </c>
      <c r="C1168" s="39" t="s">
        <v>1397</v>
      </c>
      <c r="D1168" s="40">
        <v>0.58309999999999995</v>
      </c>
      <c r="E1168" s="40">
        <v>0.5887</v>
      </c>
      <c r="F1168" s="40">
        <v>1.7569999999999999</v>
      </c>
      <c r="G1168" s="41">
        <v>0.66809903244166202</v>
      </c>
      <c r="H1168" s="41">
        <v>0.66492126731170598</v>
      </c>
      <c r="I1168" s="41">
        <v>3.1777651299563798E-3</v>
      </c>
      <c r="J1168" s="42" t="s">
        <v>532</v>
      </c>
    </row>
    <row r="1169" spans="1:12" s="43" customFormat="1" ht="15" x14ac:dyDescent="0.25">
      <c r="A1169" s="38" t="s">
        <v>633</v>
      </c>
      <c r="B1169" s="39" t="s">
        <v>152</v>
      </c>
      <c r="C1169" s="39" t="s">
        <v>1402</v>
      </c>
      <c r="D1169" s="40">
        <v>0.58309999999999995</v>
      </c>
      <c r="E1169" s="40">
        <v>0.45529999999999998</v>
      </c>
      <c r="F1169" s="40">
        <v>1.7569999999999999</v>
      </c>
      <c r="G1169" s="41">
        <v>0.66809903244166202</v>
      </c>
      <c r="H1169" s="41">
        <v>0.74084613925251397</v>
      </c>
      <c r="I1169" s="41">
        <v>-7.2747106810851794E-2</v>
      </c>
      <c r="J1169" s="42" t="s">
        <v>532</v>
      </c>
    </row>
    <row r="1170" spans="1:12" s="43" customFormat="1" ht="15" x14ac:dyDescent="0.25">
      <c r="A1170" s="38" t="s">
        <v>634</v>
      </c>
      <c r="B1170" s="39" t="s">
        <v>152</v>
      </c>
      <c r="C1170" s="39" t="s">
        <v>1410</v>
      </c>
      <c r="D1170" s="40">
        <v>0.58309999999999995</v>
      </c>
      <c r="E1170" s="40">
        <v>0.6976</v>
      </c>
      <c r="F1170" s="40">
        <v>1.7569999999999999</v>
      </c>
      <c r="G1170" s="41">
        <v>0.66809903244166202</v>
      </c>
      <c r="H1170" s="41">
        <v>0.60297856194270505</v>
      </c>
      <c r="I1170" s="41">
        <v>6.5120470498956501E-2</v>
      </c>
      <c r="J1170" s="42" t="s">
        <v>532</v>
      </c>
    </row>
    <row r="1171" spans="1:12" s="43" customFormat="1" ht="15" x14ac:dyDescent="0.25">
      <c r="A1171" s="38" t="s">
        <v>543</v>
      </c>
      <c r="B1171" s="39" t="s">
        <v>152</v>
      </c>
      <c r="C1171" s="39" t="s">
        <v>1017</v>
      </c>
      <c r="D1171" s="40">
        <v>0.58309999999999995</v>
      </c>
      <c r="E1171" s="40">
        <v>0.59919999999999995</v>
      </c>
      <c r="F1171" s="40">
        <v>1.7569999999999999</v>
      </c>
      <c r="G1171" s="41">
        <v>0.66809903244166202</v>
      </c>
      <c r="H1171" s="41">
        <v>0.65896414342629495</v>
      </c>
      <c r="I1171" s="41">
        <v>9.1348890153670793E-3</v>
      </c>
      <c r="J1171" s="42" t="s">
        <v>532</v>
      </c>
    </row>
    <row r="1172" spans="1:12" x14ac:dyDescent="0.25">
      <c r="A1172" s="44">
        <v>2018</v>
      </c>
      <c r="B1172" s="44" t="s">
        <v>152</v>
      </c>
      <c r="C1172" s="44" t="s">
        <v>1816</v>
      </c>
      <c r="D1172" s="45">
        <v>0.54266671714112658</v>
      </c>
      <c r="E1172" s="45">
        <v>0.57701821623258631</v>
      </c>
      <c r="F1172" s="45">
        <v>1.6785590551181104</v>
      </c>
      <c r="G1172" s="46">
        <v>0.67698569319539614</v>
      </c>
      <c r="H1172" s="46">
        <v>0.65511727486716742</v>
      </c>
      <c r="I1172" s="46">
        <v>2.1868418328228487E-2</v>
      </c>
      <c r="J1172" s="47" t="s">
        <v>533</v>
      </c>
      <c r="K1172" s="48"/>
      <c r="L1172" s="48"/>
    </row>
    <row r="1173" spans="1:12" s="43" customFormat="1" ht="15" x14ac:dyDescent="0.25">
      <c r="A1173" s="38" t="s">
        <v>667</v>
      </c>
      <c r="B1173" s="39" t="s">
        <v>153</v>
      </c>
      <c r="C1173" s="39" t="s">
        <v>729</v>
      </c>
      <c r="D1173" s="40">
        <v>0.48270000000000002</v>
      </c>
      <c r="E1173" s="40">
        <v>0.51839999999999997</v>
      </c>
      <c r="F1173" s="40">
        <v>1.621</v>
      </c>
      <c r="G1173" s="41">
        <v>0.70222085132634204</v>
      </c>
      <c r="H1173" s="41">
        <v>0.68019740900678605</v>
      </c>
      <c r="I1173" s="41">
        <v>2.2023442319555799E-2</v>
      </c>
      <c r="J1173" s="42" t="s">
        <v>532</v>
      </c>
    </row>
    <row r="1174" spans="1:12" s="43" customFormat="1" ht="15" x14ac:dyDescent="0.25">
      <c r="A1174" s="38" t="s">
        <v>678</v>
      </c>
      <c r="B1174" s="39" t="s">
        <v>153</v>
      </c>
      <c r="C1174" s="39" t="s">
        <v>934</v>
      </c>
      <c r="D1174" s="40">
        <v>0.48270000000000002</v>
      </c>
      <c r="E1174" s="40">
        <v>0.6694</v>
      </c>
      <c r="F1174" s="40">
        <v>1.621</v>
      </c>
      <c r="G1174" s="41">
        <v>0.70222085132634204</v>
      </c>
      <c r="H1174" s="41">
        <v>0.58701932963191406</v>
      </c>
      <c r="I1174" s="41">
        <v>0.115201521694427</v>
      </c>
      <c r="J1174" s="42" t="s">
        <v>532</v>
      </c>
    </row>
    <row r="1175" spans="1:12" s="43" customFormat="1" ht="15" x14ac:dyDescent="0.25">
      <c r="A1175" s="38" t="s">
        <v>618</v>
      </c>
      <c r="B1175" s="39" t="s">
        <v>153</v>
      </c>
      <c r="C1175" s="39" t="s">
        <v>1081</v>
      </c>
      <c r="D1175" s="40">
        <v>0.48270000000000002</v>
      </c>
      <c r="E1175" s="40">
        <v>0.53559999999999997</v>
      </c>
      <c r="F1175" s="40">
        <v>1.621</v>
      </c>
      <c r="G1175" s="41">
        <v>0.70222085132634204</v>
      </c>
      <c r="H1175" s="41">
        <v>0.66957125231338699</v>
      </c>
      <c r="I1175" s="41">
        <v>3.2649599012954902E-2</v>
      </c>
      <c r="J1175" s="42" t="s">
        <v>532</v>
      </c>
    </row>
    <row r="1176" spans="1:12" s="43" customFormat="1" ht="15" x14ac:dyDescent="0.25">
      <c r="A1176" s="38" t="s">
        <v>704</v>
      </c>
      <c r="B1176" s="39" t="s">
        <v>153</v>
      </c>
      <c r="C1176" s="39" t="s">
        <v>1295</v>
      </c>
      <c r="D1176" s="40">
        <v>0.56410000000000005</v>
      </c>
      <c r="E1176" s="40">
        <v>0.68</v>
      </c>
      <c r="F1176" s="40">
        <v>1.621</v>
      </c>
      <c r="G1176" s="41">
        <v>0.65203063952292795</v>
      </c>
      <c r="H1176" s="41">
        <v>0.58050586057988895</v>
      </c>
      <c r="I1176" s="41">
        <v>7.1524778943039297E-2</v>
      </c>
      <c r="J1176" s="42" t="s">
        <v>532</v>
      </c>
    </row>
    <row r="1177" spans="1:12" s="43" customFormat="1" ht="15" x14ac:dyDescent="0.25">
      <c r="A1177" s="38" t="s">
        <v>705</v>
      </c>
      <c r="B1177" s="39" t="s">
        <v>153</v>
      </c>
      <c r="C1177" s="39" t="s">
        <v>1297</v>
      </c>
      <c r="D1177" s="40">
        <v>0.56410000000000005</v>
      </c>
      <c r="E1177" s="40">
        <v>0.68</v>
      </c>
      <c r="F1177" s="40">
        <v>1.621</v>
      </c>
      <c r="G1177" s="41">
        <v>0.65203063952292795</v>
      </c>
      <c r="H1177" s="41">
        <v>0.58050586057988895</v>
      </c>
      <c r="I1177" s="41">
        <v>7.1524778943039297E-2</v>
      </c>
      <c r="J1177" s="42" t="s">
        <v>532</v>
      </c>
    </row>
    <row r="1178" spans="1:12" s="43" customFormat="1" ht="15" x14ac:dyDescent="0.25">
      <c r="A1178" s="38" t="s">
        <v>634</v>
      </c>
      <c r="B1178" s="39" t="s">
        <v>153</v>
      </c>
      <c r="C1178" s="39" t="s">
        <v>1411</v>
      </c>
      <c r="D1178" s="40">
        <v>0.56410000000000005</v>
      </c>
      <c r="E1178" s="40">
        <v>0.67049999999999998</v>
      </c>
      <c r="F1178" s="40">
        <v>1.7569999999999999</v>
      </c>
      <c r="G1178" s="41">
        <v>0.67896509201290101</v>
      </c>
      <c r="H1178" s="41">
        <v>0.61838835135647896</v>
      </c>
      <c r="I1178" s="41">
        <v>6.05767406564219E-2</v>
      </c>
      <c r="J1178" s="42" t="s">
        <v>532</v>
      </c>
    </row>
    <row r="1179" spans="1:12" s="43" customFormat="1" ht="15" x14ac:dyDescent="0.25">
      <c r="A1179" s="38" t="s">
        <v>583</v>
      </c>
      <c r="B1179" s="39" t="s">
        <v>153</v>
      </c>
      <c r="C1179" s="39" t="s">
        <v>1417</v>
      </c>
      <c r="D1179" s="40">
        <v>0.56410000000000005</v>
      </c>
      <c r="E1179" s="40">
        <v>0.73909999999999998</v>
      </c>
      <c r="F1179" s="40">
        <v>1.7569999999999999</v>
      </c>
      <c r="G1179" s="41">
        <v>0.67896509201290101</v>
      </c>
      <c r="H1179" s="41">
        <v>0.57931132612407499</v>
      </c>
      <c r="I1179" s="41">
        <v>9.9653765888825699E-2</v>
      </c>
      <c r="J1179" s="42" t="s">
        <v>532</v>
      </c>
    </row>
    <row r="1180" spans="1:12" s="43" customFormat="1" ht="15" x14ac:dyDescent="0.25">
      <c r="A1180" s="38" t="s">
        <v>564</v>
      </c>
      <c r="B1180" s="39" t="s">
        <v>153</v>
      </c>
      <c r="C1180" s="39" t="s">
        <v>1454</v>
      </c>
      <c r="D1180" s="40">
        <v>0.56410000000000005</v>
      </c>
      <c r="E1180" s="40">
        <v>0.69220000000000004</v>
      </c>
      <c r="F1180" s="40">
        <v>1.7569999999999999</v>
      </c>
      <c r="G1180" s="41">
        <v>0.67896509201290101</v>
      </c>
      <c r="H1180" s="41">
        <v>0.60601403908176799</v>
      </c>
      <c r="I1180" s="41">
        <v>7.2951052931132701E-2</v>
      </c>
      <c r="J1180" s="42" t="s">
        <v>532</v>
      </c>
    </row>
    <row r="1181" spans="1:12" s="43" customFormat="1" ht="15" x14ac:dyDescent="0.25">
      <c r="A1181" s="38" t="s">
        <v>543</v>
      </c>
      <c r="B1181" s="39" t="s">
        <v>153</v>
      </c>
      <c r="C1181" s="39" t="s">
        <v>1276</v>
      </c>
      <c r="D1181" s="40">
        <v>0.56410000000000005</v>
      </c>
      <c r="E1181" s="40">
        <v>0.73319999999999996</v>
      </c>
      <c r="F1181" s="40">
        <v>1.7569999999999999</v>
      </c>
      <c r="G1181" s="41">
        <v>0.67896509201290101</v>
      </c>
      <c r="H1181" s="41">
        <v>0.58269778030734198</v>
      </c>
      <c r="I1181" s="41">
        <v>9.6267311705558703E-2</v>
      </c>
      <c r="J1181" s="42" t="s">
        <v>532</v>
      </c>
    </row>
    <row r="1182" spans="1:12" x14ac:dyDescent="0.25">
      <c r="A1182" s="44">
        <v>2018</v>
      </c>
      <c r="B1182" s="44" t="s">
        <v>153</v>
      </c>
      <c r="C1182" s="44" t="s">
        <v>1817</v>
      </c>
      <c r="D1182" s="45">
        <v>0.53733904137648514</v>
      </c>
      <c r="E1182" s="45">
        <v>0.64890960671855791</v>
      </c>
      <c r="F1182" s="45">
        <v>1.6720626792298241</v>
      </c>
      <c r="G1182" s="46">
        <v>0.67864394172665587</v>
      </c>
      <c r="H1182" s="46">
        <v>0.61220706065457042</v>
      </c>
      <c r="I1182" s="46">
        <v>6.6436881072085466E-2</v>
      </c>
      <c r="J1182" s="47" t="s">
        <v>533</v>
      </c>
      <c r="K1182" s="48"/>
      <c r="L1182" s="48"/>
    </row>
    <row r="1183" spans="1:12" s="43" customFormat="1" ht="15" x14ac:dyDescent="0.25">
      <c r="A1183" s="38" t="s">
        <v>561</v>
      </c>
      <c r="B1183" s="39" t="s">
        <v>363</v>
      </c>
      <c r="C1183" s="39" t="s">
        <v>1586</v>
      </c>
      <c r="D1183" s="40">
        <v>0</v>
      </c>
      <c r="E1183" s="40">
        <v>1.4784999999999999</v>
      </c>
      <c r="F1183" s="40">
        <v>0</v>
      </c>
      <c r="G1183" s="41"/>
      <c r="H1183" s="41"/>
      <c r="I1183" s="41"/>
      <c r="J1183" s="42" t="s">
        <v>532</v>
      </c>
    </row>
    <row r="1184" spans="1:12" s="43" customFormat="1" ht="15" x14ac:dyDescent="0.25">
      <c r="A1184" s="38" t="s">
        <v>540</v>
      </c>
      <c r="B1184" s="39" t="s">
        <v>363</v>
      </c>
      <c r="C1184" s="39" t="s">
        <v>1592</v>
      </c>
      <c r="D1184" s="40">
        <v>0</v>
      </c>
      <c r="E1184" s="40">
        <v>1.4745999999999999</v>
      </c>
      <c r="F1184" s="40">
        <v>0</v>
      </c>
      <c r="G1184" s="41"/>
      <c r="H1184" s="41"/>
      <c r="I1184" s="41"/>
      <c r="J1184" s="42" t="s">
        <v>532</v>
      </c>
    </row>
    <row r="1185" spans="1:12" s="43" customFormat="1" ht="15" x14ac:dyDescent="0.25">
      <c r="A1185" s="38" t="s">
        <v>620</v>
      </c>
      <c r="B1185" s="39" t="s">
        <v>363</v>
      </c>
      <c r="C1185" s="39" t="s">
        <v>1642</v>
      </c>
      <c r="D1185" s="40">
        <v>0</v>
      </c>
      <c r="E1185" s="40">
        <v>1.5076000000000001</v>
      </c>
      <c r="F1185" s="40">
        <v>0</v>
      </c>
      <c r="G1185" s="41"/>
      <c r="H1185" s="41"/>
      <c r="I1185" s="41"/>
      <c r="J1185" s="42" t="s">
        <v>532</v>
      </c>
    </row>
    <row r="1186" spans="1:12" s="43" customFormat="1" ht="15" x14ac:dyDescent="0.25">
      <c r="A1186" s="38" t="s">
        <v>543</v>
      </c>
      <c r="B1186" s="39" t="s">
        <v>363</v>
      </c>
      <c r="C1186" s="39" t="s">
        <v>1654</v>
      </c>
      <c r="D1186" s="40">
        <v>0</v>
      </c>
      <c r="E1186" s="40">
        <v>1.506</v>
      </c>
      <c r="F1186" s="40">
        <v>0</v>
      </c>
      <c r="G1186" s="41"/>
      <c r="H1186" s="41"/>
      <c r="I1186" s="41"/>
      <c r="J1186" s="42" t="s">
        <v>532</v>
      </c>
    </row>
    <row r="1187" spans="1:12" x14ac:dyDescent="0.25">
      <c r="A1187" s="44">
        <v>2018</v>
      </c>
      <c r="B1187" s="44" t="s">
        <v>363</v>
      </c>
      <c r="C1187" s="44" t="s">
        <v>1974</v>
      </c>
      <c r="D1187" s="45">
        <v>0</v>
      </c>
      <c r="E1187" s="45">
        <v>1.4925265049415992</v>
      </c>
      <c r="F1187" s="45">
        <v>0</v>
      </c>
      <c r="J1187" s="47" t="s">
        <v>533</v>
      </c>
      <c r="K1187" s="48"/>
      <c r="L1187" s="48"/>
    </row>
    <row r="1188" spans="1:12" s="43" customFormat="1" ht="15" x14ac:dyDescent="0.25">
      <c r="A1188" s="38" t="s">
        <v>574</v>
      </c>
      <c r="B1188" s="39" t="s">
        <v>364</v>
      </c>
      <c r="C1188" s="39" t="s">
        <v>1563</v>
      </c>
      <c r="D1188" s="40">
        <v>0</v>
      </c>
      <c r="E1188" s="40">
        <v>1.3139000000000001</v>
      </c>
      <c r="F1188" s="40"/>
      <c r="G1188" s="41"/>
      <c r="H1188" s="41"/>
      <c r="I1188" s="41"/>
      <c r="J1188" s="42" t="s">
        <v>532</v>
      </c>
    </row>
    <row r="1189" spans="1:12" s="43" customFormat="1" ht="15" x14ac:dyDescent="0.25">
      <c r="A1189" s="38" t="s">
        <v>550</v>
      </c>
      <c r="B1189" s="39" t="s">
        <v>364</v>
      </c>
      <c r="C1189" s="39" t="s">
        <v>730</v>
      </c>
      <c r="D1189" s="40">
        <v>0</v>
      </c>
      <c r="E1189" s="40">
        <v>1.3127</v>
      </c>
      <c r="F1189" s="40"/>
      <c r="G1189" s="41"/>
      <c r="H1189" s="41"/>
      <c r="I1189" s="41"/>
      <c r="J1189" s="42" t="s">
        <v>532</v>
      </c>
    </row>
    <row r="1190" spans="1:12" s="43" customFormat="1" ht="15" x14ac:dyDescent="0.25">
      <c r="A1190" s="38" t="s">
        <v>545</v>
      </c>
      <c r="B1190" s="39" t="s">
        <v>364</v>
      </c>
      <c r="C1190" s="39" t="s">
        <v>1570</v>
      </c>
      <c r="D1190" s="40">
        <v>0</v>
      </c>
      <c r="E1190" s="40">
        <v>1.3451</v>
      </c>
      <c r="F1190" s="40"/>
      <c r="G1190" s="41"/>
      <c r="H1190" s="41"/>
      <c r="I1190" s="41"/>
      <c r="J1190" s="42" t="s">
        <v>532</v>
      </c>
    </row>
    <row r="1191" spans="1:12" s="43" customFormat="1" ht="15" x14ac:dyDescent="0.25">
      <c r="A1191" s="38" t="s">
        <v>617</v>
      </c>
      <c r="B1191" s="39" t="s">
        <v>364</v>
      </c>
      <c r="C1191" s="39" t="s">
        <v>884</v>
      </c>
      <c r="D1191" s="40">
        <v>0</v>
      </c>
      <c r="E1191" s="40">
        <v>1.3190999999999999</v>
      </c>
      <c r="F1191" s="40"/>
      <c r="G1191" s="41"/>
      <c r="H1191" s="41"/>
      <c r="I1191" s="41"/>
      <c r="J1191" s="42" t="s">
        <v>532</v>
      </c>
    </row>
    <row r="1192" spans="1:12" s="43" customFormat="1" ht="15" x14ac:dyDescent="0.25">
      <c r="A1192" s="38" t="s">
        <v>561</v>
      </c>
      <c r="B1192" s="39" t="s">
        <v>364</v>
      </c>
      <c r="C1192" s="39" t="s">
        <v>837</v>
      </c>
      <c r="D1192" s="40">
        <v>0</v>
      </c>
      <c r="E1192" s="40">
        <v>1.3015000000000001</v>
      </c>
      <c r="F1192" s="40"/>
      <c r="G1192" s="41"/>
      <c r="H1192" s="41"/>
      <c r="I1192" s="41"/>
      <c r="J1192" s="42" t="s">
        <v>532</v>
      </c>
    </row>
    <row r="1193" spans="1:12" s="43" customFormat="1" ht="15" x14ac:dyDescent="0.25">
      <c r="A1193" s="38" t="s">
        <v>643</v>
      </c>
      <c r="B1193" s="39" t="s">
        <v>364</v>
      </c>
      <c r="C1193" s="39" t="s">
        <v>1601</v>
      </c>
      <c r="D1193" s="40">
        <v>0</v>
      </c>
      <c r="E1193" s="40">
        <v>1.06E-2</v>
      </c>
      <c r="F1193" s="40"/>
      <c r="G1193" s="41"/>
      <c r="H1193" s="41"/>
      <c r="I1193" s="41"/>
      <c r="J1193" s="42" t="s">
        <v>532</v>
      </c>
    </row>
    <row r="1194" spans="1:12" x14ac:dyDescent="0.25">
      <c r="A1194" s="44">
        <v>2018</v>
      </c>
      <c r="B1194" s="44" t="s">
        <v>364</v>
      </c>
      <c r="C1194" s="44" t="s">
        <v>1969</v>
      </c>
      <c r="D1194" s="45">
        <v>0</v>
      </c>
      <c r="E1194" s="45">
        <v>1.2809585908939847</v>
      </c>
      <c r="F1194" s="45"/>
      <c r="J1194" s="47" t="s">
        <v>533</v>
      </c>
      <c r="K1194" s="48"/>
      <c r="L1194" s="48"/>
    </row>
    <row r="1195" spans="1:12" s="43" customFormat="1" ht="15" x14ac:dyDescent="0.25">
      <c r="A1195" s="38" t="s">
        <v>621</v>
      </c>
      <c r="B1195" s="39" t="s">
        <v>379</v>
      </c>
      <c r="C1195" s="39" t="s">
        <v>1098</v>
      </c>
      <c r="D1195" s="40">
        <v>1.6685000000000001</v>
      </c>
      <c r="E1195" s="40">
        <v>1.8360000000000001</v>
      </c>
      <c r="F1195" s="40">
        <v>5.3</v>
      </c>
      <c r="G1195" s="41">
        <v>0.68518238993710701</v>
      </c>
      <c r="H1195" s="41">
        <v>0.65358490566037697</v>
      </c>
      <c r="I1195" s="41">
        <v>3.15974842767296E-2</v>
      </c>
      <c r="J1195" s="42" t="s">
        <v>532</v>
      </c>
    </row>
    <row r="1196" spans="1:12" x14ac:dyDescent="0.25">
      <c r="A1196" s="44">
        <v>2018</v>
      </c>
      <c r="B1196" s="44" t="s">
        <v>379</v>
      </c>
      <c r="C1196" s="44" t="s">
        <v>1098</v>
      </c>
      <c r="D1196" s="45">
        <v>1.6685000000000001</v>
      </c>
      <c r="E1196" s="45">
        <v>1.8360000000000001</v>
      </c>
      <c r="F1196" s="45">
        <v>5.3</v>
      </c>
      <c r="G1196" s="46">
        <v>0.68518238993710689</v>
      </c>
      <c r="H1196" s="46">
        <v>0.6535849056603773</v>
      </c>
      <c r="I1196" s="46">
        <v>3.1597484276729593E-2</v>
      </c>
      <c r="J1196" s="47" t="s">
        <v>533</v>
      </c>
      <c r="K1196" s="48"/>
      <c r="L1196" s="48"/>
    </row>
    <row r="1197" spans="1:12" s="43" customFormat="1" ht="15" x14ac:dyDescent="0.25">
      <c r="A1197" s="38" t="s">
        <v>594</v>
      </c>
      <c r="B1197" s="39" t="s">
        <v>183</v>
      </c>
      <c r="C1197" s="39" t="s">
        <v>874</v>
      </c>
      <c r="D1197" s="40">
        <v>1.8607</v>
      </c>
      <c r="E1197" s="40">
        <v>2.3994</v>
      </c>
      <c r="F1197" s="40">
        <v>6.05</v>
      </c>
      <c r="G1197" s="41">
        <v>0.69244352617079896</v>
      </c>
      <c r="H1197" s="41">
        <v>0.60341046831955902</v>
      </c>
      <c r="I1197" s="41">
        <v>8.9033057851239703E-2</v>
      </c>
      <c r="J1197" s="42" t="s">
        <v>532</v>
      </c>
    </row>
    <row r="1198" spans="1:12" s="43" customFormat="1" ht="15" x14ac:dyDescent="0.25">
      <c r="A1198" s="38" t="s">
        <v>691</v>
      </c>
      <c r="B1198" s="39" t="s">
        <v>183</v>
      </c>
      <c r="C1198" s="39" t="s">
        <v>1135</v>
      </c>
      <c r="D1198" s="40">
        <v>1.8607</v>
      </c>
      <c r="E1198" s="40">
        <v>2.3532000000000002</v>
      </c>
      <c r="F1198" s="40">
        <v>6.05</v>
      </c>
      <c r="G1198" s="41">
        <v>0.69244352617079896</v>
      </c>
      <c r="H1198" s="41">
        <v>0.61103581267217599</v>
      </c>
      <c r="I1198" s="41">
        <v>8.1407713498622497E-2</v>
      </c>
      <c r="J1198" s="42" t="s">
        <v>532</v>
      </c>
    </row>
    <row r="1199" spans="1:12" s="43" customFormat="1" ht="15" x14ac:dyDescent="0.25">
      <c r="A1199" s="38" t="s">
        <v>703</v>
      </c>
      <c r="B1199" s="39" t="s">
        <v>183</v>
      </c>
      <c r="C1199" s="39" t="s">
        <v>1289</v>
      </c>
      <c r="D1199" s="40">
        <v>2.0215999999999998</v>
      </c>
      <c r="E1199" s="40">
        <v>2.0596999999999999</v>
      </c>
      <c r="F1199" s="40">
        <v>6.05</v>
      </c>
      <c r="G1199" s="41">
        <v>0.66584573002754799</v>
      </c>
      <c r="H1199" s="41">
        <v>0.65955922865013805</v>
      </c>
      <c r="I1199" s="41">
        <v>6.2865013774104899E-3</v>
      </c>
      <c r="J1199" s="42" t="s">
        <v>532</v>
      </c>
    </row>
    <row r="1200" spans="1:12" s="43" customFormat="1" ht="15" x14ac:dyDescent="0.25">
      <c r="A1200" s="38" t="s">
        <v>634</v>
      </c>
      <c r="B1200" s="39" t="s">
        <v>183</v>
      </c>
      <c r="C1200" s="39" t="s">
        <v>1412</v>
      </c>
      <c r="D1200" s="40">
        <v>2.0215999999999998</v>
      </c>
      <c r="E1200" s="40">
        <v>2.3108</v>
      </c>
      <c r="F1200" s="40">
        <v>6.5590000000000002</v>
      </c>
      <c r="G1200" s="41">
        <v>0.69177720180921898</v>
      </c>
      <c r="H1200" s="41">
        <v>0.64768257356304304</v>
      </c>
      <c r="I1200" s="41">
        <v>4.4094628246175702E-2</v>
      </c>
      <c r="J1200" s="42" t="s">
        <v>532</v>
      </c>
    </row>
    <row r="1201" spans="1:12" s="43" customFormat="1" ht="15" x14ac:dyDescent="0.25">
      <c r="A1201" s="38" t="s">
        <v>555</v>
      </c>
      <c r="B1201" s="39" t="s">
        <v>183</v>
      </c>
      <c r="C1201" s="39" t="s">
        <v>1408</v>
      </c>
      <c r="D1201" s="40">
        <v>2.0215999999999998</v>
      </c>
      <c r="E1201" s="40">
        <v>2.2054</v>
      </c>
      <c r="F1201" s="40">
        <v>6.5590000000000002</v>
      </c>
      <c r="G1201" s="41">
        <v>0.69177720180921898</v>
      </c>
      <c r="H1201" s="41">
        <v>0.66375971946943102</v>
      </c>
      <c r="I1201" s="41">
        <v>2.8017482339787601E-2</v>
      </c>
      <c r="J1201" s="42" t="s">
        <v>532</v>
      </c>
    </row>
    <row r="1202" spans="1:12" x14ac:dyDescent="0.25">
      <c r="A1202" s="44">
        <v>2018</v>
      </c>
      <c r="B1202" s="44" t="s">
        <v>183</v>
      </c>
      <c r="C1202" s="44" t="s">
        <v>1873</v>
      </c>
      <c r="D1202" s="45">
        <v>1.9564180915218161</v>
      </c>
      <c r="E1202" s="45">
        <v>2.2331329549485632</v>
      </c>
      <c r="F1202" s="45">
        <v>6.1675448740688186</v>
      </c>
      <c r="G1202" s="46">
        <v>0.68260914660273797</v>
      </c>
      <c r="H1202" s="46">
        <v>0.63759171498775524</v>
      </c>
      <c r="I1202" s="46">
        <v>4.5017431614982721E-2</v>
      </c>
      <c r="J1202" s="47" t="s">
        <v>533</v>
      </c>
      <c r="K1202" s="48"/>
      <c r="L1202" s="48"/>
    </row>
    <row r="1203" spans="1:12" s="43" customFormat="1" ht="15" x14ac:dyDescent="0.25">
      <c r="A1203" s="38" t="s">
        <v>594</v>
      </c>
      <c r="B1203" s="39" t="s">
        <v>184</v>
      </c>
      <c r="C1203" s="39" t="s">
        <v>875</v>
      </c>
      <c r="D1203" s="40">
        <v>1.7013</v>
      </c>
      <c r="E1203" s="40">
        <v>2.2084999999999999</v>
      </c>
      <c r="F1203" s="40">
        <v>6.05</v>
      </c>
      <c r="G1203" s="41">
        <v>0.71879614325068897</v>
      </c>
      <c r="H1203" s="41">
        <v>0.63495316804407698</v>
      </c>
      <c r="I1203" s="41">
        <v>8.3842975206611603E-2</v>
      </c>
      <c r="J1203" s="42" t="s">
        <v>532</v>
      </c>
    </row>
    <row r="1204" spans="1:12" s="43" customFormat="1" ht="15" x14ac:dyDescent="0.25">
      <c r="A1204" s="38" t="s">
        <v>623</v>
      </c>
      <c r="B1204" s="39" t="s">
        <v>184</v>
      </c>
      <c r="C1204" s="39" t="s">
        <v>1139</v>
      </c>
      <c r="D1204" s="40">
        <v>1.7013</v>
      </c>
      <c r="E1204" s="40">
        <v>1.9411</v>
      </c>
      <c r="F1204" s="40">
        <v>6.05</v>
      </c>
      <c r="G1204" s="41">
        <v>0.71879614325068897</v>
      </c>
      <c r="H1204" s="41">
        <v>0.67916253443526198</v>
      </c>
      <c r="I1204" s="41">
        <v>3.9633608815426997E-2</v>
      </c>
      <c r="J1204" s="42" t="s">
        <v>532</v>
      </c>
    </row>
    <row r="1205" spans="1:12" s="43" customFormat="1" ht="15" x14ac:dyDescent="0.25">
      <c r="A1205" s="38" t="s">
        <v>634</v>
      </c>
      <c r="B1205" s="39" t="s">
        <v>184</v>
      </c>
      <c r="C1205" s="39" t="s">
        <v>1266</v>
      </c>
      <c r="D1205" s="40">
        <v>1.9180999999999999</v>
      </c>
      <c r="E1205" s="40">
        <v>2.0108000000000001</v>
      </c>
      <c r="F1205" s="40">
        <v>6.5579999999999998</v>
      </c>
      <c r="G1205" s="41">
        <v>0.70752516010979005</v>
      </c>
      <c r="H1205" s="41">
        <v>0.69338721154823602</v>
      </c>
      <c r="I1205" s="41">
        <v>1.41379485615534E-2</v>
      </c>
      <c r="J1205" s="42" t="s">
        <v>532</v>
      </c>
    </row>
    <row r="1206" spans="1:12" s="43" customFormat="1" ht="15" x14ac:dyDescent="0.25">
      <c r="A1206" s="38" t="s">
        <v>583</v>
      </c>
      <c r="B1206" s="39" t="s">
        <v>184</v>
      </c>
      <c r="C1206" s="39" t="s">
        <v>1418</v>
      </c>
      <c r="D1206" s="40">
        <v>1.9180999999999999</v>
      </c>
      <c r="E1206" s="40">
        <v>2.0541999999999998</v>
      </c>
      <c r="F1206" s="40">
        <v>6.5579999999999998</v>
      </c>
      <c r="G1206" s="41">
        <v>0.70752516010979005</v>
      </c>
      <c r="H1206" s="41">
        <v>0.68676679882077896</v>
      </c>
      <c r="I1206" s="41">
        <v>2.0758361289010999E-2</v>
      </c>
      <c r="J1206" s="42" t="s">
        <v>532</v>
      </c>
    </row>
    <row r="1207" spans="1:12" s="43" customFormat="1" ht="15" x14ac:dyDescent="0.25">
      <c r="A1207" s="38" t="s">
        <v>548</v>
      </c>
      <c r="B1207" s="39" t="s">
        <v>184</v>
      </c>
      <c r="C1207" s="39" t="s">
        <v>1526</v>
      </c>
      <c r="D1207" s="40">
        <v>1.9180999999999999</v>
      </c>
      <c r="E1207" s="40">
        <v>2.3170000000000002</v>
      </c>
      <c r="F1207" s="40">
        <v>6.5579999999999998</v>
      </c>
      <c r="G1207" s="41">
        <v>0.70752516010979005</v>
      </c>
      <c r="H1207" s="41">
        <v>0.64669106434888701</v>
      </c>
      <c r="I1207" s="41">
        <v>6.0834095760902797E-2</v>
      </c>
      <c r="J1207" s="42" t="s">
        <v>532</v>
      </c>
    </row>
    <row r="1208" spans="1:12" x14ac:dyDescent="0.25">
      <c r="A1208" s="44">
        <v>2018</v>
      </c>
      <c r="B1208" s="44" t="s">
        <v>184</v>
      </c>
      <c r="C1208" s="44" t="s">
        <v>1874</v>
      </c>
      <c r="D1208" s="45">
        <v>1.7845008813808301</v>
      </c>
      <c r="E1208" s="45">
        <v>2.0542059493206026</v>
      </c>
      <c r="F1208" s="45">
        <v>6.2449540947484392</v>
      </c>
      <c r="G1208" s="46">
        <v>0.71447070168541527</v>
      </c>
      <c r="H1208" s="46">
        <v>0.67081656198519757</v>
      </c>
      <c r="I1208" s="46">
        <v>4.3654139700217649E-2</v>
      </c>
      <c r="J1208" s="47" t="s">
        <v>533</v>
      </c>
      <c r="K1208" s="48"/>
      <c r="L1208" s="48"/>
    </row>
    <row r="1209" spans="1:12" s="43" customFormat="1" ht="15" x14ac:dyDescent="0.25">
      <c r="A1209" s="38" t="s">
        <v>581</v>
      </c>
      <c r="B1209" s="39" t="s">
        <v>190</v>
      </c>
      <c r="C1209" s="39" t="s">
        <v>885</v>
      </c>
      <c r="D1209" s="40">
        <v>2.4748000000000001</v>
      </c>
      <c r="E1209" s="40">
        <v>2.5634999999999999</v>
      </c>
      <c r="F1209" s="40">
        <v>7.0010000000000003</v>
      </c>
      <c r="G1209" s="41">
        <v>0.64650049992858205</v>
      </c>
      <c r="H1209" s="41">
        <v>0.63383802313955195</v>
      </c>
      <c r="I1209" s="41">
        <v>1.2662476789030101E-2</v>
      </c>
      <c r="J1209" s="42" t="s">
        <v>532</v>
      </c>
    </row>
    <row r="1210" spans="1:12" s="43" customFormat="1" ht="15" x14ac:dyDescent="0.25">
      <c r="A1210" s="38" t="s">
        <v>612</v>
      </c>
      <c r="B1210" s="39" t="s">
        <v>190</v>
      </c>
      <c r="C1210" s="39" t="s">
        <v>988</v>
      </c>
      <c r="D1210" s="40">
        <v>2.4748000000000001</v>
      </c>
      <c r="E1210" s="40">
        <v>2.8102</v>
      </c>
      <c r="F1210" s="40">
        <v>7.0010000000000003</v>
      </c>
      <c r="G1210" s="41">
        <v>0.64650049992858205</v>
      </c>
      <c r="H1210" s="41">
        <v>0.59859305813455199</v>
      </c>
      <c r="I1210" s="41">
        <v>4.79074417940294E-2</v>
      </c>
      <c r="J1210" s="42" t="s">
        <v>532</v>
      </c>
    </row>
    <row r="1211" spans="1:12" s="43" customFormat="1" ht="15" x14ac:dyDescent="0.25">
      <c r="A1211" s="38" t="s">
        <v>690</v>
      </c>
      <c r="B1211" s="39" t="s">
        <v>190</v>
      </c>
      <c r="C1211" s="39" t="s">
        <v>1125</v>
      </c>
      <c r="D1211" s="40">
        <v>2.4748000000000001</v>
      </c>
      <c r="E1211" s="40">
        <v>2.6078000000000001</v>
      </c>
      <c r="F1211" s="40">
        <v>7.0010000000000003</v>
      </c>
      <c r="G1211" s="41">
        <v>0.64650049992858205</v>
      </c>
      <c r="H1211" s="41">
        <v>0.62751035566347702</v>
      </c>
      <c r="I1211" s="41">
        <v>1.89901442651049E-2</v>
      </c>
      <c r="J1211" s="42" t="s">
        <v>532</v>
      </c>
    </row>
    <row r="1212" spans="1:12" s="43" customFormat="1" ht="15" x14ac:dyDescent="0.25">
      <c r="A1212" s="38" t="s">
        <v>625</v>
      </c>
      <c r="B1212" s="39" t="s">
        <v>190</v>
      </c>
      <c r="C1212" s="39" t="s">
        <v>763</v>
      </c>
      <c r="D1212" s="40">
        <v>2.6076000000000001</v>
      </c>
      <c r="E1212" s="40">
        <v>2.5024999999999999</v>
      </c>
      <c r="F1212" s="40">
        <v>7.0010000000000003</v>
      </c>
      <c r="G1212" s="41">
        <v>0.627546064847879</v>
      </c>
      <c r="H1212" s="41">
        <v>0.64254630290910797</v>
      </c>
      <c r="I1212" s="41">
        <v>-1.50002380612295E-2</v>
      </c>
      <c r="J1212" s="42" t="s">
        <v>532</v>
      </c>
    </row>
    <row r="1213" spans="1:12" s="43" customFormat="1" ht="15" x14ac:dyDescent="0.25">
      <c r="A1213" s="38" t="s">
        <v>597</v>
      </c>
      <c r="B1213" s="39" t="s">
        <v>190</v>
      </c>
      <c r="C1213" s="39" t="s">
        <v>1547</v>
      </c>
      <c r="D1213" s="40">
        <v>2.6076000000000001</v>
      </c>
      <c r="E1213" s="40">
        <v>2.5912000000000002</v>
      </c>
      <c r="F1213" s="40">
        <v>7.4580000000000002</v>
      </c>
      <c r="G1213" s="41">
        <v>0.65036873156342201</v>
      </c>
      <c r="H1213" s="41">
        <v>0.65256100831322095</v>
      </c>
      <c r="I1213" s="41">
        <v>-2.19227674979872E-3</v>
      </c>
      <c r="J1213" s="42" t="s">
        <v>532</v>
      </c>
    </row>
    <row r="1214" spans="1:12" x14ac:dyDescent="0.25">
      <c r="A1214" s="44">
        <v>2018</v>
      </c>
      <c r="B1214" s="44" t="s">
        <v>190</v>
      </c>
      <c r="C1214" s="44" t="s">
        <v>1878</v>
      </c>
      <c r="D1214" s="45">
        <v>2.5340211472376422</v>
      </c>
      <c r="E1214" s="45">
        <v>2.6007044409199054</v>
      </c>
      <c r="F1214" s="45">
        <v>7.1504340470526033</v>
      </c>
      <c r="G1214" s="46">
        <v>0.64551067881993274</v>
      </c>
      <c r="H1214" s="46">
        <v>0.63593839673715513</v>
      </c>
      <c r="I1214" s="46">
        <v>9.5722820827775779E-3</v>
      </c>
      <c r="J1214" s="47" t="s">
        <v>533</v>
      </c>
      <c r="K1214" s="48"/>
      <c r="L1214" s="48"/>
    </row>
    <row r="1215" spans="1:12" s="43" customFormat="1" ht="15" x14ac:dyDescent="0.25">
      <c r="A1215" s="38" t="s">
        <v>591</v>
      </c>
      <c r="B1215" s="39" t="s">
        <v>191</v>
      </c>
      <c r="C1215" s="39" t="s">
        <v>894</v>
      </c>
      <c r="D1215" s="40">
        <v>2.5318000000000001</v>
      </c>
      <c r="E1215" s="40">
        <v>2.552</v>
      </c>
      <c r="F1215" s="40">
        <v>7</v>
      </c>
      <c r="G1215" s="41">
        <v>0.63830714285714296</v>
      </c>
      <c r="H1215" s="41">
        <v>0.63542380952380895</v>
      </c>
      <c r="I1215" s="41">
        <v>2.8833333333334599E-3</v>
      </c>
      <c r="J1215" s="42" t="s">
        <v>532</v>
      </c>
    </row>
    <row r="1216" spans="1:12" s="43" customFormat="1" ht="15" x14ac:dyDescent="0.25">
      <c r="A1216" s="38" t="s">
        <v>612</v>
      </c>
      <c r="B1216" s="39" t="s">
        <v>191</v>
      </c>
      <c r="C1216" s="39" t="s">
        <v>989</v>
      </c>
      <c r="D1216" s="40">
        <v>2.5318000000000001</v>
      </c>
      <c r="E1216" s="40">
        <v>2.5895000000000001</v>
      </c>
      <c r="F1216" s="40">
        <v>7</v>
      </c>
      <c r="G1216" s="41">
        <v>0.63830714285714296</v>
      </c>
      <c r="H1216" s="41">
        <v>0.63007619047619001</v>
      </c>
      <c r="I1216" s="41">
        <v>8.2309523809523891E-3</v>
      </c>
      <c r="J1216" s="42" t="s">
        <v>532</v>
      </c>
    </row>
    <row r="1217" spans="1:12" s="43" customFormat="1" ht="15" x14ac:dyDescent="0.25">
      <c r="A1217" s="38" t="s">
        <v>690</v>
      </c>
      <c r="B1217" s="39" t="s">
        <v>191</v>
      </c>
      <c r="C1217" s="39" t="s">
        <v>1126</v>
      </c>
      <c r="D1217" s="40">
        <v>2.5318000000000001</v>
      </c>
      <c r="E1217" s="40">
        <v>2.5230000000000001</v>
      </c>
      <c r="F1217" s="40">
        <v>7</v>
      </c>
      <c r="G1217" s="41">
        <v>0.63830714285714296</v>
      </c>
      <c r="H1217" s="41">
        <v>0.63957142857142901</v>
      </c>
      <c r="I1217" s="41">
        <v>-1.26428571428572E-3</v>
      </c>
      <c r="J1217" s="42" t="s">
        <v>532</v>
      </c>
    </row>
    <row r="1218" spans="1:12" s="43" customFormat="1" ht="15" x14ac:dyDescent="0.25">
      <c r="A1218" s="38" t="s">
        <v>629</v>
      </c>
      <c r="B1218" s="39" t="s">
        <v>191</v>
      </c>
      <c r="C1218" s="39" t="s">
        <v>1230</v>
      </c>
      <c r="D1218" s="40">
        <v>2.6676000000000002</v>
      </c>
      <c r="E1218" s="40">
        <v>2.6080000000000001</v>
      </c>
      <c r="F1218" s="40">
        <v>7</v>
      </c>
      <c r="G1218" s="41">
        <v>0.61891190476190505</v>
      </c>
      <c r="H1218" s="41">
        <v>0.62742380952381005</v>
      </c>
      <c r="I1218" s="41">
        <v>-8.5119047619048906E-3</v>
      </c>
      <c r="J1218" s="42" t="s">
        <v>532</v>
      </c>
    </row>
    <row r="1219" spans="1:12" s="43" customFormat="1" ht="15" x14ac:dyDescent="0.25">
      <c r="A1219" s="38" t="s">
        <v>599</v>
      </c>
      <c r="B1219" s="39" t="s">
        <v>191</v>
      </c>
      <c r="C1219" s="39" t="s">
        <v>1553</v>
      </c>
      <c r="D1219" s="40">
        <v>2.6676000000000002</v>
      </c>
      <c r="E1219" s="40">
        <v>2.6002000000000001</v>
      </c>
      <c r="F1219" s="40">
        <v>7.4580000000000002</v>
      </c>
      <c r="G1219" s="41">
        <v>0.64231474032359004</v>
      </c>
      <c r="H1219" s="41">
        <v>0.65135425046929496</v>
      </c>
      <c r="I1219" s="41">
        <v>-9.0395101457049192E-3</v>
      </c>
      <c r="J1219" s="42" t="s">
        <v>532</v>
      </c>
    </row>
    <row r="1220" spans="1:12" x14ac:dyDescent="0.25">
      <c r="A1220" s="44">
        <v>2018</v>
      </c>
      <c r="B1220" s="44" t="s">
        <v>191</v>
      </c>
      <c r="C1220" s="44" t="s">
        <v>1880</v>
      </c>
      <c r="D1220" s="45">
        <v>2.6048839820359286</v>
      </c>
      <c r="E1220" s="45">
        <v>2.5799115518962079</v>
      </c>
      <c r="F1220" s="45">
        <v>7.1279840319361281</v>
      </c>
      <c r="G1220" s="46">
        <v>0.63440885125476221</v>
      </c>
      <c r="H1220" s="46">
        <v>0.63781343350249275</v>
      </c>
      <c r="I1220" s="46">
        <v>-3.4045822477304834E-3</v>
      </c>
      <c r="J1220" s="47" t="s">
        <v>533</v>
      </c>
      <c r="K1220" s="48"/>
      <c r="L1220" s="48"/>
    </row>
    <row r="1221" spans="1:12" s="43" customFormat="1" ht="15" x14ac:dyDescent="0.25">
      <c r="A1221" s="38" t="s">
        <v>565</v>
      </c>
      <c r="B1221" s="39" t="s">
        <v>207</v>
      </c>
      <c r="C1221" s="39" t="s">
        <v>798</v>
      </c>
      <c r="D1221" s="40">
        <v>0.78490000000000004</v>
      </c>
      <c r="E1221" s="40">
        <v>0.92330000000000001</v>
      </c>
      <c r="F1221" s="40">
        <v>2.1</v>
      </c>
      <c r="G1221" s="41">
        <v>0.62623809523809504</v>
      </c>
      <c r="H1221" s="41">
        <v>0.56033333333333302</v>
      </c>
      <c r="I1221" s="41">
        <v>6.5904761904761897E-2</v>
      </c>
      <c r="J1221" s="42" t="s">
        <v>532</v>
      </c>
    </row>
    <row r="1222" spans="1:12" s="43" customFormat="1" ht="15" x14ac:dyDescent="0.25">
      <c r="A1222" s="38" t="s">
        <v>576</v>
      </c>
      <c r="B1222" s="39" t="s">
        <v>207</v>
      </c>
      <c r="C1222" s="39" t="s">
        <v>814</v>
      </c>
      <c r="D1222" s="40">
        <v>0.78490000000000004</v>
      </c>
      <c r="E1222" s="40">
        <v>0.92600000000000005</v>
      </c>
      <c r="F1222" s="40">
        <v>2.1</v>
      </c>
      <c r="G1222" s="41">
        <v>0.62623809523809504</v>
      </c>
      <c r="H1222" s="41">
        <v>0.55904761904761902</v>
      </c>
      <c r="I1222" s="41">
        <v>6.7190476190476203E-2</v>
      </c>
      <c r="J1222" s="42" t="s">
        <v>532</v>
      </c>
    </row>
    <row r="1223" spans="1:12" s="43" customFormat="1" ht="15" x14ac:dyDescent="0.25">
      <c r="A1223" s="38" t="s">
        <v>612</v>
      </c>
      <c r="B1223" s="39" t="s">
        <v>207</v>
      </c>
      <c r="C1223" s="39" t="s">
        <v>990</v>
      </c>
      <c r="D1223" s="40">
        <v>0.78490000000000004</v>
      </c>
      <c r="E1223" s="40">
        <v>1.0274000000000001</v>
      </c>
      <c r="F1223" s="40">
        <v>2.1</v>
      </c>
      <c r="G1223" s="41">
        <v>0.62623809523809504</v>
      </c>
      <c r="H1223" s="41">
        <v>0.51077380952381002</v>
      </c>
      <c r="I1223" s="41">
        <v>0.11546428571428601</v>
      </c>
      <c r="J1223" s="42" t="s">
        <v>532</v>
      </c>
    </row>
    <row r="1224" spans="1:12" s="43" customFormat="1" ht="15" x14ac:dyDescent="0.25">
      <c r="A1224" s="38" t="s">
        <v>685</v>
      </c>
      <c r="B1224" s="39" t="s">
        <v>207</v>
      </c>
      <c r="C1224" s="39" t="s">
        <v>1076</v>
      </c>
      <c r="D1224" s="40">
        <v>0.78490000000000004</v>
      </c>
      <c r="E1224" s="40">
        <v>0.80330000000000001</v>
      </c>
      <c r="F1224" s="40">
        <v>2.1</v>
      </c>
      <c r="G1224" s="41">
        <v>0.62623809523809504</v>
      </c>
      <c r="H1224" s="41">
        <v>0.617458333333333</v>
      </c>
      <c r="I1224" s="41">
        <v>8.7797619047619308E-3</v>
      </c>
      <c r="J1224" s="42" t="s">
        <v>532</v>
      </c>
    </row>
    <row r="1225" spans="1:12" s="43" customFormat="1" ht="15" x14ac:dyDescent="0.25">
      <c r="A1225" s="38" t="s">
        <v>702</v>
      </c>
      <c r="B1225" s="39" t="s">
        <v>207</v>
      </c>
      <c r="C1225" s="39" t="s">
        <v>1278</v>
      </c>
      <c r="D1225" s="40">
        <v>0.7923</v>
      </c>
      <c r="E1225" s="40">
        <v>0.86109999999999998</v>
      </c>
      <c r="F1225" s="40">
        <v>2.1</v>
      </c>
      <c r="G1225" s="41">
        <v>0.622714285714286</v>
      </c>
      <c r="H1225" s="41">
        <v>0.58995833333333303</v>
      </c>
      <c r="I1225" s="41">
        <v>3.2755952380952399E-2</v>
      </c>
      <c r="J1225" s="42" t="s">
        <v>532</v>
      </c>
    </row>
    <row r="1226" spans="1:12" s="43" customFormat="1" ht="15" x14ac:dyDescent="0.25">
      <c r="A1226" s="38" t="s">
        <v>628</v>
      </c>
      <c r="B1226" s="39" t="s">
        <v>207</v>
      </c>
      <c r="C1226" s="39" t="s">
        <v>1313</v>
      </c>
      <c r="D1226" s="40">
        <v>0.7923</v>
      </c>
      <c r="E1226" s="40">
        <v>0.91020000000000001</v>
      </c>
      <c r="F1226" s="40">
        <v>2.1</v>
      </c>
      <c r="G1226" s="41">
        <v>0.622714285714286</v>
      </c>
      <c r="H1226" s="41">
        <v>0.56655952380952401</v>
      </c>
      <c r="I1226" s="41">
        <v>5.6154761904761999E-2</v>
      </c>
      <c r="J1226" s="42" t="s">
        <v>532</v>
      </c>
    </row>
    <row r="1227" spans="1:12" s="43" customFormat="1" ht="15" x14ac:dyDescent="0.25">
      <c r="A1227" s="38" t="s">
        <v>536</v>
      </c>
      <c r="B1227" s="39" t="s">
        <v>207</v>
      </c>
      <c r="C1227" s="39" t="s">
        <v>1389</v>
      </c>
      <c r="D1227" s="40">
        <v>0.7923</v>
      </c>
      <c r="E1227" s="40">
        <v>0.85199999999999998</v>
      </c>
      <c r="F1227" s="40">
        <v>2.2050000000000001</v>
      </c>
      <c r="G1227" s="41">
        <v>0.64068027210884404</v>
      </c>
      <c r="H1227" s="41">
        <v>0.61358843537414998</v>
      </c>
      <c r="I1227" s="41">
        <v>2.7091836734694001E-2</v>
      </c>
      <c r="J1227" s="42" t="s">
        <v>532</v>
      </c>
    </row>
    <row r="1228" spans="1:12" s="43" customFormat="1" ht="15" x14ac:dyDescent="0.25">
      <c r="A1228" s="38" t="s">
        <v>599</v>
      </c>
      <c r="B1228" s="39" t="s">
        <v>207</v>
      </c>
      <c r="C1228" s="39" t="s">
        <v>1556</v>
      </c>
      <c r="D1228" s="40">
        <v>0.7923</v>
      </c>
      <c r="E1228" s="40">
        <v>0.81869999999999998</v>
      </c>
      <c r="F1228" s="40">
        <v>2.2050000000000001</v>
      </c>
      <c r="G1228" s="41">
        <v>0.64068027210884404</v>
      </c>
      <c r="H1228" s="41">
        <v>0.62870748299319701</v>
      </c>
      <c r="I1228" s="41">
        <v>1.1972789115646299E-2</v>
      </c>
      <c r="J1228" s="42" t="s">
        <v>532</v>
      </c>
    </row>
    <row r="1229" spans="1:12" s="43" customFormat="1" ht="15" x14ac:dyDescent="0.25">
      <c r="A1229" s="38" t="s">
        <v>574</v>
      </c>
      <c r="B1229" s="39" t="s">
        <v>207</v>
      </c>
      <c r="C1229" s="39" t="s">
        <v>1564</v>
      </c>
      <c r="D1229" s="40">
        <v>0.7923</v>
      </c>
      <c r="E1229" s="40">
        <v>0.80030000000000001</v>
      </c>
      <c r="F1229" s="40">
        <v>2.2050000000000001</v>
      </c>
      <c r="G1229" s="41">
        <v>0.64068027210884404</v>
      </c>
      <c r="H1229" s="41">
        <v>0.63705215419501104</v>
      </c>
      <c r="I1229" s="41">
        <v>3.6281179138322201E-3</v>
      </c>
      <c r="J1229" s="42" t="s">
        <v>532</v>
      </c>
    </row>
    <row r="1230" spans="1:12" x14ac:dyDescent="0.25">
      <c r="A1230" s="44">
        <v>2018</v>
      </c>
      <c r="B1230" s="44" t="s">
        <v>207</v>
      </c>
      <c r="C1230" s="44" t="s">
        <v>1850</v>
      </c>
      <c r="D1230" s="45">
        <v>0.78928254567116762</v>
      </c>
      <c r="E1230" s="45">
        <v>0.86233390587768066</v>
      </c>
      <c r="F1230" s="45">
        <v>2.1348714257347101</v>
      </c>
      <c r="G1230" s="46">
        <v>0.63011783120714526</v>
      </c>
      <c r="H1230" s="46">
        <v>0.59554083917787393</v>
      </c>
      <c r="I1230" s="46">
        <v>3.4576992029271364E-2</v>
      </c>
      <c r="J1230" s="47" t="s">
        <v>533</v>
      </c>
      <c r="K1230" s="48"/>
      <c r="L1230" s="48"/>
    </row>
    <row r="1231" spans="1:12" s="43" customFormat="1" ht="15" x14ac:dyDescent="0.25">
      <c r="A1231" s="38" t="s">
        <v>667</v>
      </c>
      <c r="B1231" s="39" t="s">
        <v>208</v>
      </c>
      <c r="C1231" s="39" t="s">
        <v>730</v>
      </c>
      <c r="D1231" s="40">
        <v>1.5879000000000001</v>
      </c>
      <c r="E1231" s="40">
        <v>1.9612000000000001</v>
      </c>
      <c r="F1231" s="40">
        <v>5.6429999999999998</v>
      </c>
      <c r="G1231" s="41">
        <v>0.71860712387028203</v>
      </c>
      <c r="H1231" s="41">
        <v>0.65245436824384195</v>
      </c>
      <c r="I1231" s="41">
        <v>6.6152755626439699E-2</v>
      </c>
      <c r="J1231" s="42" t="s">
        <v>532</v>
      </c>
    </row>
    <row r="1232" spans="1:12" s="43" customFormat="1" ht="15" x14ac:dyDescent="0.25">
      <c r="A1232" s="38" t="s">
        <v>565</v>
      </c>
      <c r="B1232" s="39" t="s">
        <v>208</v>
      </c>
      <c r="C1232" s="39" t="s">
        <v>799</v>
      </c>
      <c r="D1232" s="40">
        <v>1.5879000000000001</v>
      </c>
      <c r="E1232" s="40">
        <v>1.7366999999999999</v>
      </c>
      <c r="F1232" s="40">
        <v>5.6429999999999998</v>
      </c>
      <c r="G1232" s="41">
        <v>0.71860712387028203</v>
      </c>
      <c r="H1232" s="41">
        <v>0.69223817118553999</v>
      </c>
      <c r="I1232" s="41">
        <v>2.6368952684742E-2</v>
      </c>
      <c r="J1232" s="42" t="s">
        <v>532</v>
      </c>
    </row>
    <row r="1233" spans="1:12" s="43" customFormat="1" ht="15" x14ac:dyDescent="0.25">
      <c r="A1233" s="38" t="s">
        <v>621</v>
      </c>
      <c r="B1233" s="39" t="s">
        <v>208</v>
      </c>
      <c r="C1233" s="39" t="s">
        <v>1099</v>
      </c>
      <c r="D1233" s="40">
        <v>1.5879000000000001</v>
      </c>
      <c r="E1233" s="40">
        <v>1.6426000000000001</v>
      </c>
      <c r="F1233" s="40">
        <v>5.6429999999999998</v>
      </c>
      <c r="G1233" s="41">
        <v>0.71860712387028203</v>
      </c>
      <c r="H1233" s="41">
        <v>0.70891369838738305</v>
      </c>
      <c r="I1233" s="41">
        <v>9.6934254828990908E-3</v>
      </c>
      <c r="J1233" s="42" t="s">
        <v>532</v>
      </c>
    </row>
    <row r="1234" spans="1:12" s="43" customFormat="1" ht="15" x14ac:dyDescent="0.25">
      <c r="A1234" s="38" t="s">
        <v>687</v>
      </c>
      <c r="B1234" s="39" t="s">
        <v>208</v>
      </c>
      <c r="C1234" s="39" t="s">
        <v>1105</v>
      </c>
      <c r="D1234" s="40">
        <v>1.5879000000000001</v>
      </c>
      <c r="E1234" s="40">
        <v>1.8089</v>
      </c>
      <c r="F1234" s="40">
        <v>5.6429999999999998</v>
      </c>
      <c r="G1234" s="41">
        <v>0.71860712387028203</v>
      </c>
      <c r="H1234" s="41">
        <v>0.67944355839092696</v>
      </c>
      <c r="I1234" s="41">
        <v>3.9163565479354803E-2</v>
      </c>
      <c r="J1234" s="42" t="s">
        <v>532</v>
      </c>
    </row>
    <row r="1235" spans="1:12" s="43" customFormat="1" ht="15" x14ac:dyDescent="0.25">
      <c r="A1235" s="38" t="s">
        <v>696</v>
      </c>
      <c r="B1235" s="39" t="s">
        <v>208</v>
      </c>
      <c r="C1235" s="39" t="s">
        <v>1097</v>
      </c>
      <c r="D1235" s="40">
        <v>1.6374</v>
      </c>
      <c r="E1235" s="40">
        <v>1.7301</v>
      </c>
      <c r="F1235" s="40">
        <v>5.6429999999999998</v>
      </c>
      <c r="G1235" s="41">
        <v>0.70982928702226999</v>
      </c>
      <c r="H1235" s="41">
        <v>0.69340776182881403</v>
      </c>
      <c r="I1235" s="41">
        <v>1.6421525193455199E-2</v>
      </c>
      <c r="J1235" s="42" t="s">
        <v>532</v>
      </c>
    </row>
    <row r="1236" spans="1:12" s="43" customFormat="1" ht="15" x14ac:dyDescent="0.25">
      <c r="A1236" s="38" t="s">
        <v>563</v>
      </c>
      <c r="B1236" s="39" t="s">
        <v>208</v>
      </c>
      <c r="C1236" s="39" t="s">
        <v>1090</v>
      </c>
      <c r="D1236" s="40">
        <v>1.6374</v>
      </c>
      <c r="E1236" s="40">
        <v>1.6176999999999999</v>
      </c>
      <c r="F1236" s="40">
        <v>5.9249999999999998</v>
      </c>
      <c r="G1236" s="41">
        <v>0.72363994374120999</v>
      </c>
      <c r="H1236" s="41">
        <v>0.72697327707454296</v>
      </c>
      <c r="I1236" s="41">
        <v>-3.3333333333334099E-3</v>
      </c>
      <c r="J1236" s="42" t="s">
        <v>532</v>
      </c>
    </row>
    <row r="1237" spans="1:12" s="43" customFormat="1" ht="15" x14ac:dyDescent="0.25">
      <c r="A1237" s="38" t="s">
        <v>542</v>
      </c>
      <c r="B1237" s="39" t="s">
        <v>208</v>
      </c>
      <c r="C1237" s="39" t="s">
        <v>1469</v>
      </c>
      <c r="D1237" s="40">
        <v>1.6374</v>
      </c>
      <c r="E1237" s="40">
        <v>1.5427</v>
      </c>
      <c r="F1237" s="40">
        <v>5.9249999999999998</v>
      </c>
      <c r="G1237" s="41">
        <v>0.72363994374120999</v>
      </c>
      <c r="H1237" s="41">
        <v>0.73963150492264396</v>
      </c>
      <c r="I1237" s="41">
        <v>-1.5991561181434501E-2</v>
      </c>
      <c r="J1237" s="42" t="s">
        <v>532</v>
      </c>
    </row>
    <row r="1238" spans="1:12" s="43" customFormat="1" ht="15" x14ac:dyDescent="0.25">
      <c r="A1238" s="38" t="s">
        <v>579</v>
      </c>
      <c r="B1238" s="39" t="s">
        <v>208</v>
      </c>
      <c r="C1238" s="39" t="s">
        <v>1473</v>
      </c>
      <c r="D1238" s="40">
        <v>1.6374</v>
      </c>
      <c r="E1238" s="40">
        <v>1.6264000000000001</v>
      </c>
      <c r="F1238" s="40">
        <v>5.9249999999999998</v>
      </c>
      <c r="G1238" s="41">
        <v>0.72363994374120999</v>
      </c>
      <c r="H1238" s="41">
        <v>0.72549929676512004</v>
      </c>
      <c r="I1238" s="41">
        <v>-1.8593530239100499E-3</v>
      </c>
      <c r="J1238" s="42" t="s">
        <v>532</v>
      </c>
    </row>
    <row r="1239" spans="1:12" s="43" customFormat="1" ht="15" x14ac:dyDescent="0.25">
      <c r="A1239" s="38" t="s">
        <v>544</v>
      </c>
      <c r="B1239" s="39" t="s">
        <v>208</v>
      </c>
      <c r="C1239" s="39" t="s">
        <v>1736</v>
      </c>
      <c r="D1239" s="40">
        <v>1.6374</v>
      </c>
      <c r="E1239" s="40">
        <v>1.5842000000000001</v>
      </c>
      <c r="F1239" s="40">
        <v>5.9249999999999998</v>
      </c>
      <c r="G1239" s="41">
        <v>0.72363994374120999</v>
      </c>
      <c r="H1239" s="41">
        <v>0.73262447257384</v>
      </c>
      <c r="I1239" s="41">
        <v>-8.9845288326301197E-3</v>
      </c>
      <c r="J1239" s="42" t="s">
        <v>532</v>
      </c>
    </row>
    <row r="1240" spans="1:12" x14ac:dyDescent="0.25">
      <c r="A1240" s="44">
        <v>2018</v>
      </c>
      <c r="B1240" s="44" t="s">
        <v>208</v>
      </c>
      <c r="C1240" s="44" t="s">
        <v>1818</v>
      </c>
      <c r="D1240" s="45">
        <v>1.6200307074761668</v>
      </c>
      <c r="E1240" s="45">
        <v>1.6905382505435693</v>
      </c>
      <c r="F1240" s="45">
        <v>5.7747320622177618</v>
      </c>
      <c r="G1240" s="46">
        <v>0.71936082505925381</v>
      </c>
      <c r="H1240" s="46">
        <v>0.70672950370003251</v>
      </c>
      <c r="I1240" s="46">
        <v>1.2631321359221339E-2</v>
      </c>
      <c r="J1240" s="47" t="s">
        <v>533</v>
      </c>
      <c r="K1240" s="48"/>
      <c r="L1240" s="48"/>
    </row>
    <row r="1241" spans="1:12" s="43" customFormat="1" ht="15" x14ac:dyDescent="0.25">
      <c r="A1241" s="38" t="s">
        <v>592</v>
      </c>
      <c r="B1241" s="39" t="s">
        <v>10</v>
      </c>
      <c r="C1241" s="39" t="s">
        <v>1009</v>
      </c>
      <c r="D1241" s="40">
        <v>2.2054999999999998</v>
      </c>
      <c r="E1241" s="40">
        <v>2.4592000000000001</v>
      </c>
      <c r="F1241" s="40">
        <v>7.56</v>
      </c>
      <c r="G1241" s="41">
        <v>0.70826278659611996</v>
      </c>
      <c r="H1241" s="41">
        <v>0.67471340388006995</v>
      </c>
      <c r="I1241" s="41">
        <v>3.3549382716049597E-2</v>
      </c>
      <c r="J1241" s="42" t="s">
        <v>532</v>
      </c>
    </row>
    <row r="1242" spans="1:12" s="43" customFormat="1" ht="15" x14ac:dyDescent="0.25">
      <c r="A1242" s="38" t="s">
        <v>596</v>
      </c>
      <c r="B1242" s="39" t="s">
        <v>10</v>
      </c>
      <c r="C1242" s="39" t="s">
        <v>1019</v>
      </c>
      <c r="D1242" s="40">
        <v>2.2054999999999998</v>
      </c>
      <c r="E1242" s="40">
        <v>2.5415000000000001</v>
      </c>
      <c r="F1242" s="40">
        <v>7.56</v>
      </c>
      <c r="G1242" s="41">
        <v>0.70826278659611996</v>
      </c>
      <c r="H1242" s="41">
        <v>0.66381834215167601</v>
      </c>
      <c r="I1242" s="41">
        <v>4.4444444444444398E-2</v>
      </c>
      <c r="J1242" s="42" t="s">
        <v>532</v>
      </c>
    </row>
    <row r="1243" spans="1:12" s="43" customFormat="1" ht="15" x14ac:dyDescent="0.25">
      <c r="A1243" s="38" t="s">
        <v>607</v>
      </c>
      <c r="B1243" s="39" t="s">
        <v>10</v>
      </c>
      <c r="C1243" s="39" t="s">
        <v>1038</v>
      </c>
      <c r="D1243" s="40">
        <v>2.2054999999999998</v>
      </c>
      <c r="E1243" s="40">
        <v>2.6897000000000002</v>
      </c>
      <c r="F1243" s="40">
        <v>7.56</v>
      </c>
      <c r="G1243" s="41">
        <v>0.70826278659611996</v>
      </c>
      <c r="H1243" s="41">
        <v>0.64421516754850106</v>
      </c>
      <c r="I1243" s="41">
        <v>6.4047619047619103E-2</v>
      </c>
      <c r="J1243" s="42" t="s">
        <v>532</v>
      </c>
    </row>
    <row r="1244" spans="1:12" s="43" customFormat="1" ht="15" x14ac:dyDescent="0.25">
      <c r="A1244" s="38" t="s">
        <v>598</v>
      </c>
      <c r="B1244" s="39" t="s">
        <v>10</v>
      </c>
      <c r="C1244" s="39" t="s">
        <v>1053</v>
      </c>
      <c r="D1244" s="40">
        <v>2.2054999999999998</v>
      </c>
      <c r="E1244" s="40">
        <v>2.6890999999999998</v>
      </c>
      <c r="F1244" s="40">
        <v>7.56</v>
      </c>
      <c r="G1244" s="41">
        <v>0.70826278659611996</v>
      </c>
      <c r="H1244" s="41">
        <v>0.64430114638447999</v>
      </c>
      <c r="I1244" s="41">
        <v>6.3961640211640303E-2</v>
      </c>
      <c r="J1244" s="42" t="s">
        <v>532</v>
      </c>
    </row>
    <row r="1245" spans="1:12" s="43" customFormat="1" ht="15" x14ac:dyDescent="0.25">
      <c r="A1245" s="38" t="s">
        <v>694</v>
      </c>
      <c r="B1245" s="39" t="s">
        <v>10</v>
      </c>
      <c r="C1245" s="39" t="s">
        <v>1170</v>
      </c>
      <c r="D1245" s="40">
        <v>2.5947</v>
      </c>
      <c r="E1245" s="40">
        <v>2.6968000000000001</v>
      </c>
      <c r="F1245" s="40">
        <v>7.56</v>
      </c>
      <c r="G1245" s="41">
        <v>0.65678571428571397</v>
      </c>
      <c r="H1245" s="41">
        <v>0.64328042328042301</v>
      </c>
      <c r="I1245" s="41">
        <v>1.3505291005290999E-2</v>
      </c>
      <c r="J1245" s="42" t="s">
        <v>532</v>
      </c>
    </row>
    <row r="1246" spans="1:12" s="43" customFormat="1" ht="15" x14ac:dyDescent="0.25">
      <c r="A1246" s="38" t="s">
        <v>617</v>
      </c>
      <c r="B1246" s="39" t="s">
        <v>10</v>
      </c>
      <c r="C1246" s="39" t="s">
        <v>1579</v>
      </c>
      <c r="D1246" s="40">
        <v>2.5947</v>
      </c>
      <c r="E1246" s="40">
        <v>2.4502000000000002</v>
      </c>
      <c r="F1246" s="40">
        <v>7.8390000000000004</v>
      </c>
      <c r="G1246" s="41">
        <v>0.66900114810562605</v>
      </c>
      <c r="H1246" s="41">
        <v>0.68743462176297998</v>
      </c>
      <c r="I1246" s="41">
        <v>-1.8433473657354E-2</v>
      </c>
      <c r="J1246" s="42" t="s">
        <v>532</v>
      </c>
    </row>
    <row r="1247" spans="1:12" s="43" customFormat="1" ht="15" x14ac:dyDescent="0.25">
      <c r="A1247" s="38" t="s">
        <v>614</v>
      </c>
      <c r="B1247" s="39" t="s">
        <v>10</v>
      </c>
      <c r="C1247" s="39" t="s">
        <v>1607</v>
      </c>
      <c r="D1247" s="40">
        <v>2.5947</v>
      </c>
      <c r="E1247" s="40">
        <v>2.3868999999999998</v>
      </c>
      <c r="F1247" s="40">
        <v>7.8390000000000004</v>
      </c>
      <c r="G1247" s="41">
        <v>0.66900114810562605</v>
      </c>
      <c r="H1247" s="41">
        <v>0.69550963133052701</v>
      </c>
      <c r="I1247" s="41">
        <v>-2.6508483224901101E-2</v>
      </c>
      <c r="J1247" s="42" t="s">
        <v>532</v>
      </c>
    </row>
    <row r="1248" spans="1:12" x14ac:dyDescent="0.25">
      <c r="A1248" s="44">
        <v>2018</v>
      </c>
      <c r="B1248" s="44" t="s">
        <v>10</v>
      </c>
      <c r="C1248" s="44" t="s">
        <v>1924</v>
      </c>
      <c r="D1248" s="45">
        <v>2.4528703185703185</v>
      </c>
      <c r="E1248" s="45">
        <v>2.5481265216265219</v>
      </c>
      <c r="F1248" s="45">
        <v>7.6529999999999987</v>
      </c>
      <c r="G1248" s="46">
        <v>0.67961645866980314</v>
      </c>
      <c r="H1248" s="46">
        <v>0.66674887907616709</v>
      </c>
      <c r="I1248" s="46">
        <v>1.2867579593635988E-2</v>
      </c>
      <c r="J1248" s="47" t="s">
        <v>533</v>
      </c>
      <c r="K1248" s="48"/>
      <c r="L1248" s="48"/>
    </row>
    <row r="1249" spans="1:12" s="43" customFormat="1" ht="15" x14ac:dyDescent="0.25">
      <c r="A1249" s="38" t="s">
        <v>561</v>
      </c>
      <c r="B1249" s="39" t="s">
        <v>218</v>
      </c>
      <c r="C1249" s="39" t="s">
        <v>1587</v>
      </c>
      <c r="D1249" s="40">
        <v>2.8637000000000001</v>
      </c>
      <c r="E1249" s="40">
        <v>2.9097</v>
      </c>
      <c r="F1249" s="40">
        <v>7.8390000000000004</v>
      </c>
      <c r="G1249" s="41">
        <v>0.63467916826125803</v>
      </c>
      <c r="H1249" s="41">
        <v>0.62881745120551102</v>
      </c>
      <c r="I1249" s="41">
        <v>5.8617170557470101E-3</v>
      </c>
      <c r="J1249" s="42" t="s">
        <v>532</v>
      </c>
    </row>
    <row r="1250" spans="1:12" s="43" customFormat="1" ht="15" x14ac:dyDescent="0.25">
      <c r="A1250" s="38" t="s">
        <v>614</v>
      </c>
      <c r="B1250" s="39" t="s">
        <v>218</v>
      </c>
      <c r="C1250" s="39" t="s">
        <v>1608</v>
      </c>
      <c r="D1250" s="40">
        <v>2.8637000000000001</v>
      </c>
      <c r="E1250" s="40">
        <v>3.0005000000000002</v>
      </c>
      <c r="F1250" s="40">
        <v>7.8390000000000004</v>
      </c>
      <c r="G1250" s="41">
        <v>0.63467916826125803</v>
      </c>
      <c r="H1250" s="41">
        <v>0.61723434111493802</v>
      </c>
      <c r="I1250" s="41">
        <v>1.74448271463199E-2</v>
      </c>
      <c r="J1250" s="42" t="s">
        <v>532</v>
      </c>
    </row>
    <row r="1251" spans="1:12" x14ac:dyDescent="0.25">
      <c r="A1251" s="44">
        <v>2018</v>
      </c>
      <c r="B1251" s="44" t="s">
        <v>218</v>
      </c>
      <c r="C1251" s="44" t="s">
        <v>1586</v>
      </c>
      <c r="D1251" s="45">
        <v>2.8637000000000001</v>
      </c>
      <c r="E1251" s="45">
        <v>2.9405323987538941</v>
      </c>
      <c r="F1251" s="45">
        <v>7.8390000000000004</v>
      </c>
      <c r="G1251" s="46">
        <v>0.63467916826125792</v>
      </c>
      <c r="H1251" s="46">
        <v>0.6248842455984317</v>
      </c>
      <c r="I1251" s="46">
        <v>9.7949226628262741E-3</v>
      </c>
      <c r="J1251" s="47" t="s">
        <v>533</v>
      </c>
      <c r="K1251" s="48"/>
      <c r="L1251" s="48"/>
    </row>
    <row r="1252" spans="1:12" s="43" customFormat="1" ht="15" x14ac:dyDescent="0.25">
      <c r="A1252" s="38" t="s">
        <v>695</v>
      </c>
      <c r="B1252" s="39" t="s">
        <v>422</v>
      </c>
      <c r="C1252" s="39" t="s">
        <v>1183</v>
      </c>
      <c r="D1252" s="40">
        <v>2.3361000000000001</v>
      </c>
      <c r="E1252" s="40">
        <v>2.5741999999999998</v>
      </c>
      <c r="F1252" s="40">
        <v>7.44</v>
      </c>
      <c r="G1252" s="41">
        <v>0.68600582437276003</v>
      </c>
      <c r="H1252" s="41">
        <v>0.65400537634408595</v>
      </c>
      <c r="I1252" s="41">
        <v>3.2000448028674001E-2</v>
      </c>
      <c r="J1252" s="42" t="s">
        <v>532</v>
      </c>
    </row>
    <row r="1253" spans="1:12" s="43" customFormat="1" ht="15" x14ac:dyDescent="0.25">
      <c r="A1253" s="38" t="s">
        <v>696</v>
      </c>
      <c r="B1253" s="39" t="s">
        <v>422</v>
      </c>
      <c r="C1253" s="39" t="s">
        <v>1185</v>
      </c>
      <c r="D1253" s="40">
        <v>2.3361000000000001</v>
      </c>
      <c r="E1253" s="40">
        <v>2.6057999999999999</v>
      </c>
      <c r="F1253" s="40">
        <v>7.44</v>
      </c>
      <c r="G1253" s="41">
        <v>0.68600582437276003</v>
      </c>
      <c r="H1253" s="41">
        <v>0.64975806451612905</v>
      </c>
      <c r="I1253" s="41">
        <v>3.6247759856630798E-2</v>
      </c>
      <c r="J1253" s="42" t="s">
        <v>532</v>
      </c>
    </row>
    <row r="1254" spans="1:12" s="43" customFormat="1" ht="15" x14ac:dyDescent="0.25">
      <c r="A1254" s="38" t="s">
        <v>697</v>
      </c>
      <c r="B1254" s="39" t="s">
        <v>422</v>
      </c>
      <c r="C1254" s="39" t="s">
        <v>1188</v>
      </c>
      <c r="D1254" s="40">
        <v>2.3361000000000001</v>
      </c>
      <c r="E1254" s="40">
        <v>2.7107000000000001</v>
      </c>
      <c r="F1254" s="40">
        <v>7.44</v>
      </c>
      <c r="G1254" s="41">
        <v>0.68600582437276003</v>
      </c>
      <c r="H1254" s="41">
        <v>0.63565860215053804</v>
      </c>
      <c r="I1254" s="41">
        <v>5.03472222222223E-2</v>
      </c>
      <c r="J1254" s="42" t="s">
        <v>532</v>
      </c>
    </row>
    <row r="1255" spans="1:12" s="43" customFormat="1" ht="15" x14ac:dyDescent="0.25">
      <c r="A1255" s="38" t="s">
        <v>625</v>
      </c>
      <c r="B1255" s="39" t="s">
        <v>422</v>
      </c>
      <c r="C1255" s="39" t="s">
        <v>1214</v>
      </c>
      <c r="D1255" s="40">
        <v>2.3361000000000001</v>
      </c>
      <c r="E1255" s="40">
        <v>2.6063000000000001</v>
      </c>
      <c r="F1255" s="40">
        <v>7.44</v>
      </c>
      <c r="G1255" s="41">
        <v>0.68600582437276003</v>
      </c>
      <c r="H1255" s="41">
        <v>0.64969086021505396</v>
      </c>
      <c r="I1255" s="41">
        <v>3.63149641577062E-2</v>
      </c>
      <c r="J1255" s="42" t="s">
        <v>532</v>
      </c>
    </row>
    <row r="1256" spans="1:12" x14ac:dyDescent="0.25">
      <c r="A1256" s="44">
        <v>2018</v>
      </c>
      <c r="B1256" s="44" t="s">
        <v>422</v>
      </c>
      <c r="C1256" s="44" t="s">
        <v>1942</v>
      </c>
      <c r="D1256" s="45">
        <v>2.3360999999999996</v>
      </c>
      <c r="E1256" s="45">
        <v>2.62510111827957</v>
      </c>
      <c r="F1256" s="45">
        <v>7.44</v>
      </c>
      <c r="G1256" s="46">
        <v>0.68600582437275992</v>
      </c>
      <c r="H1256" s="46">
        <v>0.64716382818822982</v>
      </c>
      <c r="I1256" s="46">
        <v>3.8841996184530027E-2</v>
      </c>
      <c r="J1256" s="47" t="s">
        <v>533</v>
      </c>
      <c r="K1256" s="48"/>
      <c r="L1256" s="48"/>
    </row>
    <row r="1257" spans="1:12" s="43" customFormat="1" ht="15" x14ac:dyDescent="0.25">
      <c r="A1257" s="38" t="s">
        <v>697</v>
      </c>
      <c r="B1257" s="39" t="s">
        <v>423</v>
      </c>
      <c r="C1257" s="39" t="s">
        <v>1189</v>
      </c>
      <c r="D1257" s="40">
        <v>2.0091999999999999</v>
      </c>
      <c r="E1257" s="40">
        <v>1.7815000000000001</v>
      </c>
      <c r="F1257" s="40">
        <v>7.39</v>
      </c>
      <c r="G1257" s="41">
        <v>0.72812359043752795</v>
      </c>
      <c r="H1257" s="41">
        <v>0.75893098782138002</v>
      </c>
      <c r="I1257" s="41">
        <v>-3.0807397383851999E-2</v>
      </c>
      <c r="J1257" s="42" t="s">
        <v>532</v>
      </c>
    </row>
    <row r="1258" spans="1:12" s="43" customFormat="1" ht="15" x14ac:dyDescent="0.25">
      <c r="A1258" s="38" t="s">
        <v>627</v>
      </c>
      <c r="B1258" s="39" t="s">
        <v>423</v>
      </c>
      <c r="C1258" s="39" t="s">
        <v>1196</v>
      </c>
      <c r="D1258" s="40">
        <v>2.0091999999999999</v>
      </c>
      <c r="E1258" s="40">
        <v>2.2440000000000002</v>
      </c>
      <c r="F1258" s="40">
        <v>7.39</v>
      </c>
      <c r="G1258" s="41">
        <v>0.72812359043752795</v>
      </c>
      <c r="H1258" s="41">
        <v>0.69634866937302597</v>
      </c>
      <c r="I1258" s="41">
        <v>3.1774921064501797E-2</v>
      </c>
      <c r="J1258" s="42" t="s">
        <v>532</v>
      </c>
    </row>
    <row r="1259" spans="1:12" s="43" customFormat="1" ht="15" x14ac:dyDescent="0.25">
      <c r="A1259" s="38" t="s">
        <v>625</v>
      </c>
      <c r="B1259" s="39" t="s">
        <v>423</v>
      </c>
      <c r="C1259" s="39" t="s">
        <v>860</v>
      </c>
      <c r="D1259" s="40">
        <v>2.0091999999999999</v>
      </c>
      <c r="E1259" s="40">
        <v>2.1356999999999999</v>
      </c>
      <c r="F1259" s="40">
        <v>7.39</v>
      </c>
      <c r="G1259" s="41">
        <v>0.72812359043752795</v>
      </c>
      <c r="H1259" s="41">
        <v>0.71100811907983796</v>
      </c>
      <c r="I1259" s="41">
        <v>1.71154713576906E-2</v>
      </c>
      <c r="J1259" s="42" t="s">
        <v>532</v>
      </c>
    </row>
    <row r="1260" spans="1:12" x14ac:dyDescent="0.25">
      <c r="A1260" s="44">
        <v>2018</v>
      </c>
      <c r="B1260" s="44" t="s">
        <v>423</v>
      </c>
      <c r="C1260" s="44" t="s">
        <v>1943</v>
      </c>
      <c r="D1260" s="45">
        <v>2.0091999999999999</v>
      </c>
      <c r="E1260" s="45">
        <v>2.0811778871978515</v>
      </c>
      <c r="F1260" s="45">
        <v>7.39</v>
      </c>
      <c r="G1260" s="46">
        <v>0.72812359043752828</v>
      </c>
      <c r="H1260" s="46">
        <v>0.71838156687014831</v>
      </c>
      <c r="I1260" s="46">
        <v>9.742023567379892E-3</v>
      </c>
      <c r="J1260" s="47" t="s">
        <v>533</v>
      </c>
      <c r="K1260" s="48"/>
      <c r="L1260" s="48"/>
    </row>
    <row r="1261" spans="1:12" s="43" customFormat="1" ht="15" x14ac:dyDescent="0.25">
      <c r="A1261" s="38" t="s">
        <v>671</v>
      </c>
      <c r="B1261" s="39" t="s">
        <v>457</v>
      </c>
      <c r="C1261" s="39" t="s">
        <v>785</v>
      </c>
      <c r="D1261" s="40">
        <v>3.1251000000000002</v>
      </c>
      <c r="E1261" s="40">
        <v>3.3803000000000001</v>
      </c>
      <c r="F1261" s="40">
        <v>9.49</v>
      </c>
      <c r="G1261" s="41">
        <v>0.67069898138391304</v>
      </c>
      <c r="H1261" s="41">
        <v>0.64380400421496298</v>
      </c>
      <c r="I1261" s="41">
        <v>2.6894977168949698E-2</v>
      </c>
      <c r="J1261" s="42" t="s">
        <v>532</v>
      </c>
    </row>
    <row r="1262" spans="1:12" s="43" customFormat="1" ht="15" x14ac:dyDescent="0.25">
      <c r="A1262" s="38" t="s">
        <v>565</v>
      </c>
      <c r="B1262" s="39" t="s">
        <v>457</v>
      </c>
      <c r="C1262" s="39" t="s">
        <v>801</v>
      </c>
      <c r="D1262" s="40">
        <v>3.1251000000000002</v>
      </c>
      <c r="E1262" s="40">
        <v>3.61</v>
      </c>
      <c r="F1262" s="40">
        <v>9.49</v>
      </c>
      <c r="G1262" s="41">
        <v>0.67069898138391304</v>
      </c>
      <c r="H1262" s="41">
        <v>0.61959957850368796</v>
      </c>
      <c r="I1262" s="41">
        <v>5.1099402880224597E-2</v>
      </c>
      <c r="J1262" s="42" t="s">
        <v>532</v>
      </c>
    </row>
    <row r="1263" spans="1:12" s="43" customFormat="1" ht="15" x14ac:dyDescent="0.25">
      <c r="A1263" s="38" t="s">
        <v>602</v>
      </c>
      <c r="B1263" s="39" t="s">
        <v>457</v>
      </c>
      <c r="C1263" s="39" t="s">
        <v>912</v>
      </c>
      <c r="D1263" s="40">
        <v>3.1251000000000002</v>
      </c>
      <c r="E1263" s="40">
        <v>3.2738</v>
      </c>
      <c r="F1263" s="40">
        <v>9.49</v>
      </c>
      <c r="G1263" s="41">
        <v>0.67069898138391304</v>
      </c>
      <c r="H1263" s="41">
        <v>0.65502107481559602</v>
      </c>
      <c r="I1263" s="41">
        <v>1.5677906568317398E-2</v>
      </c>
      <c r="J1263" s="42" t="s">
        <v>532</v>
      </c>
    </row>
    <row r="1264" spans="1:12" s="43" customFormat="1" ht="15" x14ac:dyDescent="0.25">
      <c r="A1264" s="38" t="s">
        <v>676</v>
      </c>
      <c r="B1264" s="39" t="s">
        <v>457</v>
      </c>
      <c r="C1264" s="39" t="s">
        <v>924</v>
      </c>
      <c r="D1264" s="40">
        <v>3.1251000000000002</v>
      </c>
      <c r="E1264" s="40">
        <v>3.2924000000000002</v>
      </c>
      <c r="F1264" s="40">
        <v>9.49</v>
      </c>
      <c r="G1264" s="41">
        <v>0.67069898138391304</v>
      </c>
      <c r="H1264" s="41">
        <v>0.65306462943449195</v>
      </c>
      <c r="I1264" s="41">
        <v>1.7634351949420299E-2</v>
      </c>
      <c r="J1264" s="42" t="s">
        <v>532</v>
      </c>
    </row>
    <row r="1265" spans="1:12" s="43" customFormat="1" ht="15" x14ac:dyDescent="0.25">
      <c r="A1265" s="38" t="s">
        <v>684</v>
      </c>
      <c r="B1265" s="39" t="s">
        <v>457</v>
      </c>
      <c r="C1265" s="39" t="s">
        <v>791</v>
      </c>
      <c r="D1265" s="40">
        <v>3.1251000000000002</v>
      </c>
      <c r="E1265" s="40">
        <v>3.4722</v>
      </c>
      <c r="F1265" s="40">
        <v>9.49</v>
      </c>
      <c r="G1265" s="41">
        <v>0.67069898138391304</v>
      </c>
      <c r="H1265" s="41">
        <v>0.63411837021426098</v>
      </c>
      <c r="I1265" s="41">
        <v>3.6580611169652201E-2</v>
      </c>
      <c r="J1265" s="42" t="s">
        <v>532</v>
      </c>
    </row>
    <row r="1266" spans="1:12" s="43" customFormat="1" ht="15" x14ac:dyDescent="0.25">
      <c r="A1266" s="38" t="s">
        <v>691</v>
      </c>
      <c r="B1266" s="39" t="s">
        <v>457</v>
      </c>
      <c r="C1266" s="39" t="s">
        <v>1137</v>
      </c>
      <c r="D1266" s="40">
        <v>3.1251000000000002</v>
      </c>
      <c r="E1266" s="40">
        <v>3.3565</v>
      </c>
      <c r="F1266" s="40">
        <v>9.49</v>
      </c>
      <c r="G1266" s="41">
        <v>0.67069898138391304</v>
      </c>
      <c r="H1266" s="41">
        <v>0.646311907270811</v>
      </c>
      <c r="I1266" s="41">
        <v>2.4387074113101499E-2</v>
      </c>
      <c r="J1266" s="42" t="s">
        <v>532</v>
      </c>
    </row>
    <row r="1267" spans="1:12" s="43" customFormat="1" ht="15" x14ac:dyDescent="0.25">
      <c r="A1267" s="38" t="s">
        <v>630</v>
      </c>
      <c r="B1267" s="39" t="s">
        <v>457</v>
      </c>
      <c r="C1267" s="39" t="s">
        <v>1028</v>
      </c>
      <c r="D1267" s="40">
        <v>3.0537000000000001</v>
      </c>
      <c r="E1267" s="40">
        <v>3.6850000000000001</v>
      </c>
      <c r="F1267" s="40">
        <v>9.49</v>
      </c>
      <c r="G1267" s="41">
        <v>0.67821566561292601</v>
      </c>
      <c r="H1267" s="41">
        <v>0.61169652265542696</v>
      </c>
      <c r="I1267" s="41">
        <v>6.6519142957499194E-2</v>
      </c>
      <c r="J1267" s="42" t="s">
        <v>532</v>
      </c>
    </row>
    <row r="1268" spans="1:12" s="43" customFormat="1" ht="15" x14ac:dyDescent="0.25">
      <c r="A1268" s="38" t="s">
        <v>704</v>
      </c>
      <c r="B1268" s="39" t="s">
        <v>457</v>
      </c>
      <c r="C1268" s="39" t="s">
        <v>1014</v>
      </c>
      <c r="D1268" s="40">
        <v>3.0537000000000001</v>
      </c>
      <c r="E1268" s="40">
        <v>3.6017000000000001</v>
      </c>
      <c r="F1268" s="40">
        <v>9.49</v>
      </c>
      <c r="G1268" s="41">
        <v>0.67821566561292601</v>
      </c>
      <c r="H1268" s="41">
        <v>0.62047593958552905</v>
      </c>
      <c r="I1268" s="41">
        <v>5.7739726027397298E-2</v>
      </c>
      <c r="J1268" s="42" t="s">
        <v>532</v>
      </c>
    </row>
    <row r="1269" spans="1:12" s="43" customFormat="1" ht="15" x14ac:dyDescent="0.25">
      <c r="A1269" s="38" t="s">
        <v>705</v>
      </c>
      <c r="B1269" s="39" t="s">
        <v>457</v>
      </c>
      <c r="C1269" s="39" t="s">
        <v>1299</v>
      </c>
      <c r="D1269" s="40">
        <v>3.0537000000000001</v>
      </c>
      <c r="E1269" s="40">
        <v>3.4849000000000001</v>
      </c>
      <c r="F1269" s="40">
        <v>9.49</v>
      </c>
      <c r="G1269" s="41">
        <v>0.67821566561292601</v>
      </c>
      <c r="H1269" s="41">
        <v>0.63278011942395496</v>
      </c>
      <c r="I1269" s="41">
        <v>4.5435546188970798E-2</v>
      </c>
      <c r="J1269" s="42" t="s">
        <v>532</v>
      </c>
    </row>
    <row r="1270" spans="1:12" s="43" customFormat="1" ht="15" x14ac:dyDescent="0.25">
      <c r="A1270" s="38" t="s">
        <v>572</v>
      </c>
      <c r="B1270" s="39" t="s">
        <v>457</v>
      </c>
      <c r="C1270" s="39" t="s">
        <v>1305</v>
      </c>
      <c r="D1270" s="40">
        <v>3.0537000000000001</v>
      </c>
      <c r="E1270" s="40">
        <v>3.3132000000000001</v>
      </c>
      <c r="F1270" s="40">
        <v>9.49</v>
      </c>
      <c r="G1270" s="41">
        <v>0.67821566561292601</v>
      </c>
      <c r="H1270" s="41">
        <v>0.650872848612574</v>
      </c>
      <c r="I1270" s="41">
        <v>2.7342817000351401E-2</v>
      </c>
      <c r="J1270" s="42" t="s">
        <v>532</v>
      </c>
    </row>
    <row r="1271" spans="1:12" s="43" customFormat="1" ht="15" x14ac:dyDescent="0.25">
      <c r="A1271" s="38" t="s">
        <v>570</v>
      </c>
      <c r="B1271" s="39" t="s">
        <v>457</v>
      </c>
      <c r="C1271" s="39" t="s">
        <v>1438</v>
      </c>
      <c r="D1271" s="40">
        <v>3.0537000000000001</v>
      </c>
      <c r="E1271" s="40">
        <v>3.1949999999999998</v>
      </c>
      <c r="F1271" s="40">
        <v>9.49</v>
      </c>
      <c r="G1271" s="41">
        <v>0.67821566561292601</v>
      </c>
      <c r="H1271" s="41">
        <v>0.663333333333334</v>
      </c>
      <c r="I1271" s="41">
        <v>1.48823322795925E-2</v>
      </c>
      <c r="J1271" s="42" t="s">
        <v>532</v>
      </c>
    </row>
    <row r="1272" spans="1:12" x14ac:dyDescent="0.25">
      <c r="A1272" s="44">
        <v>2018</v>
      </c>
      <c r="B1272" s="44" t="s">
        <v>457</v>
      </c>
      <c r="C1272" s="44" t="s">
        <v>1846</v>
      </c>
      <c r="D1272" s="45">
        <v>3.0920057319587633</v>
      </c>
      <c r="E1272" s="45">
        <v>3.3787680618556704</v>
      </c>
      <c r="F1272" s="45">
        <v>9.49</v>
      </c>
      <c r="G1272" s="46">
        <v>0.67418300326985525</v>
      </c>
      <c r="H1272" s="46">
        <v>0.6439649180363487</v>
      </c>
      <c r="I1272" s="46">
        <v>3.0218085233506723E-2</v>
      </c>
      <c r="J1272" s="47" t="s">
        <v>533</v>
      </c>
      <c r="K1272" s="48"/>
      <c r="L1272" s="48"/>
    </row>
    <row r="1273" spans="1:12" s="43" customFormat="1" ht="15" x14ac:dyDescent="0.25">
      <c r="A1273" s="38" t="s">
        <v>566</v>
      </c>
      <c r="B1273" s="39" t="s">
        <v>456</v>
      </c>
      <c r="C1273" s="39" t="s">
        <v>780</v>
      </c>
      <c r="D1273" s="40">
        <v>3.2147000000000001</v>
      </c>
      <c r="E1273" s="40">
        <v>3.319</v>
      </c>
      <c r="F1273" s="40">
        <v>9.49</v>
      </c>
      <c r="G1273" s="41">
        <v>0.66125395152792399</v>
      </c>
      <c r="H1273" s="41">
        <v>0.65026343519494201</v>
      </c>
      <c r="I1273" s="41">
        <v>1.0990516332982101E-2</v>
      </c>
      <c r="J1273" s="42" t="s">
        <v>532</v>
      </c>
    </row>
    <row r="1274" spans="1:12" s="43" customFormat="1" ht="15" x14ac:dyDescent="0.25">
      <c r="A1274" s="38" t="s">
        <v>565</v>
      </c>
      <c r="B1274" s="39" t="s">
        <v>456</v>
      </c>
      <c r="C1274" s="39" t="s">
        <v>802</v>
      </c>
      <c r="D1274" s="40">
        <v>3.2147000000000001</v>
      </c>
      <c r="E1274" s="40">
        <v>3.8252000000000002</v>
      </c>
      <c r="F1274" s="40">
        <v>9.49</v>
      </c>
      <c r="G1274" s="41">
        <v>0.66125395152792399</v>
      </c>
      <c r="H1274" s="41">
        <v>0.59692483315771006</v>
      </c>
      <c r="I1274" s="41">
        <v>6.4329118370214294E-2</v>
      </c>
      <c r="J1274" s="42" t="s">
        <v>532</v>
      </c>
    </row>
    <row r="1275" spans="1:12" s="43" customFormat="1" ht="15" x14ac:dyDescent="0.25">
      <c r="A1275" s="38" t="s">
        <v>601</v>
      </c>
      <c r="B1275" s="39" t="s">
        <v>456</v>
      </c>
      <c r="C1275" s="39" t="s">
        <v>902</v>
      </c>
      <c r="D1275" s="40">
        <v>3.2147000000000001</v>
      </c>
      <c r="E1275" s="40">
        <v>3.4685999999999999</v>
      </c>
      <c r="F1275" s="40">
        <v>9.49</v>
      </c>
      <c r="G1275" s="41">
        <v>0.66125395152792399</v>
      </c>
      <c r="H1275" s="41">
        <v>0.63449771689497703</v>
      </c>
      <c r="I1275" s="41">
        <v>2.6756234632946799E-2</v>
      </c>
      <c r="J1275" s="42" t="s">
        <v>532</v>
      </c>
    </row>
    <row r="1276" spans="1:12" s="43" customFormat="1" ht="15" x14ac:dyDescent="0.25">
      <c r="A1276" s="38" t="s">
        <v>675</v>
      </c>
      <c r="B1276" s="39" t="s">
        <v>456</v>
      </c>
      <c r="C1276" s="39" t="s">
        <v>919</v>
      </c>
      <c r="D1276" s="40">
        <v>3.2147000000000001</v>
      </c>
      <c r="E1276" s="40">
        <v>3.2248999999999999</v>
      </c>
      <c r="F1276" s="40">
        <v>9.49</v>
      </c>
      <c r="G1276" s="41">
        <v>0.66125395152792399</v>
      </c>
      <c r="H1276" s="41">
        <v>0.660177379697928</v>
      </c>
      <c r="I1276" s="41">
        <v>1.0765718299965399E-3</v>
      </c>
      <c r="J1276" s="42" t="s">
        <v>532</v>
      </c>
    </row>
    <row r="1277" spans="1:12" s="43" customFormat="1" ht="15" x14ac:dyDescent="0.25">
      <c r="A1277" s="38" t="s">
        <v>600</v>
      </c>
      <c r="B1277" s="39" t="s">
        <v>456</v>
      </c>
      <c r="C1277" s="39" t="s">
        <v>1006</v>
      </c>
      <c r="D1277" s="40">
        <v>3.2147000000000001</v>
      </c>
      <c r="E1277" s="40">
        <v>3.5009000000000001</v>
      </c>
      <c r="F1277" s="40">
        <v>9.49</v>
      </c>
      <c r="G1277" s="41">
        <v>0.66125395152792399</v>
      </c>
      <c r="H1277" s="41">
        <v>0.63109237794169304</v>
      </c>
      <c r="I1277" s="41">
        <v>3.01615735862312E-2</v>
      </c>
      <c r="J1277" s="42" t="s">
        <v>532</v>
      </c>
    </row>
    <row r="1278" spans="1:12" s="43" customFormat="1" ht="15" x14ac:dyDescent="0.25">
      <c r="A1278" s="38" t="s">
        <v>684</v>
      </c>
      <c r="B1278" s="39" t="s">
        <v>456</v>
      </c>
      <c r="C1278" s="39" t="s">
        <v>1072</v>
      </c>
      <c r="D1278" s="40">
        <v>3.2147000000000001</v>
      </c>
      <c r="E1278" s="40">
        <v>3.367</v>
      </c>
      <c r="F1278" s="40">
        <v>9.49</v>
      </c>
      <c r="G1278" s="41">
        <v>0.66125395152792399</v>
      </c>
      <c r="H1278" s="41">
        <v>0.64520723568668803</v>
      </c>
      <c r="I1278" s="41">
        <v>1.60467158412364E-2</v>
      </c>
      <c r="J1278" s="42" t="s">
        <v>532</v>
      </c>
    </row>
    <row r="1279" spans="1:12" s="43" customFormat="1" ht="15" x14ac:dyDescent="0.25">
      <c r="A1279" s="38" t="s">
        <v>584</v>
      </c>
      <c r="B1279" s="39" t="s">
        <v>456</v>
      </c>
      <c r="C1279" s="39" t="s">
        <v>1160</v>
      </c>
      <c r="D1279" s="40">
        <v>3.0804</v>
      </c>
      <c r="E1279" s="40">
        <v>3.6916000000000002</v>
      </c>
      <c r="F1279" s="40">
        <v>9.49</v>
      </c>
      <c r="G1279" s="41">
        <v>0.67540920266947702</v>
      </c>
      <c r="H1279" s="41">
        <v>0.61100105374077995</v>
      </c>
      <c r="I1279" s="41">
        <v>6.4408148928697007E-2</v>
      </c>
      <c r="J1279" s="42" t="s">
        <v>532</v>
      </c>
    </row>
    <row r="1280" spans="1:12" s="43" customFormat="1" ht="15" x14ac:dyDescent="0.25">
      <c r="A1280" s="38" t="s">
        <v>578</v>
      </c>
      <c r="B1280" s="39" t="s">
        <v>456</v>
      </c>
      <c r="C1280" s="39" t="s">
        <v>1166</v>
      </c>
      <c r="D1280" s="40">
        <v>3.0804</v>
      </c>
      <c r="E1280" s="40">
        <v>3.6623999999999999</v>
      </c>
      <c r="F1280" s="40">
        <v>9.49</v>
      </c>
      <c r="G1280" s="41">
        <v>0.67540920266947702</v>
      </c>
      <c r="H1280" s="41">
        <v>0.61407797681770304</v>
      </c>
      <c r="I1280" s="41">
        <v>6.1331225851773898E-2</v>
      </c>
      <c r="J1280" s="42" t="s">
        <v>532</v>
      </c>
    </row>
    <row r="1281" spans="1:12" s="43" customFormat="1" ht="15" x14ac:dyDescent="0.25">
      <c r="A1281" s="38" t="s">
        <v>706</v>
      </c>
      <c r="B1281" s="39" t="s">
        <v>456</v>
      </c>
      <c r="C1281" s="39" t="s">
        <v>1310</v>
      </c>
      <c r="D1281" s="40">
        <v>3.0804</v>
      </c>
      <c r="E1281" s="40">
        <v>3.0676000000000001</v>
      </c>
      <c r="F1281" s="40">
        <v>9.49</v>
      </c>
      <c r="G1281" s="41">
        <v>0.67540920266947702</v>
      </c>
      <c r="H1281" s="41">
        <v>0.67675799086758004</v>
      </c>
      <c r="I1281" s="41">
        <v>-1.34878819810325E-3</v>
      </c>
      <c r="J1281" s="42" t="s">
        <v>532</v>
      </c>
    </row>
    <row r="1282" spans="1:12" s="43" customFormat="1" ht="15" x14ac:dyDescent="0.25">
      <c r="A1282" s="38" t="s">
        <v>628</v>
      </c>
      <c r="B1282" s="39" t="s">
        <v>456</v>
      </c>
      <c r="C1282" s="39" t="s">
        <v>1315</v>
      </c>
      <c r="D1282" s="40">
        <v>3.0804</v>
      </c>
      <c r="E1282" s="40">
        <v>3.2284000000000002</v>
      </c>
      <c r="F1282" s="40">
        <v>9.49</v>
      </c>
      <c r="G1282" s="41">
        <v>0.67540920266947702</v>
      </c>
      <c r="H1282" s="41">
        <v>0.65981208289427495</v>
      </c>
      <c r="I1282" s="41">
        <v>1.5597119775201999E-2</v>
      </c>
      <c r="J1282" s="42" t="s">
        <v>532</v>
      </c>
    </row>
    <row r="1283" spans="1:12" s="43" customFormat="1" ht="15" x14ac:dyDescent="0.25">
      <c r="A1283" s="38" t="s">
        <v>558</v>
      </c>
      <c r="B1283" s="39" t="s">
        <v>456</v>
      </c>
      <c r="C1283" s="39" t="s">
        <v>1446</v>
      </c>
      <c r="D1283" s="40">
        <v>3.0804</v>
      </c>
      <c r="E1283" s="40">
        <v>3.5083000000000002</v>
      </c>
      <c r="F1283" s="40">
        <v>9.4879999999999995</v>
      </c>
      <c r="G1283" s="41">
        <v>0.67534078133783004</v>
      </c>
      <c r="H1283" s="41">
        <v>0.63023995222034901</v>
      </c>
      <c r="I1283" s="41">
        <v>4.51008291174817E-2</v>
      </c>
      <c r="J1283" s="42" t="s">
        <v>532</v>
      </c>
    </row>
    <row r="1284" spans="1:12" x14ac:dyDescent="0.25">
      <c r="A1284" s="44">
        <v>2018</v>
      </c>
      <c r="B1284" s="44" t="s">
        <v>456</v>
      </c>
      <c r="C1284" s="44" t="s">
        <v>1842</v>
      </c>
      <c r="D1284" s="45">
        <v>3.1431145454545453</v>
      </c>
      <c r="E1284" s="45">
        <v>3.3857000690448791</v>
      </c>
      <c r="F1284" s="45">
        <v>9.4898181818181833</v>
      </c>
      <c r="G1284" s="46">
        <v>0.668792854915228</v>
      </c>
      <c r="H1284" s="46">
        <v>0.64322825527839866</v>
      </c>
      <c r="I1284" s="46">
        <v>2.5564599636829347E-2</v>
      </c>
      <c r="J1284" s="47" t="s">
        <v>533</v>
      </c>
      <c r="K1284" s="48"/>
      <c r="L1284" s="48"/>
    </row>
    <row r="1285" spans="1:12" s="43" customFormat="1" ht="15" x14ac:dyDescent="0.25">
      <c r="A1285" s="38" t="s">
        <v>662</v>
      </c>
      <c r="B1285" s="39" t="s">
        <v>445</v>
      </c>
      <c r="C1285" s="39" t="s">
        <v>889</v>
      </c>
      <c r="D1285" s="40">
        <v>2.0781999999999998</v>
      </c>
      <c r="E1285" s="40">
        <v>2.1431</v>
      </c>
      <c r="F1285" s="40"/>
      <c r="G1285" s="41"/>
      <c r="H1285" s="41"/>
      <c r="I1285" s="41"/>
      <c r="J1285" s="42" t="s">
        <v>532</v>
      </c>
    </row>
    <row r="1286" spans="1:12" s="43" customFormat="1" ht="15" x14ac:dyDescent="0.25">
      <c r="A1286" s="38" t="s">
        <v>659</v>
      </c>
      <c r="B1286" s="39" t="s">
        <v>445</v>
      </c>
      <c r="C1286" s="39" t="s">
        <v>1189</v>
      </c>
      <c r="D1286" s="40">
        <v>2.0781999999999998</v>
      </c>
      <c r="E1286" s="40">
        <v>2.1747999999999998</v>
      </c>
      <c r="F1286" s="40"/>
      <c r="G1286" s="41"/>
      <c r="H1286" s="41"/>
      <c r="I1286" s="41"/>
      <c r="J1286" s="42" t="s">
        <v>532</v>
      </c>
    </row>
    <row r="1287" spans="1:12" x14ac:dyDescent="0.25">
      <c r="A1287" s="44">
        <v>2018</v>
      </c>
      <c r="B1287" s="44" t="s">
        <v>445</v>
      </c>
      <c r="C1287" s="44" t="s">
        <v>1049</v>
      </c>
      <c r="D1287" s="45">
        <v>2.0781999999999998</v>
      </c>
      <c r="E1287" s="45">
        <v>2.1591594713656388</v>
      </c>
      <c r="F1287" s="45"/>
      <c r="J1287" s="47" t="s">
        <v>533</v>
      </c>
      <c r="K1287" s="48"/>
      <c r="L1287" s="48"/>
    </row>
    <row r="1288" spans="1:12" s="43" customFormat="1" ht="15" x14ac:dyDescent="0.25">
      <c r="A1288" s="38" t="s">
        <v>562</v>
      </c>
      <c r="B1288" s="39" t="s">
        <v>455</v>
      </c>
      <c r="C1288" s="39" t="s">
        <v>774</v>
      </c>
      <c r="D1288" s="40">
        <v>0.69810000000000005</v>
      </c>
      <c r="E1288" s="40">
        <v>0.84919999999999995</v>
      </c>
      <c r="F1288" s="40">
        <v>2.44</v>
      </c>
      <c r="G1288" s="41">
        <v>0.71389344262295096</v>
      </c>
      <c r="H1288" s="41">
        <v>0.65196721311475403</v>
      </c>
      <c r="I1288" s="41">
        <v>6.1926229508196602E-2</v>
      </c>
      <c r="J1288" s="42" t="s">
        <v>532</v>
      </c>
    </row>
    <row r="1289" spans="1:12" s="43" customFormat="1" ht="15" x14ac:dyDescent="0.25">
      <c r="A1289" s="38" t="s">
        <v>565</v>
      </c>
      <c r="B1289" s="39" t="s">
        <v>455</v>
      </c>
      <c r="C1289" s="39" t="s">
        <v>803</v>
      </c>
      <c r="D1289" s="40">
        <v>0.69810000000000005</v>
      </c>
      <c r="E1289" s="40">
        <v>0.88939999999999997</v>
      </c>
      <c r="F1289" s="40">
        <v>2.44</v>
      </c>
      <c r="G1289" s="41">
        <v>0.71389344262295096</v>
      </c>
      <c r="H1289" s="41">
        <v>0.63549180327868804</v>
      </c>
      <c r="I1289" s="41">
        <v>7.8401639344262197E-2</v>
      </c>
      <c r="J1289" s="42" t="s">
        <v>532</v>
      </c>
    </row>
    <row r="1290" spans="1:12" x14ac:dyDescent="0.25">
      <c r="A1290" s="44">
        <v>2018</v>
      </c>
      <c r="B1290" s="44" t="s">
        <v>455</v>
      </c>
      <c r="C1290" s="44" t="s">
        <v>1840</v>
      </c>
      <c r="D1290" s="45">
        <v>0.69810000000000005</v>
      </c>
      <c r="E1290" s="45">
        <v>0.85554835988753508</v>
      </c>
      <c r="F1290" s="45">
        <v>2.44</v>
      </c>
      <c r="G1290" s="46">
        <v>0.71389344262295074</v>
      </c>
      <c r="H1290" s="46">
        <v>0.64936542627560034</v>
      </c>
      <c r="I1290" s="46">
        <v>6.4528016347350364E-2</v>
      </c>
      <c r="J1290" s="47" t="s">
        <v>533</v>
      </c>
      <c r="K1290" s="48"/>
      <c r="L1290" s="48"/>
    </row>
    <row r="1291" spans="1:12" s="43" customFormat="1" ht="15" x14ac:dyDescent="0.25">
      <c r="A1291" s="38" t="s">
        <v>612</v>
      </c>
      <c r="B1291" s="39" t="s">
        <v>460</v>
      </c>
      <c r="C1291" s="39" t="s">
        <v>993</v>
      </c>
      <c r="D1291" s="40">
        <v>0.6704</v>
      </c>
      <c r="E1291" s="40">
        <v>0.87090000000000001</v>
      </c>
      <c r="F1291" s="40">
        <v>2.59</v>
      </c>
      <c r="G1291" s="41">
        <v>0.74115830115830095</v>
      </c>
      <c r="H1291" s="41">
        <v>0.66374517374517406</v>
      </c>
      <c r="I1291" s="41">
        <v>7.7413127413127406E-2</v>
      </c>
      <c r="J1291" s="42" t="s">
        <v>532</v>
      </c>
    </row>
    <row r="1292" spans="1:12" s="43" customFormat="1" ht="15" x14ac:dyDescent="0.25">
      <c r="A1292" s="38" t="s">
        <v>595</v>
      </c>
      <c r="B1292" s="39" t="s">
        <v>460</v>
      </c>
      <c r="C1292" s="39" t="s">
        <v>998</v>
      </c>
      <c r="D1292" s="40">
        <v>0.6704</v>
      </c>
      <c r="E1292" s="40">
        <v>0.72629999999999995</v>
      </c>
      <c r="F1292" s="40">
        <v>2.59</v>
      </c>
      <c r="G1292" s="41">
        <v>0.74115830115830095</v>
      </c>
      <c r="H1292" s="41">
        <v>0.71957528957529004</v>
      </c>
      <c r="I1292" s="41">
        <v>2.15830115830116E-2</v>
      </c>
      <c r="J1292" s="42" t="s">
        <v>532</v>
      </c>
    </row>
    <row r="1293" spans="1:12" s="43" customFormat="1" ht="15" x14ac:dyDescent="0.25">
      <c r="A1293" s="38" t="s">
        <v>607</v>
      </c>
      <c r="B1293" s="39" t="s">
        <v>460</v>
      </c>
      <c r="C1293" s="39" t="s">
        <v>1040</v>
      </c>
      <c r="D1293" s="40">
        <v>0.6704</v>
      </c>
      <c r="E1293" s="40">
        <v>0.72250000000000003</v>
      </c>
      <c r="F1293" s="40">
        <v>2.59</v>
      </c>
      <c r="G1293" s="41">
        <v>0.74115830115830095</v>
      </c>
      <c r="H1293" s="41">
        <v>0.72104247104247099</v>
      </c>
      <c r="I1293" s="41">
        <v>2.0115830115830201E-2</v>
      </c>
      <c r="J1293" s="42" t="s">
        <v>532</v>
      </c>
    </row>
    <row r="1294" spans="1:12" s="43" customFormat="1" ht="15" x14ac:dyDescent="0.25">
      <c r="A1294" s="38" t="s">
        <v>598</v>
      </c>
      <c r="B1294" s="39" t="s">
        <v>460</v>
      </c>
      <c r="C1294" s="39" t="s">
        <v>1003</v>
      </c>
      <c r="D1294" s="40">
        <v>0.6704</v>
      </c>
      <c r="E1294" s="40">
        <v>0.66700000000000004</v>
      </c>
      <c r="F1294" s="40">
        <v>2.59</v>
      </c>
      <c r="G1294" s="41">
        <v>0.74115830115830095</v>
      </c>
      <c r="H1294" s="41">
        <v>0.74247104247104201</v>
      </c>
      <c r="I1294" s="41">
        <v>-1.31274131274128E-3</v>
      </c>
      <c r="J1294" s="42" t="s">
        <v>532</v>
      </c>
    </row>
    <row r="1295" spans="1:12" x14ac:dyDescent="0.25">
      <c r="A1295" s="44">
        <v>2018</v>
      </c>
      <c r="B1295" s="44" t="s">
        <v>460</v>
      </c>
      <c r="C1295" s="44" t="s">
        <v>1922</v>
      </c>
      <c r="D1295" s="45">
        <v>0.6704</v>
      </c>
      <c r="E1295" s="45">
        <v>0.79429476190476189</v>
      </c>
      <c r="F1295" s="45">
        <v>2.59</v>
      </c>
      <c r="G1295" s="46">
        <v>0.74115830115830117</v>
      </c>
      <c r="H1295" s="46">
        <v>0.69332248575105715</v>
      </c>
      <c r="I1295" s="46">
        <v>4.7835815407243999E-2</v>
      </c>
      <c r="J1295" s="47" t="s">
        <v>533</v>
      </c>
      <c r="K1295" s="48"/>
      <c r="L1295" s="48"/>
    </row>
    <row r="1296" spans="1:12" s="43" customFormat="1" ht="15" x14ac:dyDescent="0.25">
      <c r="A1296" s="38" t="s">
        <v>612</v>
      </c>
      <c r="B1296" s="39" t="s">
        <v>461</v>
      </c>
      <c r="C1296" s="39" t="s">
        <v>986</v>
      </c>
      <c r="D1296" s="40">
        <v>0.60550000000000004</v>
      </c>
      <c r="E1296" s="40">
        <v>0.72240000000000004</v>
      </c>
      <c r="F1296" s="40">
        <v>2.59</v>
      </c>
      <c r="G1296" s="41">
        <v>0.76621621621621605</v>
      </c>
      <c r="H1296" s="41">
        <v>0.72108108108108104</v>
      </c>
      <c r="I1296" s="41">
        <v>4.5135135135135097E-2</v>
      </c>
      <c r="J1296" s="42" t="s">
        <v>532</v>
      </c>
    </row>
    <row r="1297" spans="1:12" s="43" customFormat="1" ht="15" x14ac:dyDescent="0.25">
      <c r="A1297" s="38" t="s">
        <v>607</v>
      </c>
      <c r="B1297" s="39" t="s">
        <v>461</v>
      </c>
      <c r="C1297" s="39" t="s">
        <v>1041</v>
      </c>
      <c r="D1297" s="40">
        <v>0.60550000000000004</v>
      </c>
      <c r="E1297" s="40">
        <v>0.96809999999999996</v>
      </c>
      <c r="F1297" s="40">
        <v>2.59</v>
      </c>
      <c r="G1297" s="41">
        <v>0.76621621621621605</v>
      </c>
      <c r="H1297" s="41">
        <v>0.62621621621621604</v>
      </c>
      <c r="I1297" s="41">
        <v>0.14000000000000001</v>
      </c>
      <c r="J1297" s="42" t="s">
        <v>532</v>
      </c>
    </row>
    <row r="1298" spans="1:12" x14ac:dyDescent="0.25">
      <c r="A1298" s="44">
        <v>2018</v>
      </c>
      <c r="B1298" s="44" t="s">
        <v>461</v>
      </c>
      <c r="C1298" s="44" t="s">
        <v>1002</v>
      </c>
      <c r="D1298" s="45">
        <v>0.60550000000000004</v>
      </c>
      <c r="E1298" s="45">
        <v>0.73764416058394167</v>
      </c>
      <c r="F1298" s="45">
        <v>2.59</v>
      </c>
      <c r="G1298" s="46">
        <v>0.76621621621621616</v>
      </c>
      <c r="H1298" s="46">
        <v>0.71519530479384474</v>
      </c>
      <c r="I1298" s="46">
        <v>5.1020911422371258E-2</v>
      </c>
      <c r="J1298" s="47" t="s">
        <v>533</v>
      </c>
      <c r="K1298" s="48"/>
      <c r="L1298" s="48"/>
    </row>
    <row r="1299" spans="1:12" s="43" customFormat="1" ht="15" x14ac:dyDescent="0.25">
      <c r="A1299" s="38" t="s">
        <v>592</v>
      </c>
      <c r="B1299" s="39" t="s">
        <v>462</v>
      </c>
      <c r="C1299" s="39" t="s">
        <v>1010</v>
      </c>
      <c r="D1299" s="40">
        <v>1.9314</v>
      </c>
      <c r="E1299" s="40">
        <v>2.1745999999999999</v>
      </c>
      <c r="F1299" s="40">
        <v>5.5</v>
      </c>
      <c r="G1299" s="41">
        <v>0.64884090909090897</v>
      </c>
      <c r="H1299" s="41">
        <v>0.60461136363636403</v>
      </c>
      <c r="I1299" s="41">
        <v>4.4229545454545403E-2</v>
      </c>
      <c r="J1299" s="42" t="s">
        <v>532</v>
      </c>
    </row>
    <row r="1300" spans="1:12" s="43" customFormat="1" ht="15" x14ac:dyDescent="0.25">
      <c r="A1300" s="38" t="s">
        <v>596</v>
      </c>
      <c r="B1300" s="39" t="s">
        <v>462</v>
      </c>
      <c r="C1300" s="39" t="s">
        <v>1021</v>
      </c>
      <c r="D1300" s="40">
        <v>1.9314</v>
      </c>
      <c r="E1300" s="40">
        <v>2.1202000000000001</v>
      </c>
      <c r="F1300" s="40">
        <v>5.5</v>
      </c>
      <c r="G1300" s="41">
        <v>0.64884090909090897</v>
      </c>
      <c r="H1300" s="41">
        <v>0.61450000000000005</v>
      </c>
      <c r="I1300" s="41">
        <v>3.4340909090908998E-2</v>
      </c>
      <c r="J1300" s="42" t="s">
        <v>532</v>
      </c>
    </row>
    <row r="1301" spans="1:12" s="43" customFormat="1" ht="15" x14ac:dyDescent="0.25">
      <c r="A1301" s="38" t="s">
        <v>598</v>
      </c>
      <c r="B1301" s="39" t="s">
        <v>462</v>
      </c>
      <c r="C1301" s="39" t="s">
        <v>1055</v>
      </c>
      <c r="D1301" s="40">
        <v>1.9314</v>
      </c>
      <c r="E1301" s="40">
        <v>2.0844999999999998</v>
      </c>
      <c r="F1301" s="40">
        <v>5.5</v>
      </c>
      <c r="G1301" s="41">
        <v>0.64884090909090897</v>
      </c>
      <c r="H1301" s="41">
        <v>0.62099545454545402</v>
      </c>
      <c r="I1301" s="41">
        <v>2.78454545454546E-2</v>
      </c>
      <c r="J1301" s="42" t="s">
        <v>532</v>
      </c>
    </row>
    <row r="1302" spans="1:12" s="43" customFormat="1" ht="15" x14ac:dyDescent="0.25">
      <c r="A1302" s="38" t="s">
        <v>684</v>
      </c>
      <c r="B1302" s="39" t="s">
        <v>462</v>
      </c>
      <c r="C1302" s="39" t="s">
        <v>808</v>
      </c>
      <c r="D1302" s="40">
        <v>1.9314</v>
      </c>
      <c r="E1302" s="40">
        <v>2.0074999999999998</v>
      </c>
      <c r="F1302" s="40">
        <v>5.5</v>
      </c>
      <c r="G1302" s="41">
        <v>0.64884090909090897</v>
      </c>
      <c r="H1302" s="41">
        <v>0.63499772727272696</v>
      </c>
      <c r="I1302" s="41">
        <v>1.38431818181818E-2</v>
      </c>
      <c r="J1302" s="42" t="s">
        <v>532</v>
      </c>
    </row>
    <row r="1303" spans="1:12" s="43" customFormat="1" ht="15" x14ac:dyDescent="0.25">
      <c r="A1303" s="38" t="s">
        <v>616</v>
      </c>
      <c r="B1303" s="39" t="s">
        <v>462</v>
      </c>
      <c r="C1303" s="39" t="s">
        <v>1200</v>
      </c>
      <c r="D1303" s="40">
        <v>1.8837999999999999</v>
      </c>
      <c r="E1303" s="40">
        <v>2.0926</v>
      </c>
      <c r="F1303" s="40">
        <v>5.5</v>
      </c>
      <c r="G1303" s="41">
        <v>0.65748636363636404</v>
      </c>
      <c r="H1303" s="41">
        <v>0.61953181818181802</v>
      </c>
      <c r="I1303" s="41">
        <v>3.7954545454545602E-2</v>
      </c>
      <c r="J1303" s="42" t="s">
        <v>532</v>
      </c>
    </row>
    <row r="1304" spans="1:12" s="43" customFormat="1" ht="15" x14ac:dyDescent="0.25">
      <c r="A1304" s="38" t="s">
        <v>615</v>
      </c>
      <c r="B1304" s="39" t="s">
        <v>462</v>
      </c>
      <c r="C1304" s="39" t="s">
        <v>1535</v>
      </c>
      <c r="D1304" s="40">
        <v>1.8837999999999999</v>
      </c>
      <c r="E1304" s="40">
        <v>1.6910000000000001</v>
      </c>
      <c r="F1304" s="40">
        <v>5.5</v>
      </c>
      <c r="G1304" s="41">
        <v>0.65748636363636404</v>
      </c>
      <c r="H1304" s="41">
        <v>0.69254545454545502</v>
      </c>
      <c r="I1304" s="41">
        <v>-3.5059090909090901E-2</v>
      </c>
      <c r="J1304" s="42" t="s">
        <v>532</v>
      </c>
    </row>
    <row r="1305" spans="1:12" x14ac:dyDescent="0.25">
      <c r="A1305" s="44">
        <v>2018</v>
      </c>
      <c r="B1305" s="44" t="s">
        <v>462</v>
      </c>
      <c r="C1305" s="44" t="s">
        <v>1925</v>
      </c>
      <c r="D1305" s="45">
        <v>1.904752380952381</v>
      </c>
      <c r="E1305" s="45">
        <v>1.9828941176470587</v>
      </c>
      <c r="F1305" s="45">
        <v>5.5</v>
      </c>
      <c r="G1305" s="46">
        <v>0.65368084142748006</v>
      </c>
      <c r="H1305" s="46">
        <v>0.63947257448433925</v>
      </c>
      <c r="I1305" s="46">
        <v>1.4208266943140918E-2</v>
      </c>
      <c r="J1305" s="47" t="s">
        <v>533</v>
      </c>
      <c r="K1305" s="48"/>
      <c r="L1305" s="48"/>
    </row>
    <row r="1306" spans="1:12" s="43" customFormat="1" ht="15" x14ac:dyDescent="0.25">
      <c r="A1306" s="38" t="s">
        <v>592</v>
      </c>
      <c r="B1306" s="39" t="s">
        <v>463</v>
      </c>
      <c r="C1306" s="39" t="s">
        <v>1011</v>
      </c>
      <c r="D1306" s="40">
        <v>3.5503999999999998</v>
      </c>
      <c r="E1306" s="40">
        <v>3.8052000000000001</v>
      </c>
      <c r="F1306" s="40">
        <v>9.5</v>
      </c>
      <c r="G1306" s="41">
        <v>0.62627543859649104</v>
      </c>
      <c r="H1306" s="41">
        <v>0.59945614035087702</v>
      </c>
      <c r="I1306" s="41">
        <v>2.6819298245614E-2</v>
      </c>
      <c r="J1306" s="42" t="s">
        <v>532</v>
      </c>
    </row>
    <row r="1307" spans="1:12" s="43" customFormat="1" ht="15" x14ac:dyDescent="0.25">
      <c r="A1307" s="38" t="s">
        <v>596</v>
      </c>
      <c r="B1307" s="39" t="s">
        <v>463</v>
      </c>
      <c r="C1307" s="39" t="s">
        <v>1022</v>
      </c>
      <c r="D1307" s="40">
        <v>3.5503999999999998</v>
      </c>
      <c r="E1307" s="40">
        <v>3.9020000000000001</v>
      </c>
      <c r="F1307" s="40">
        <v>9.5</v>
      </c>
      <c r="G1307" s="41">
        <v>0.62627543859649104</v>
      </c>
      <c r="H1307" s="41">
        <v>0.58926140350877199</v>
      </c>
      <c r="I1307" s="41">
        <v>3.7014035087719298E-2</v>
      </c>
      <c r="J1307" s="42" t="s">
        <v>532</v>
      </c>
    </row>
    <row r="1308" spans="1:12" s="43" customFormat="1" ht="15" x14ac:dyDescent="0.25">
      <c r="A1308" s="38" t="s">
        <v>693</v>
      </c>
      <c r="B1308" s="39" t="s">
        <v>463</v>
      </c>
      <c r="C1308" s="39" t="s">
        <v>1153</v>
      </c>
      <c r="D1308" s="40">
        <v>3.5503999999999998</v>
      </c>
      <c r="E1308" s="40">
        <v>3.6318000000000001</v>
      </c>
      <c r="F1308" s="40">
        <v>9.5</v>
      </c>
      <c r="G1308" s="41">
        <v>0.62627543859649104</v>
      </c>
      <c r="H1308" s="41">
        <v>0.61770526315789498</v>
      </c>
      <c r="I1308" s="41">
        <v>8.5701754385965109E-3</v>
      </c>
      <c r="J1308" s="42" t="s">
        <v>532</v>
      </c>
    </row>
    <row r="1309" spans="1:12" s="43" customFormat="1" ht="15" x14ac:dyDescent="0.25">
      <c r="A1309" s="38" t="s">
        <v>542</v>
      </c>
      <c r="B1309" s="39" t="s">
        <v>463</v>
      </c>
      <c r="C1309" s="39" t="s">
        <v>1471</v>
      </c>
      <c r="D1309" s="40">
        <v>3.4538000000000002</v>
      </c>
      <c r="E1309" s="40">
        <v>3.2189999999999999</v>
      </c>
      <c r="F1309" s="40">
        <v>9.5</v>
      </c>
      <c r="G1309" s="41">
        <v>0.63644035087719297</v>
      </c>
      <c r="H1309" s="41">
        <v>0.66115789473684194</v>
      </c>
      <c r="I1309" s="41">
        <v>-2.4717543859649201E-2</v>
      </c>
      <c r="J1309" s="42" t="s">
        <v>532</v>
      </c>
    </row>
    <row r="1310" spans="1:12" s="43" customFormat="1" ht="15" x14ac:dyDescent="0.25">
      <c r="A1310" s="38" t="s">
        <v>574</v>
      </c>
      <c r="B1310" s="39" t="s">
        <v>463</v>
      </c>
      <c r="C1310" s="39" t="s">
        <v>1566</v>
      </c>
      <c r="D1310" s="40">
        <v>3.4538000000000002</v>
      </c>
      <c r="E1310" s="40">
        <v>3.3140999999999998</v>
      </c>
      <c r="F1310" s="40">
        <v>9.5</v>
      </c>
      <c r="G1310" s="41">
        <v>0.63644035087719297</v>
      </c>
      <c r="H1310" s="41">
        <v>0.65114736842105303</v>
      </c>
      <c r="I1310" s="41">
        <v>-1.47070175438597E-2</v>
      </c>
      <c r="J1310" s="42" t="s">
        <v>532</v>
      </c>
    </row>
    <row r="1311" spans="1:12" x14ac:dyDescent="0.25">
      <c r="A1311" s="44">
        <v>2018</v>
      </c>
      <c r="B1311" s="44" t="s">
        <v>463</v>
      </c>
      <c r="C1311" s="44" t="s">
        <v>1926</v>
      </c>
      <c r="D1311" s="45">
        <v>3.5134716981132077</v>
      </c>
      <c r="E1311" s="45">
        <v>3.5613161402789171</v>
      </c>
      <c r="F1311" s="45">
        <v>9.5</v>
      </c>
      <c r="G1311" s="46">
        <v>0.6301612869334946</v>
      </c>
      <c r="H1311" s="46">
        <v>0.62512462832635329</v>
      </c>
      <c r="I1311" s="46">
        <v>5.0366586071412846E-3</v>
      </c>
      <c r="J1311" s="47" t="s">
        <v>533</v>
      </c>
      <c r="K1311" s="48"/>
      <c r="L1311" s="48"/>
    </row>
    <row r="1312" spans="1:12" s="43" customFormat="1" ht="15" x14ac:dyDescent="0.25">
      <c r="A1312" s="38" t="s">
        <v>592</v>
      </c>
      <c r="B1312" s="39" t="s">
        <v>464</v>
      </c>
      <c r="C1312" s="39" t="s">
        <v>1012</v>
      </c>
      <c r="D1312" s="40">
        <v>0.80369999999999997</v>
      </c>
      <c r="E1312" s="40">
        <v>1.0223</v>
      </c>
      <c r="F1312" s="40">
        <v>2.512</v>
      </c>
      <c r="G1312" s="41">
        <v>0.68006236730360903</v>
      </c>
      <c r="H1312" s="41">
        <v>0.59302016985137995</v>
      </c>
      <c r="I1312" s="41">
        <v>8.7042197452229297E-2</v>
      </c>
      <c r="J1312" s="42" t="s">
        <v>532</v>
      </c>
    </row>
    <row r="1313" spans="1:12" s="43" customFormat="1" ht="15" x14ac:dyDescent="0.25">
      <c r="A1313" s="38" t="s">
        <v>598</v>
      </c>
      <c r="B1313" s="39" t="s">
        <v>464</v>
      </c>
      <c r="C1313" s="39" t="s">
        <v>1056</v>
      </c>
      <c r="D1313" s="40">
        <v>0.80369999999999997</v>
      </c>
      <c r="E1313" s="40">
        <v>0.92769999999999997</v>
      </c>
      <c r="F1313" s="40">
        <v>2.512</v>
      </c>
      <c r="G1313" s="41">
        <v>0.68006236730360903</v>
      </c>
      <c r="H1313" s="41">
        <v>0.630695992569002</v>
      </c>
      <c r="I1313" s="41">
        <v>4.9366374734607303E-2</v>
      </c>
      <c r="J1313" s="42" t="s">
        <v>532</v>
      </c>
    </row>
    <row r="1314" spans="1:12" s="43" customFormat="1" ht="15" x14ac:dyDescent="0.25">
      <c r="A1314" s="38" t="s">
        <v>684</v>
      </c>
      <c r="B1314" s="39" t="s">
        <v>464</v>
      </c>
      <c r="C1314" s="39" t="s">
        <v>1073</v>
      </c>
      <c r="D1314" s="40">
        <v>0.80369999999999997</v>
      </c>
      <c r="E1314" s="40">
        <v>0.89090000000000003</v>
      </c>
      <c r="F1314" s="40">
        <v>2.512</v>
      </c>
      <c r="G1314" s="41">
        <v>0.68006236730360903</v>
      </c>
      <c r="H1314" s="41">
        <v>0.64533572186836496</v>
      </c>
      <c r="I1314" s="41">
        <v>3.4726645435244202E-2</v>
      </c>
      <c r="J1314" s="42" t="s">
        <v>532</v>
      </c>
    </row>
    <row r="1315" spans="1:12" s="43" customFormat="1" ht="15" x14ac:dyDescent="0.25">
      <c r="A1315" s="38" t="s">
        <v>616</v>
      </c>
      <c r="B1315" s="39" t="s">
        <v>464</v>
      </c>
      <c r="C1315" s="39" t="s">
        <v>1201</v>
      </c>
      <c r="D1315" s="40">
        <v>0.79110000000000003</v>
      </c>
      <c r="E1315" s="40">
        <v>0.9415</v>
      </c>
      <c r="F1315" s="40">
        <v>2.512</v>
      </c>
      <c r="G1315" s="41">
        <v>0.685088243099788</v>
      </c>
      <c r="H1315" s="41">
        <v>0.62518245753715496</v>
      </c>
      <c r="I1315" s="41">
        <v>5.99057855626327E-2</v>
      </c>
      <c r="J1315" s="42" t="s">
        <v>532</v>
      </c>
    </row>
    <row r="1316" spans="1:12" x14ac:dyDescent="0.25">
      <c r="A1316" s="44">
        <v>2018</v>
      </c>
      <c r="B1316" s="44" t="s">
        <v>464</v>
      </c>
      <c r="C1316" s="44" t="s">
        <v>1927</v>
      </c>
      <c r="D1316" s="45">
        <v>0.79892538253825374</v>
      </c>
      <c r="E1316" s="45">
        <v>0.93787074707470752</v>
      </c>
      <c r="F1316" s="45">
        <v>2.512</v>
      </c>
      <c r="G1316" s="46">
        <v>0.6819668620922601</v>
      </c>
      <c r="H1316" s="46">
        <v>0.6266358547678017</v>
      </c>
      <c r="I1316" s="46">
        <v>5.5331007324458573E-2</v>
      </c>
      <c r="J1316" s="47" t="s">
        <v>533</v>
      </c>
      <c r="K1316" s="48"/>
      <c r="L1316" s="48"/>
    </row>
    <row r="1317" spans="1:12" s="43" customFormat="1" ht="15" x14ac:dyDescent="0.25">
      <c r="A1317" s="38" t="s">
        <v>697</v>
      </c>
      <c r="B1317" s="39" t="s">
        <v>471</v>
      </c>
      <c r="C1317" s="39" t="s">
        <v>1190</v>
      </c>
      <c r="D1317" s="40">
        <v>1.6794</v>
      </c>
      <c r="E1317" s="40">
        <v>1.9401999999999999</v>
      </c>
      <c r="F1317" s="40">
        <v>5.05</v>
      </c>
      <c r="G1317" s="41">
        <v>0.66744554455445504</v>
      </c>
      <c r="H1317" s="41">
        <v>0.61580198019802002</v>
      </c>
      <c r="I1317" s="41">
        <v>5.1643564356435599E-2</v>
      </c>
      <c r="J1317" s="42" t="s">
        <v>532</v>
      </c>
    </row>
    <row r="1318" spans="1:12" s="43" customFormat="1" ht="15" x14ac:dyDescent="0.25">
      <c r="A1318" s="38" t="s">
        <v>627</v>
      </c>
      <c r="B1318" s="39" t="s">
        <v>471</v>
      </c>
      <c r="C1318" s="39" t="s">
        <v>1197</v>
      </c>
      <c r="D1318" s="40">
        <v>1.6794</v>
      </c>
      <c r="E1318" s="40">
        <v>1.9202999999999999</v>
      </c>
      <c r="F1318" s="40">
        <v>5.05</v>
      </c>
      <c r="G1318" s="41">
        <v>0.66744554455445504</v>
      </c>
      <c r="H1318" s="41">
        <v>0.61974257425742596</v>
      </c>
      <c r="I1318" s="41">
        <v>4.77029702970296E-2</v>
      </c>
      <c r="J1318" s="42" t="s">
        <v>532</v>
      </c>
    </row>
    <row r="1319" spans="1:12" s="43" customFormat="1" ht="15" x14ac:dyDescent="0.25">
      <c r="A1319" s="38" t="s">
        <v>616</v>
      </c>
      <c r="B1319" s="39" t="s">
        <v>471</v>
      </c>
      <c r="C1319" s="39" t="s">
        <v>1202</v>
      </c>
      <c r="D1319" s="40">
        <v>1.6794</v>
      </c>
      <c r="E1319" s="40">
        <v>1.8779999999999999</v>
      </c>
      <c r="F1319" s="40">
        <v>5.05</v>
      </c>
      <c r="G1319" s="41">
        <v>0.66744554455445504</v>
      </c>
      <c r="H1319" s="41">
        <v>0.62811881188118801</v>
      </c>
      <c r="I1319" s="41">
        <v>3.9326732673267202E-2</v>
      </c>
      <c r="J1319" s="42" t="s">
        <v>532</v>
      </c>
    </row>
    <row r="1320" spans="1:12" s="43" customFormat="1" ht="15" x14ac:dyDescent="0.25">
      <c r="A1320" s="38" t="s">
        <v>626</v>
      </c>
      <c r="B1320" s="39" t="s">
        <v>471</v>
      </c>
      <c r="C1320" s="39" t="s">
        <v>1206</v>
      </c>
      <c r="D1320" s="40">
        <v>1.6794</v>
      </c>
      <c r="E1320" s="40">
        <v>1.8592</v>
      </c>
      <c r="F1320" s="40">
        <v>5.05</v>
      </c>
      <c r="G1320" s="41">
        <v>0.66744554455445504</v>
      </c>
      <c r="H1320" s="41">
        <v>0.63184158415841596</v>
      </c>
      <c r="I1320" s="41">
        <v>3.5603960396039497E-2</v>
      </c>
      <c r="J1320" s="42" t="s">
        <v>532</v>
      </c>
    </row>
    <row r="1321" spans="1:12" x14ac:dyDescent="0.25">
      <c r="A1321" s="44">
        <v>2018</v>
      </c>
      <c r="B1321" s="44" t="s">
        <v>471</v>
      </c>
      <c r="C1321" s="44" t="s">
        <v>1944</v>
      </c>
      <c r="D1321" s="45">
        <v>1.6794</v>
      </c>
      <c r="E1321" s="45">
        <v>1.9006771661237782</v>
      </c>
      <c r="F1321" s="45">
        <v>5.05</v>
      </c>
      <c r="G1321" s="46">
        <v>0.66744554455445537</v>
      </c>
      <c r="H1321" s="46">
        <v>0.62362828393588543</v>
      </c>
      <c r="I1321" s="46">
        <v>4.3817260618569928E-2</v>
      </c>
      <c r="J1321" s="47" t="s">
        <v>533</v>
      </c>
      <c r="K1321" s="48"/>
      <c r="L1321" s="48"/>
    </row>
    <row r="1322" spans="1:12" s="43" customFormat="1" ht="15" x14ac:dyDescent="0.25">
      <c r="A1322" s="38" t="s">
        <v>575</v>
      </c>
      <c r="B1322" s="39" t="s">
        <v>167</v>
      </c>
      <c r="C1322" s="39" t="s">
        <v>1038</v>
      </c>
      <c r="D1322" s="40">
        <v>7.7412000000000001</v>
      </c>
      <c r="E1322" s="40">
        <v>8.5760000000000005</v>
      </c>
      <c r="F1322" s="40">
        <v>22.934000000000001</v>
      </c>
      <c r="G1322" s="41">
        <v>0.66245748670096805</v>
      </c>
      <c r="H1322" s="41">
        <v>0.626057382052847</v>
      </c>
      <c r="I1322" s="41">
        <v>3.6400104648120699E-2</v>
      </c>
      <c r="J1322" s="39" t="s">
        <v>532</v>
      </c>
    </row>
    <row r="1323" spans="1:12" x14ac:dyDescent="0.25">
      <c r="A1323" s="44">
        <v>2018</v>
      </c>
      <c r="B1323" s="44" t="s">
        <v>167</v>
      </c>
      <c r="C1323" s="44" t="s">
        <v>1858</v>
      </c>
      <c r="D1323" s="45">
        <v>7.7528948126801147</v>
      </c>
      <c r="E1323" s="45">
        <v>8.1708391930835731</v>
      </c>
      <c r="F1323" s="45">
        <v>22.616844380403457</v>
      </c>
      <c r="G1323" s="46">
        <v>0.65712647356401432</v>
      </c>
      <c r="H1323" s="46">
        <v>0.63892215440875499</v>
      </c>
      <c r="I1323" s="46">
        <v>1.8204319155259323E-2</v>
      </c>
      <c r="J1323" s="47" t="s">
        <v>533</v>
      </c>
      <c r="K1323" s="48"/>
      <c r="L1323" s="48"/>
    </row>
    <row r="1324" spans="1:12" s="43" customFormat="1" ht="15" x14ac:dyDescent="0.25">
      <c r="A1324" s="38" t="s">
        <v>671</v>
      </c>
      <c r="B1324" s="39" t="s">
        <v>196</v>
      </c>
      <c r="C1324" s="39" t="s">
        <v>784</v>
      </c>
      <c r="D1324" s="40">
        <v>1.2208000000000001</v>
      </c>
      <c r="E1324" s="40">
        <v>1.3136000000000001</v>
      </c>
      <c r="F1324" s="40">
        <v>3.2349999999999999</v>
      </c>
      <c r="G1324" s="41">
        <v>0.62263266357547598</v>
      </c>
      <c r="H1324" s="41">
        <v>0.59394126738794395</v>
      </c>
      <c r="I1324" s="41">
        <v>2.8691396187532199E-2</v>
      </c>
      <c r="J1324" s="42" t="s">
        <v>532</v>
      </c>
    </row>
    <row r="1325" spans="1:12" s="43" customFormat="1" ht="15" x14ac:dyDescent="0.25">
      <c r="A1325" s="38" t="s">
        <v>565</v>
      </c>
      <c r="B1325" s="39" t="s">
        <v>196</v>
      </c>
      <c r="C1325" s="39" t="s">
        <v>797</v>
      </c>
      <c r="D1325" s="40">
        <v>1.2208000000000001</v>
      </c>
      <c r="E1325" s="40">
        <v>1.3088</v>
      </c>
      <c r="F1325" s="40">
        <v>3.2349999999999999</v>
      </c>
      <c r="G1325" s="41">
        <v>0.62263266357547598</v>
      </c>
      <c r="H1325" s="41">
        <v>0.59542503863987595</v>
      </c>
      <c r="I1325" s="41">
        <v>2.7207624935600101E-2</v>
      </c>
      <c r="J1325" s="42" t="s">
        <v>532</v>
      </c>
    </row>
    <row r="1326" spans="1:12" s="43" customFormat="1" ht="15" x14ac:dyDescent="0.25">
      <c r="A1326" s="38" t="s">
        <v>644</v>
      </c>
      <c r="B1326" s="39" t="s">
        <v>196</v>
      </c>
      <c r="C1326" s="39" t="s">
        <v>1130</v>
      </c>
      <c r="D1326" s="40">
        <v>1.3088</v>
      </c>
      <c r="E1326" s="40">
        <v>1.4180999999999999</v>
      </c>
      <c r="F1326" s="40">
        <v>3.2349999999999999</v>
      </c>
      <c r="G1326" s="41">
        <v>0.59543019062338998</v>
      </c>
      <c r="H1326" s="41">
        <v>0.56163833075734204</v>
      </c>
      <c r="I1326" s="41">
        <v>3.3791859866048497E-2</v>
      </c>
      <c r="J1326" s="42" t="s">
        <v>532</v>
      </c>
    </row>
    <row r="1327" spans="1:12" s="43" customFormat="1" ht="15" x14ac:dyDescent="0.25">
      <c r="A1327" s="38" t="s">
        <v>569</v>
      </c>
      <c r="B1327" s="39" t="s">
        <v>196</v>
      </c>
      <c r="C1327" s="39" t="s">
        <v>1111</v>
      </c>
      <c r="D1327" s="40">
        <v>1.3088</v>
      </c>
      <c r="E1327" s="40">
        <v>1.3627</v>
      </c>
      <c r="F1327" s="40">
        <v>3.2349999999999999</v>
      </c>
      <c r="G1327" s="41">
        <v>0.59543019062338998</v>
      </c>
      <c r="H1327" s="41">
        <v>0.57876352395672304</v>
      </c>
      <c r="I1327" s="41">
        <v>1.6666666666666701E-2</v>
      </c>
      <c r="J1327" s="42" t="s">
        <v>532</v>
      </c>
    </row>
    <row r="1328" spans="1:12" x14ac:dyDescent="0.25">
      <c r="A1328" s="44">
        <v>2018</v>
      </c>
      <c r="B1328" s="44" t="s">
        <v>196</v>
      </c>
      <c r="C1328" s="44" t="s">
        <v>1845</v>
      </c>
      <c r="D1328" s="45">
        <v>1.2625785114871373</v>
      </c>
      <c r="E1328" s="45">
        <v>1.3437326042096573</v>
      </c>
      <c r="F1328" s="45">
        <v>3.2350000000000003</v>
      </c>
      <c r="G1328" s="46">
        <v>0.60971813143107556</v>
      </c>
      <c r="H1328" s="46">
        <v>0.5846267065812496</v>
      </c>
      <c r="I1328" s="46">
        <v>2.5091424849825985E-2</v>
      </c>
      <c r="J1328" s="47" t="s">
        <v>533</v>
      </c>
      <c r="K1328" s="48"/>
      <c r="L1328" s="48"/>
    </row>
    <row r="1329" spans="1:10" s="43" customFormat="1" ht="15" x14ac:dyDescent="0.25">
      <c r="A1329" s="38" t="s">
        <v>664</v>
      </c>
      <c r="B1329" s="39" t="s">
        <v>230</v>
      </c>
      <c r="C1329" s="39" t="s">
        <v>713</v>
      </c>
      <c r="D1329" s="40">
        <v>0.49230000000000002</v>
      </c>
      <c r="E1329" s="40">
        <v>0.54959999999999998</v>
      </c>
      <c r="F1329" s="40">
        <v>1.57</v>
      </c>
      <c r="G1329" s="41">
        <v>0.68643312101910803</v>
      </c>
      <c r="H1329" s="41">
        <v>0.64995753715499005</v>
      </c>
      <c r="I1329" s="41">
        <v>3.64755838641189E-2</v>
      </c>
      <c r="J1329" s="42" t="s">
        <v>532</v>
      </c>
    </row>
    <row r="1330" spans="1:10" s="43" customFormat="1" ht="15" x14ac:dyDescent="0.25">
      <c r="A1330" s="38" t="s">
        <v>666</v>
      </c>
      <c r="B1330" s="39" t="s">
        <v>230</v>
      </c>
      <c r="C1330" s="39" t="s">
        <v>722</v>
      </c>
      <c r="D1330" s="40">
        <v>0.49230000000000002</v>
      </c>
      <c r="E1330" s="40">
        <v>0.60209999999999997</v>
      </c>
      <c r="F1330" s="40">
        <v>1.57</v>
      </c>
      <c r="G1330" s="41">
        <v>0.68643312101910803</v>
      </c>
      <c r="H1330" s="41">
        <v>0.61651804670913002</v>
      </c>
      <c r="I1330" s="41">
        <v>6.99150743099788E-2</v>
      </c>
      <c r="J1330" s="42" t="s">
        <v>532</v>
      </c>
    </row>
    <row r="1331" spans="1:10" s="43" customFormat="1" ht="15" x14ac:dyDescent="0.25">
      <c r="A1331" s="38" t="s">
        <v>562</v>
      </c>
      <c r="B1331" s="39" t="s">
        <v>230</v>
      </c>
      <c r="C1331" s="39" t="s">
        <v>773</v>
      </c>
      <c r="D1331" s="40">
        <v>0.49230000000000002</v>
      </c>
      <c r="E1331" s="40">
        <v>0.58409999999999995</v>
      </c>
      <c r="F1331" s="40">
        <v>1.57</v>
      </c>
      <c r="G1331" s="41">
        <v>0.68643312101910803</v>
      </c>
      <c r="H1331" s="41">
        <v>0.62794055201698495</v>
      </c>
      <c r="I1331" s="41">
        <v>5.8492569002123199E-2</v>
      </c>
      <c r="J1331" s="42" t="s">
        <v>532</v>
      </c>
    </row>
    <row r="1332" spans="1:10" s="43" customFormat="1" ht="15" x14ac:dyDescent="0.25">
      <c r="A1332" s="38" t="s">
        <v>559</v>
      </c>
      <c r="B1332" s="39" t="s">
        <v>230</v>
      </c>
      <c r="C1332" s="39" t="s">
        <v>829</v>
      </c>
      <c r="D1332" s="40">
        <v>0.49230000000000002</v>
      </c>
      <c r="E1332" s="40">
        <v>0.54720000000000002</v>
      </c>
      <c r="F1332" s="40">
        <v>1.57</v>
      </c>
      <c r="G1332" s="41">
        <v>0.68643312101910803</v>
      </c>
      <c r="H1332" s="41">
        <v>0.65147558386411897</v>
      </c>
      <c r="I1332" s="41">
        <v>3.4957537154989497E-2</v>
      </c>
      <c r="J1332" s="42" t="s">
        <v>532</v>
      </c>
    </row>
    <row r="1333" spans="1:10" s="43" customFormat="1" ht="15" x14ac:dyDescent="0.25">
      <c r="A1333" s="38" t="s">
        <v>593</v>
      </c>
      <c r="B1333" s="39" t="s">
        <v>230</v>
      </c>
      <c r="C1333" s="39" t="s">
        <v>865</v>
      </c>
      <c r="D1333" s="40">
        <v>0.49230000000000002</v>
      </c>
      <c r="E1333" s="40">
        <v>0.54879999999999995</v>
      </c>
      <c r="F1333" s="40">
        <v>1.57</v>
      </c>
      <c r="G1333" s="41">
        <v>0.68643312101910803</v>
      </c>
      <c r="H1333" s="41">
        <v>0.65045647558386399</v>
      </c>
      <c r="I1333" s="41">
        <v>3.59766454352443E-2</v>
      </c>
      <c r="J1333" s="42" t="s">
        <v>532</v>
      </c>
    </row>
    <row r="1334" spans="1:10" s="43" customFormat="1" ht="15" x14ac:dyDescent="0.25">
      <c r="A1334" s="38" t="s">
        <v>594</v>
      </c>
      <c r="B1334" s="39" t="s">
        <v>230</v>
      </c>
      <c r="C1334" s="39" t="s">
        <v>876</v>
      </c>
      <c r="D1334" s="40">
        <v>0.49230000000000002</v>
      </c>
      <c r="E1334" s="40">
        <v>0.54330000000000001</v>
      </c>
      <c r="F1334" s="40">
        <v>1.57</v>
      </c>
      <c r="G1334" s="41">
        <v>0.68643312101910803</v>
      </c>
      <c r="H1334" s="41">
        <v>0.65398089171974505</v>
      </c>
      <c r="I1334" s="41">
        <v>3.2452229299363103E-2</v>
      </c>
      <c r="J1334" s="42" t="s">
        <v>532</v>
      </c>
    </row>
    <row r="1335" spans="1:10" s="43" customFormat="1" ht="15" x14ac:dyDescent="0.25">
      <c r="A1335" s="38" t="s">
        <v>680</v>
      </c>
      <c r="B1335" s="39" t="s">
        <v>230</v>
      </c>
      <c r="C1335" s="39" t="s">
        <v>956</v>
      </c>
      <c r="D1335" s="40">
        <v>0.49230000000000002</v>
      </c>
      <c r="E1335" s="40">
        <v>0.52929999999999999</v>
      </c>
      <c r="F1335" s="40">
        <v>1.57</v>
      </c>
      <c r="G1335" s="41">
        <v>0.68643312101910803</v>
      </c>
      <c r="H1335" s="41">
        <v>0.66283439490445895</v>
      </c>
      <c r="I1335" s="41">
        <v>2.35987261146498E-2</v>
      </c>
      <c r="J1335" s="42" t="s">
        <v>532</v>
      </c>
    </row>
    <row r="1336" spans="1:10" s="43" customFormat="1" ht="15" x14ac:dyDescent="0.25">
      <c r="A1336" s="38" t="s">
        <v>681</v>
      </c>
      <c r="B1336" s="39" t="s">
        <v>230</v>
      </c>
      <c r="C1336" s="39" t="s">
        <v>964</v>
      </c>
      <c r="D1336" s="40">
        <v>0.49230000000000002</v>
      </c>
      <c r="E1336" s="40">
        <v>0.56440000000000001</v>
      </c>
      <c r="F1336" s="40">
        <v>1.57</v>
      </c>
      <c r="G1336" s="41">
        <v>0.68643312101910803</v>
      </c>
      <c r="H1336" s="41">
        <v>0.64048832271762202</v>
      </c>
      <c r="I1336" s="41">
        <v>4.5944798301486199E-2</v>
      </c>
      <c r="J1336" s="39" t="s">
        <v>532</v>
      </c>
    </row>
    <row r="1337" spans="1:10" s="43" customFormat="1" ht="15" x14ac:dyDescent="0.25">
      <c r="A1337" s="38" t="s">
        <v>611</v>
      </c>
      <c r="B1337" s="39" t="s">
        <v>230</v>
      </c>
      <c r="C1337" s="39" t="s">
        <v>1043</v>
      </c>
      <c r="D1337" s="40">
        <v>0.49230000000000002</v>
      </c>
      <c r="E1337" s="40">
        <v>0.53669999999999995</v>
      </c>
      <c r="F1337" s="40">
        <v>1.57</v>
      </c>
      <c r="G1337" s="41">
        <v>0.68643312101910803</v>
      </c>
      <c r="H1337" s="41">
        <v>0.65817409766454305</v>
      </c>
      <c r="I1337" s="41">
        <v>2.8259023354565E-2</v>
      </c>
      <c r="J1337" s="42" t="s">
        <v>532</v>
      </c>
    </row>
    <row r="1338" spans="1:10" s="43" customFormat="1" ht="15" x14ac:dyDescent="0.25">
      <c r="A1338" s="38" t="s">
        <v>622</v>
      </c>
      <c r="B1338" s="39" t="s">
        <v>230</v>
      </c>
      <c r="C1338" s="39" t="s">
        <v>1131</v>
      </c>
      <c r="D1338" s="40">
        <v>0.49230000000000002</v>
      </c>
      <c r="E1338" s="40">
        <v>0.53839999999999999</v>
      </c>
      <c r="F1338" s="40">
        <v>1.57</v>
      </c>
      <c r="G1338" s="41">
        <v>0.68643312101910803</v>
      </c>
      <c r="H1338" s="41">
        <v>0.657091295116773</v>
      </c>
      <c r="I1338" s="41">
        <v>2.93418259023355E-2</v>
      </c>
      <c r="J1338" s="42" t="s">
        <v>532</v>
      </c>
    </row>
    <row r="1339" spans="1:10" s="43" customFormat="1" ht="15" x14ac:dyDescent="0.25">
      <c r="A1339" s="38" t="s">
        <v>691</v>
      </c>
      <c r="B1339" s="39" t="s">
        <v>230</v>
      </c>
      <c r="C1339" s="39" t="s">
        <v>1136</v>
      </c>
      <c r="D1339" s="40">
        <v>0.49230000000000002</v>
      </c>
      <c r="E1339" s="40">
        <v>0.55549999999999999</v>
      </c>
      <c r="F1339" s="40">
        <v>1.57</v>
      </c>
      <c r="G1339" s="41">
        <v>0.68643312101910803</v>
      </c>
      <c r="H1339" s="41">
        <v>0.64618895966029699</v>
      </c>
      <c r="I1339" s="41">
        <v>4.0244161358811197E-2</v>
      </c>
      <c r="J1339" s="42" t="s">
        <v>532</v>
      </c>
    </row>
    <row r="1340" spans="1:10" s="43" customFormat="1" ht="15" x14ac:dyDescent="0.25">
      <c r="A1340" s="38" t="s">
        <v>585</v>
      </c>
      <c r="B1340" s="39" t="s">
        <v>230</v>
      </c>
      <c r="C1340" s="39" t="s">
        <v>1263</v>
      </c>
      <c r="D1340" s="40">
        <v>0.55530000000000002</v>
      </c>
      <c r="E1340" s="40">
        <v>0.54700000000000004</v>
      </c>
      <c r="F1340" s="40">
        <v>1.57</v>
      </c>
      <c r="G1340" s="41">
        <v>0.64630573248407597</v>
      </c>
      <c r="H1340" s="41">
        <v>0.65159235668789806</v>
      </c>
      <c r="I1340" s="41">
        <v>-5.28662420382176E-3</v>
      </c>
      <c r="J1340" s="42" t="s">
        <v>532</v>
      </c>
    </row>
    <row r="1341" spans="1:10" s="43" customFormat="1" ht="15" x14ac:dyDescent="0.25">
      <c r="A1341" s="38" t="s">
        <v>553</v>
      </c>
      <c r="B1341" s="39" t="s">
        <v>230</v>
      </c>
      <c r="C1341" s="39" t="s">
        <v>1285</v>
      </c>
      <c r="D1341" s="40">
        <v>0.55530000000000002</v>
      </c>
      <c r="E1341" s="40">
        <v>0.57199999999999995</v>
      </c>
      <c r="F1341" s="40">
        <v>1.57</v>
      </c>
      <c r="G1341" s="41">
        <v>0.64630573248407597</v>
      </c>
      <c r="H1341" s="41">
        <v>0.63564755838641196</v>
      </c>
      <c r="I1341" s="41">
        <v>1.0658174097664499E-2</v>
      </c>
      <c r="J1341" s="42" t="s">
        <v>532</v>
      </c>
    </row>
    <row r="1342" spans="1:10" s="43" customFormat="1" ht="15" x14ac:dyDescent="0.25">
      <c r="A1342" s="38" t="s">
        <v>703</v>
      </c>
      <c r="B1342" s="39" t="s">
        <v>230</v>
      </c>
      <c r="C1342" s="39" t="s">
        <v>1290</v>
      </c>
      <c r="D1342" s="40">
        <v>0.55530000000000002</v>
      </c>
      <c r="E1342" s="40">
        <v>0.51919999999999999</v>
      </c>
      <c r="F1342" s="40">
        <v>1.57</v>
      </c>
      <c r="G1342" s="41">
        <v>0.64630573248407597</v>
      </c>
      <c r="H1342" s="41">
        <v>0.66929936305732496</v>
      </c>
      <c r="I1342" s="41">
        <v>-2.2993630573248498E-2</v>
      </c>
      <c r="J1342" s="42" t="s">
        <v>532</v>
      </c>
    </row>
    <row r="1343" spans="1:10" s="43" customFormat="1" ht="15" x14ac:dyDescent="0.25">
      <c r="A1343" s="38" t="s">
        <v>706</v>
      </c>
      <c r="B1343" s="39" t="s">
        <v>230</v>
      </c>
      <c r="C1343" s="39" t="s">
        <v>1307</v>
      </c>
      <c r="D1343" s="40">
        <v>0.55530000000000002</v>
      </c>
      <c r="E1343" s="40">
        <v>0.61009999999999998</v>
      </c>
      <c r="F1343" s="40">
        <v>1.57</v>
      </c>
      <c r="G1343" s="41">
        <v>0.64630573248407597</v>
      </c>
      <c r="H1343" s="41">
        <v>0.611369426751592</v>
      </c>
      <c r="I1343" s="41">
        <v>3.4936305732484102E-2</v>
      </c>
      <c r="J1343" s="42" t="s">
        <v>532</v>
      </c>
    </row>
    <row r="1344" spans="1:10" s="43" customFormat="1" ht="15" x14ac:dyDescent="0.25">
      <c r="A1344" s="38" t="s">
        <v>590</v>
      </c>
      <c r="B1344" s="39" t="s">
        <v>230</v>
      </c>
      <c r="C1344" s="39" t="s">
        <v>1383</v>
      </c>
      <c r="D1344" s="40">
        <v>0.55530000000000002</v>
      </c>
      <c r="E1344" s="40">
        <v>0.54890000000000005</v>
      </c>
      <c r="F1344" s="40">
        <v>1.57</v>
      </c>
      <c r="G1344" s="41">
        <v>0.64630573248407597</v>
      </c>
      <c r="H1344" s="41">
        <v>0.65035031847133795</v>
      </c>
      <c r="I1344" s="41">
        <v>-4.0445859872613203E-3</v>
      </c>
      <c r="J1344" s="42" t="s">
        <v>532</v>
      </c>
    </row>
    <row r="1345" spans="1:12" s="43" customFormat="1" ht="15" x14ac:dyDescent="0.25">
      <c r="A1345" s="38" t="s">
        <v>633</v>
      </c>
      <c r="B1345" s="39" t="s">
        <v>230</v>
      </c>
      <c r="C1345" s="39" t="s">
        <v>1404</v>
      </c>
      <c r="D1345" s="40">
        <v>0.55530000000000002</v>
      </c>
      <c r="E1345" s="40">
        <v>0.49280000000000002</v>
      </c>
      <c r="F1345" s="40">
        <v>1.57</v>
      </c>
      <c r="G1345" s="41">
        <v>0.64630573248407597</v>
      </c>
      <c r="H1345" s="41">
        <v>0.68610403397027597</v>
      </c>
      <c r="I1345" s="41">
        <v>-3.9798301486199603E-2</v>
      </c>
      <c r="J1345" s="42" t="s">
        <v>532</v>
      </c>
    </row>
    <row r="1346" spans="1:12" s="43" customFormat="1" ht="15" x14ac:dyDescent="0.25">
      <c r="A1346" s="38" t="s">
        <v>583</v>
      </c>
      <c r="B1346" s="39" t="s">
        <v>230</v>
      </c>
      <c r="C1346" s="39" t="s">
        <v>1420</v>
      </c>
      <c r="D1346" s="40">
        <v>0.55530000000000002</v>
      </c>
      <c r="E1346" s="40">
        <v>0.53949999999999998</v>
      </c>
      <c r="F1346" s="40">
        <v>1.57</v>
      </c>
      <c r="G1346" s="41">
        <v>0.64630573248407597</v>
      </c>
      <c r="H1346" s="41">
        <v>0.65634819532908695</v>
      </c>
      <c r="I1346" s="41">
        <v>-1.0042462845010799E-2</v>
      </c>
      <c r="J1346" s="42" t="s">
        <v>532</v>
      </c>
    </row>
    <row r="1347" spans="1:12" s="43" customFormat="1" ht="15" x14ac:dyDescent="0.25">
      <c r="A1347" s="38" t="s">
        <v>542</v>
      </c>
      <c r="B1347" s="39" t="s">
        <v>230</v>
      </c>
      <c r="C1347" s="39" t="s">
        <v>1470</v>
      </c>
      <c r="D1347" s="40">
        <v>0.55530000000000002</v>
      </c>
      <c r="E1347" s="40">
        <v>0.62280000000000002</v>
      </c>
      <c r="F1347" s="40">
        <v>1.57</v>
      </c>
      <c r="G1347" s="41">
        <v>0.64630573248407597</v>
      </c>
      <c r="H1347" s="41">
        <v>0.60329087048832297</v>
      </c>
      <c r="I1347" s="41">
        <v>4.3014861995753703E-2</v>
      </c>
      <c r="J1347" s="42" t="s">
        <v>532</v>
      </c>
    </row>
    <row r="1348" spans="1:12" s="43" customFormat="1" ht="15" x14ac:dyDescent="0.25">
      <c r="A1348" s="38" t="s">
        <v>579</v>
      </c>
      <c r="B1348" s="39" t="s">
        <v>230</v>
      </c>
      <c r="C1348" s="39" t="s">
        <v>1483</v>
      </c>
      <c r="D1348" s="40">
        <v>0.55530000000000002</v>
      </c>
      <c r="E1348" s="40">
        <v>0.64959999999999996</v>
      </c>
      <c r="F1348" s="40">
        <v>1.57</v>
      </c>
      <c r="G1348" s="41">
        <v>0.64630573248407597</v>
      </c>
      <c r="H1348" s="41">
        <v>0.58625265392781301</v>
      </c>
      <c r="I1348" s="41">
        <v>6.0053078556263198E-2</v>
      </c>
      <c r="J1348" s="42" t="s">
        <v>532</v>
      </c>
    </row>
    <row r="1349" spans="1:12" s="43" customFormat="1" ht="15" x14ac:dyDescent="0.25">
      <c r="A1349" s="38" t="s">
        <v>535</v>
      </c>
      <c r="B1349" s="39" t="s">
        <v>230</v>
      </c>
      <c r="C1349" s="39" t="s">
        <v>1491</v>
      </c>
      <c r="D1349" s="40">
        <v>0.55530000000000002</v>
      </c>
      <c r="E1349" s="40">
        <v>0.60089999999999999</v>
      </c>
      <c r="F1349" s="40">
        <v>1.57</v>
      </c>
      <c r="G1349" s="41">
        <v>0.64630573248407597</v>
      </c>
      <c r="H1349" s="41">
        <v>0.61728237791932095</v>
      </c>
      <c r="I1349" s="41">
        <v>2.9023354564755799E-2</v>
      </c>
      <c r="J1349" s="42" t="s">
        <v>532</v>
      </c>
    </row>
    <row r="1350" spans="1:12" s="43" customFormat="1" ht="15" x14ac:dyDescent="0.25">
      <c r="A1350" s="38" t="s">
        <v>712</v>
      </c>
      <c r="B1350" s="39" t="s">
        <v>230</v>
      </c>
      <c r="C1350" s="39" t="s">
        <v>1496</v>
      </c>
      <c r="D1350" s="40">
        <v>0.55530000000000002</v>
      </c>
      <c r="E1350" s="40">
        <v>0.57469999999999999</v>
      </c>
      <c r="F1350" s="40">
        <v>1.57</v>
      </c>
      <c r="G1350" s="41">
        <v>0.64630573248407597</v>
      </c>
      <c r="H1350" s="41">
        <v>0.633949044585987</v>
      </c>
      <c r="I1350" s="41">
        <v>1.2356687898089099E-2</v>
      </c>
      <c r="J1350" s="42" t="s">
        <v>532</v>
      </c>
    </row>
    <row r="1351" spans="1:12" s="43" customFormat="1" ht="15" x14ac:dyDescent="0.25">
      <c r="A1351" s="38" t="s">
        <v>545</v>
      </c>
      <c r="B1351" s="39" t="s">
        <v>230</v>
      </c>
      <c r="C1351" s="39" t="s">
        <v>1572</v>
      </c>
      <c r="D1351" s="40">
        <v>0.55530000000000002</v>
      </c>
      <c r="E1351" s="40">
        <v>0.53839999999999999</v>
      </c>
      <c r="F1351" s="40">
        <v>1.57</v>
      </c>
      <c r="G1351" s="41">
        <v>0.64630573248407597</v>
      </c>
      <c r="H1351" s="41">
        <v>0.65707006369426801</v>
      </c>
      <c r="I1351" s="41">
        <v>-1.07643312101912E-2</v>
      </c>
      <c r="J1351" s="42" t="s">
        <v>532</v>
      </c>
    </row>
    <row r="1352" spans="1:12" s="43" customFormat="1" ht="15" x14ac:dyDescent="0.25">
      <c r="A1352" s="38" t="s">
        <v>648</v>
      </c>
      <c r="B1352" s="39" t="s">
        <v>230</v>
      </c>
      <c r="C1352" s="39" t="s">
        <v>1638</v>
      </c>
      <c r="D1352" s="40">
        <v>0.55530000000000002</v>
      </c>
      <c r="E1352" s="40">
        <v>0.5927</v>
      </c>
      <c r="F1352" s="40">
        <v>1.57</v>
      </c>
      <c r="G1352" s="41">
        <v>0.64630573248407597</v>
      </c>
      <c r="H1352" s="41">
        <v>0.62248407643312098</v>
      </c>
      <c r="I1352" s="41">
        <v>2.38216560509554E-2</v>
      </c>
      <c r="J1352" s="42" t="s">
        <v>532</v>
      </c>
    </row>
    <row r="1353" spans="1:12" s="43" customFormat="1" ht="15" x14ac:dyDescent="0.25">
      <c r="A1353" s="38" t="s">
        <v>651</v>
      </c>
      <c r="B1353" s="39" t="s">
        <v>230</v>
      </c>
      <c r="C1353" s="39" t="s">
        <v>1663</v>
      </c>
      <c r="D1353" s="40">
        <v>0.55530000000000002</v>
      </c>
      <c r="E1353" s="40">
        <v>0.57240000000000002</v>
      </c>
      <c r="F1353" s="40">
        <v>1.57</v>
      </c>
      <c r="G1353" s="41">
        <v>0.64630573248407597</v>
      </c>
      <c r="H1353" s="41">
        <v>0.63541401273885401</v>
      </c>
      <c r="I1353" s="41">
        <v>1.0891719745223001E-2</v>
      </c>
      <c r="J1353" s="42" t="s">
        <v>532</v>
      </c>
    </row>
    <row r="1354" spans="1:12" s="43" customFormat="1" ht="15" x14ac:dyDescent="0.25">
      <c r="A1354" s="38" t="s">
        <v>534</v>
      </c>
      <c r="B1354" s="39" t="s">
        <v>230</v>
      </c>
      <c r="C1354" s="39" t="s">
        <v>1214</v>
      </c>
      <c r="D1354" s="40">
        <v>0.55530000000000002</v>
      </c>
      <c r="E1354" s="40">
        <v>0.52300000000000002</v>
      </c>
      <c r="F1354" s="40">
        <v>1.57</v>
      </c>
      <c r="G1354" s="41">
        <v>0.64630573248407597</v>
      </c>
      <c r="H1354" s="41">
        <v>0.66687898089172004</v>
      </c>
      <c r="I1354" s="41">
        <v>-2.0573248407643401E-2</v>
      </c>
      <c r="J1354" s="42" t="s">
        <v>532</v>
      </c>
    </row>
    <row r="1355" spans="1:12" x14ac:dyDescent="0.25">
      <c r="A1355" s="44">
        <v>2018</v>
      </c>
      <c r="B1355" s="44" t="s">
        <v>230</v>
      </c>
      <c r="C1355" s="44" t="s">
        <v>1807</v>
      </c>
      <c r="D1355" s="45">
        <v>0.52664093861871086</v>
      </c>
      <c r="E1355" s="45">
        <v>0.56022157131240247</v>
      </c>
      <c r="F1355" s="45">
        <v>1.5700000000000003</v>
      </c>
      <c r="G1355" s="46">
        <v>0.66455991170782747</v>
      </c>
      <c r="H1355" s="46">
        <v>0.64316750579673365</v>
      </c>
      <c r="I1355" s="46">
        <v>2.1392405911093784E-2</v>
      </c>
      <c r="J1355" s="47" t="s">
        <v>533</v>
      </c>
      <c r="K1355" s="48"/>
      <c r="L1355" s="48"/>
    </row>
    <row r="1356" spans="1:12" s="43" customFormat="1" ht="15" x14ac:dyDescent="0.25">
      <c r="A1356" s="38" t="s">
        <v>668</v>
      </c>
      <c r="B1356" s="39" t="s">
        <v>211</v>
      </c>
      <c r="C1356" s="39" t="s">
        <v>733</v>
      </c>
      <c r="D1356" s="40">
        <v>1.4575</v>
      </c>
      <c r="E1356" s="40">
        <v>1.3720000000000001</v>
      </c>
      <c r="F1356" s="40">
        <v>3.2160000000000002</v>
      </c>
      <c r="G1356" s="41">
        <v>0.546786898839138</v>
      </c>
      <c r="H1356" s="41">
        <v>0.57338308457711396</v>
      </c>
      <c r="I1356" s="41">
        <v>-2.6596185737976698E-2</v>
      </c>
      <c r="J1356" s="42" t="s">
        <v>532</v>
      </c>
    </row>
    <row r="1357" spans="1:12" s="43" customFormat="1" ht="15" x14ac:dyDescent="0.25">
      <c r="A1357" s="38" t="s">
        <v>566</v>
      </c>
      <c r="B1357" s="39" t="s">
        <v>211</v>
      </c>
      <c r="C1357" s="39" t="s">
        <v>779</v>
      </c>
      <c r="D1357" s="40">
        <v>1.4575</v>
      </c>
      <c r="E1357" s="40">
        <v>1.3682000000000001</v>
      </c>
      <c r="F1357" s="40">
        <v>3.2160000000000002</v>
      </c>
      <c r="G1357" s="41">
        <v>0.546786898839138</v>
      </c>
      <c r="H1357" s="41">
        <v>0.57457504145937</v>
      </c>
      <c r="I1357" s="41">
        <v>-2.7788142620232201E-2</v>
      </c>
      <c r="J1357" s="42" t="s">
        <v>532</v>
      </c>
    </row>
    <row r="1358" spans="1:12" s="43" customFormat="1" ht="15" x14ac:dyDescent="0.25">
      <c r="A1358" s="38" t="s">
        <v>565</v>
      </c>
      <c r="B1358" s="39" t="s">
        <v>211</v>
      </c>
      <c r="C1358" s="39" t="s">
        <v>800</v>
      </c>
      <c r="D1358" s="40">
        <v>1.4575</v>
      </c>
      <c r="E1358" s="40">
        <v>1.3544</v>
      </c>
      <c r="F1358" s="40">
        <v>3.2160000000000002</v>
      </c>
      <c r="G1358" s="41">
        <v>0.546786898839138</v>
      </c>
      <c r="H1358" s="41">
        <v>0.57885572139303498</v>
      </c>
      <c r="I1358" s="41">
        <v>-3.2068822553897203E-2</v>
      </c>
      <c r="J1358" s="42" t="s">
        <v>532</v>
      </c>
    </row>
    <row r="1359" spans="1:12" s="43" customFormat="1" ht="15" x14ac:dyDescent="0.25">
      <c r="A1359" s="38" t="s">
        <v>680</v>
      </c>
      <c r="B1359" s="39" t="s">
        <v>211</v>
      </c>
      <c r="C1359" s="39" t="s">
        <v>957</v>
      </c>
      <c r="D1359" s="40">
        <v>1.4575</v>
      </c>
      <c r="E1359" s="40">
        <v>1.5398000000000001</v>
      </c>
      <c r="F1359" s="40">
        <v>3.2160000000000002</v>
      </c>
      <c r="G1359" s="41">
        <v>0.546786898839138</v>
      </c>
      <c r="H1359" s="41">
        <v>0.52121683250414597</v>
      </c>
      <c r="I1359" s="41">
        <v>2.55700663349917E-2</v>
      </c>
      <c r="J1359" s="42" t="s">
        <v>532</v>
      </c>
    </row>
    <row r="1360" spans="1:12" s="43" customFormat="1" ht="15" x14ac:dyDescent="0.25">
      <c r="A1360" s="38" t="s">
        <v>607</v>
      </c>
      <c r="B1360" s="39" t="s">
        <v>211</v>
      </c>
      <c r="C1360" s="39" t="s">
        <v>1037</v>
      </c>
      <c r="D1360" s="40">
        <v>1.4575</v>
      </c>
      <c r="E1360" s="40">
        <v>1.4418</v>
      </c>
      <c r="F1360" s="40">
        <v>3.2160000000000002</v>
      </c>
      <c r="G1360" s="41">
        <v>0.546786898839138</v>
      </c>
      <c r="H1360" s="41">
        <v>0.55168946932006602</v>
      </c>
      <c r="I1360" s="41">
        <v>-4.9025704809286799E-3</v>
      </c>
      <c r="J1360" s="42" t="s">
        <v>532</v>
      </c>
    </row>
    <row r="1361" spans="1:12" s="43" customFormat="1" ht="15" x14ac:dyDescent="0.25">
      <c r="A1361" s="38" t="s">
        <v>611</v>
      </c>
      <c r="B1361" s="39" t="s">
        <v>211</v>
      </c>
      <c r="C1361" s="39" t="s">
        <v>1044</v>
      </c>
      <c r="D1361" s="40">
        <v>1.4575</v>
      </c>
      <c r="E1361" s="40">
        <v>1.3254999999999999</v>
      </c>
      <c r="F1361" s="40">
        <v>3.2160000000000002</v>
      </c>
      <c r="G1361" s="41">
        <v>0.546786898839138</v>
      </c>
      <c r="H1361" s="41">
        <v>0.58784722222222197</v>
      </c>
      <c r="I1361" s="41">
        <v>-4.1060323383084497E-2</v>
      </c>
      <c r="J1361" s="42" t="s">
        <v>532</v>
      </c>
    </row>
    <row r="1362" spans="1:12" s="43" customFormat="1" ht="15" x14ac:dyDescent="0.25">
      <c r="A1362" s="38" t="s">
        <v>696</v>
      </c>
      <c r="B1362" s="39" t="s">
        <v>211</v>
      </c>
      <c r="C1362" s="39" t="s">
        <v>1184</v>
      </c>
      <c r="D1362" s="40">
        <v>1.4242999999999999</v>
      </c>
      <c r="E1362" s="40">
        <v>1.5156000000000001</v>
      </c>
      <c r="F1362" s="40">
        <v>3.2160000000000002</v>
      </c>
      <c r="G1362" s="41">
        <v>0.55711028192371503</v>
      </c>
      <c r="H1362" s="41">
        <v>0.52873134328358196</v>
      </c>
      <c r="I1362" s="41">
        <v>2.83789386401327E-2</v>
      </c>
      <c r="J1362" s="42" t="s">
        <v>532</v>
      </c>
    </row>
    <row r="1363" spans="1:12" s="43" customFormat="1" ht="15" x14ac:dyDescent="0.25">
      <c r="A1363" s="38" t="s">
        <v>697</v>
      </c>
      <c r="B1363" s="39" t="s">
        <v>211</v>
      </c>
      <c r="C1363" s="39" t="s">
        <v>1187</v>
      </c>
      <c r="D1363" s="40">
        <v>1.4242999999999999</v>
      </c>
      <c r="E1363" s="40">
        <v>1.4520999999999999</v>
      </c>
      <c r="F1363" s="40">
        <v>3.2160000000000002</v>
      </c>
      <c r="G1363" s="41">
        <v>0.55711028192371503</v>
      </c>
      <c r="H1363" s="41">
        <v>0.54847636815920398</v>
      </c>
      <c r="I1363" s="41">
        <v>8.6339137645108401E-3</v>
      </c>
      <c r="J1363" s="42" t="s">
        <v>532</v>
      </c>
    </row>
    <row r="1364" spans="1:12" s="43" customFormat="1" ht="15" x14ac:dyDescent="0.25">
      <c r="A1364" s="38" t="s">
        <v>590</v>
      </c>
      <c r="B1364" s="39" t="s">
        <v>211</v>
      </c>
      <c r="C1364" s="39" t="s">
        <v>1384</v>
      </c>
      <c r="D1364" s="40">
        <v>1.4242999999999999</v>
      </c>
      <c r="E1364" s="40">
        <v>1.4745999999999999</v>
      </c>
      <c r="F1364" s="40">
        <v>3.19</v>
      </c>
      <c r="G1364" s="41">
        <v>0.55350052246603998</v>
      </c>
      <c r="H1364" s="41">
        <v>0.53774294670846401</v>
      </c>
      <c r="I1364" s="41">
        <v>1.5757575757575699E-2</v>
      </c>
      <c r="J1364" s="42" t="s">
        <v>532</v>
      </c>
    </row>
    <row r="1365" spans="1:12" s="43" customFormat="1" ht="15" x14ac:dyDescent="0.25">
      <c r="A1365" s="38" t="s">
        <v>536</v>
      </c>
      <c r="B1365" s="39" t="s">
        <v>211</v>
      </c>
      <c r="C1365" s="39" t="s">
        <v>1390</v>
      </c>
      <c r="D1365" s="40">
        <v>1.4242999999999999</v>
      </c>
      <c r="E1365" s="40">
        <v>1.4487000000000001</v>
      </c>
      <c r="F1365" s="40">
        <v>3.19</v>
      </c>
      <c r="G1365" s="41">
        <v>0.55350052246603998</v>
      </c>
      <c r="H1365" s="41">
        <v>0.54585684430512005</v>
      </c>
      <c r="I1365" s="41">
        <v>7.6436781609195998E-3</v>
      </c>
      <c r="J1365" s="42" t="s">
        <v>532</v>
      </c>
    </row>
    <row r="1366" spans="1:12" s="43" customFormat="1" ht="15" x14ac:dyDescent="0.25">
      <c r="A1366" s="38" t="s">
        <v>651</v>
      </c>
      <c r="B1366" s="39" t="s">
        <v>211</v>
      </c>
      <c r="C1366" s="39" t="s">
        <v>1370</v>
      </c>
      <c r="D1366" s="40">
        <v>1.4242999999999999</v>
      </c>
      <c r="E1366" s="40">
        <v>1.4293</v>
      </c>
      <c r="F1366" s="40">
        <v>3.19</v>
      </c>
      <c r="G1366" s="41">
        <v>0.55350052246603998</v>
      </c>
      <c r="H1366" s="41">
        <v>0.55194357366771196</v>
      </c>
      <c r="I1366" s="41">
        <v>1.55694879832813E-3</v>
      </c>
      <c r="J1366" s="42" t="s">
        <v>532</v>
      </c>
    </row>
    <row r="1367" spans="1:12" s="43" customFormat="1" ht="15" x14ac:dyDescent="0.25">
      <c r="A1367" s="38" t="s">
        <v>653</v>
      </c>
      <c r="B1367" s="39" t="s">
        <v>211</v>
      </c>
      <c r="C1367" s="39" t="s">
        <v>1386</v>
      </c>
      <c r="D1367" s="40">
        <v>1.4242999999999999</v>
      </c>
      <c r="E1367" s="40">
        <v>1.5208999999999999</v>
      </c>
      <c r="F1367" s="40">
        <v>3.19</v>
      </c>
      <c r="G1367" s="41">
        <v>0.55350052246603998</v>
      </c>
      <c r="H1367" s="41">
        <v>0.52322884012539195</v>
      </c>
      <c r="I1367" s="41">
        <v>3.02716823406479E-2</v>
      </c>
      <c r="J1367" s="42" t="s">
        <v>532</v>
      </c>
    </row>
    <row r="1368" spans="1:12" s="43" customFormat="1" ht="15" x14ac:dyDescent="0.25">
      <c r="A1368" s="38" t="s">
        <v>534</v>
      </c>
      <c r="B1368" s="39" t="s">
        <v>211</v>
      </c>
      <c r="C1368" s="39" t="s">
        <v>1087</v>
      </c>
      <c r="D1368" s="40">
        <v>1.4242999999999999</v>
      </c>
      <c r="E1368" s="40">
        <v>1.4654</v>
      </c>
      <c r="F1368" s="40">
        <v>3.19</v>
      </c>
      <c r="G1368" s="41">
        <v>0.55350052246603998</v>
      </c>
      <c r="H1368" s="41">
        <v>0.54062695924764903</v>
      </c>
      <c r="I1368" s="41">
        <v>1.28735632183908E-2</v>
      </c>
      <c r="J1368" s="42" t="s">
        <v>532</v>
      </c>
    </row>
    <row r="1369" spans="1:12" x14ac:dyDescent="0.25">
      <c r="A1369" s="44">
        <v>2018</v>
      </c>
      <c r="B1369" s="44" t="s">
        <v>211</v>
      </c>
      <c r="C1369" s="44" t="s">
        <v>1819</v>
      </c>
      <c r="D1369" s="45">
        <v>1.4388153355183713</v>
      </c>
      <c r="E1369" s="45">
        <v>1.4343353588062793</v>
      </c>
      <c r="F1369" s="45">
        <v>3.2070219941348972</v>
      </c>
      <c r="G1369" s="46">
        <v>0.55135032842668841</v>
      </c>
      <c r="H1369" s="46">
        <v>0.55273188342473667</v>
      </c>
      <c r="I1369" s="46">
        <v>-1.3815549980482577E-3</v>
      </c>
      <c r="J1369" s="47" t="s">
        <v>533</v>
      </c>
      <c r="K1369" s="48"/>
      <c r="L1369" s="48"/>
    </row>
    <row r="1370" spans="1:12" s="43" customFormat="1" ht="15" x14ac:dyDescent="0.25">
      <c r="A1370" s="38" t="s">
        <v>557</v>
      </c>
      <c r="B1370" s="39" t="s">
        <v>212</v>
      </c>
      <c r="C1370" s="39" t="s">
        <v>765</v>
      </c>
      <c r="D1370" s="40">
        <v>1.4978</v>
      </c>
      <c r="E1370" s="40">
        <v>1.5918000000000001</v>
      </c>
      <c r="F1370" s="40">
        <v>3.5750000000000002</v>
      </c>
      <c r="G1370" s="41">
        <v>0.58103030303030301</v>
      </c>
      <c r="H1370" s="41">
        <v>0.55474125874125901</v>
      </c>
      <c r="I1370" s="41">
        <v>2.62890442890443E-2</v>
      </c>
      <c r="J1370" s="42" t="s">
        <v>532</v>
      </c>
    </row>
    <row r="1371" spans="1:12" s="43" customFormat="1" ht="15" x14ac:dyDescent="0.25">
      <c r="A1371" s="38" t="s">
        <v>670</v>
      </c>
      <c r="B1371" s="39" t="s">
        <v>212</v>
      </c>
      <c r="C1371" s="39" t="s">
        <v>769</v>
      </c>
      <c r="D1371" s="40">
        <v>1.4978</v>
      </c>
      <c r="E1371" s="40">
        <v>1.5941000000000001</v>
      </c>
      <c r="F1371" s="40">
        <v>3.5750000000000002</v>
      </c>
      <c r="G1371" s="41">
        <v>0.58103030303030301</v>
      </c>
      <c r="H1371" s="41">
        <v>0.554097902097902</v>
      </c>
      <c r="I1371" s="41">
        <v>2.6932400932400902E-2</v>
      </c>
      <c r="J1371" s="42" t="s">
        <v>532</v>
      </c>
    </row>
    <row r="1372" spans="1:12" s="43" customFormat="1" ht="15" x14ac:dyDescent="0.25">
      <c r="A1372" s="38" t="s">
        <v>676</v>
      </c>
      <c r="B1372" s="39" t="s">
        <v>212</v>
      </c>
      <c r="C1372" s="39" t="s">
        <v>923</v>
      </c>
      <c r="D1372" s="40">
        <v>1.4978</v>
      </c>
      <c r="E1372" s="40">
        <v>1.4086000000000001</v>
      </c>
      <c r="F1372" s="40">
        <v>3.5750000000000002</v>
      </c>
      <c r="G1372" s="41">
        <v>0.58103030303030301</v>
      </c>
      <c r="H1372" s="41">
        <v>0.60598135198135195</v>
      </c>
      <c r="I1372" s="41">
        <v>-2.4951048951048799E-2</v>
      </c>
      <c r="J1372" s="42" t="s">
        <v>532</v>
      </c>
    </row>
    <row r="1373" spans="1:12" s="43" customFormat="1" ht="15" x14ac:dyDescent="0.25">
      <c r="A1373" s="38" t="s">
        <v>677</v>
      </c>
      <c r="B1373" s="39" t="s">
        <v>212</v>
      </c>
      <c r="C1373" s="39" t="s">
        <v>928</v>
      </c>
      <c r="D1373" s="40">
        <v>1.4978</v>
      </c>
      <c r="E1373" s="40">
        <v>1.4438</v>
      </c>
      <c r="F1373" s="40">
        <v>3.5750000000000002</v>
      </c>
      <c r="G1373" s="41">
        <v>0.58103030303030301</v>
      </c>
      <c r="H1373" s="41">
        <v>0.59613986013985998</v>
      </c>
      <c r="I1373" s="41">
        <v>-1.51095571095571E-2</v>
      </c>
      <c r="J1373" s="42" t="s">
        <v>532</v>
      </c>
    </row>
    <row r="1374" spans="1:12" s="43" customFormat="1" ht="15" x14ac:dyDescent="0.25">
      <c r="A1374" s="38" t="s">
        <v>706</v>
      </c>
      <c r="B1374" s="39" t="s">
        <v>212</v>
      </c>
      <c r="C1374" s="39" t="s">
        <v>1308</v>
      </c>
      <c r="D1374" s="40">
        <v>1.4846999999999999</v>
      </c>
      <c r="E1374" s="40">
        <v>1.4993000000000001</v>
      </c>
      <c r="F1374" s="40">
        <v>3.5750000000000002</v>
      </c>
      <c r="G1374" s="41">
        <v>0.58471328671328704</v>
      </c>
      <c r="H1374" s="41">
        <v>0.58062004662004696</v>
      </c>
      <c r="I1374" s="41">
        <v>4.0932400932400803E-3</v>
      </c>
      <c r="J1374" s="42" t="s">
        <v>532</v>
      </c>
    </row>
    <row r="1375" spans="1:12" s="43" customFormat="1" ht="15" x14ac:dyDescent="0.25">
      <c r="A1375" s="38" t="s">
        <v>628</v>
      </c>
      <c r="B1375" s="39" t="s">
        <v>212</v>
      </c>
      <c r="C1375" s="39" t="s">
        <v>1314</v>
      </c>
      <c r="D1375" s="40">
        <v>1.4846999999999999</v>
      </c>
      <c r="E1375" s="40">
        <v>1.4355</v>
      </c>
      <c r="F1375" s="40">
        <v>3.5750000000000002</v>
      </c>
      <c r="G1375" s="41">
        <v>0.58471328671328704</v>
      </c>
      <c r="H1375" s="41">
        <v>0.59846153846153805</v>
      </c>
      <c r="I1375" s="41">
        <v>-1.37482517482517E-2</v>
      </c>
      <c r="J1375" s="42" t="s">
        <v>532</v>
      </c>
    </row>
    <row r="1376" spans="1:12" s="43" customFormat="1" ht="15" x14ac:dyDescent="0.25">
      <c r="A1376" s="38" t="s">
        <v>707</v>
      </c>
      <c r="B1376" s="39" t="s">
        <v>212</v>
      </c>
      <c r="C1376" s="39" t="s">
        <v>1318</v>
      </c>
      <c r="D1376" s="40">
        <v>1.4846999999999999</v>
      </c>
      <c r="E1376" s="40">
        <v>1.3918999999999999</v>
      </c>
      <c r="F1376" s="40">
        <v>3.5750000000000002</v>
      </c>
      <c r="G1376" s="41">
        <v>0.58471328671328704</v>
      </c>
      <c r="H1376" s="41">
        <v>0.610643356643357</v>
      </c>
      <c r="I1376" s="41">
        <v>-2.5930069930070101E-2</v>
      </c>
      <c r="J1376" s="42" t="s">
        <v>532</v>
      </c>
    </row>
    <row r="1377" spans="1:12" s="43" customFormat="1" ht="15" x14ac:dyDescent="0.25">
      <c r="A1377" s="38" t="s">
        <v>708</v>
      </c>
      <c r="B1377" s="39" t="s">
        <v>212</v>
      </c>
      <c r="C1377" s="39" t="s">
        <v>1322</v>
      </c>
      <c r="D1377" s="40">
        <v>1.4846999999999999</v>
      </c>
      <c r="E1377" s="40">
        <v>1.4676</v>
      </c>
      <c r="F1377" s="40">
        <v>3.5750000000000002</v>
      </c>
      <c r="G1377" s="41">
        <v>0.58471328671328704</v>
      </c>
      <c r="H1377" s="41">
        <v>0.58948717948717999</v>
      </c>
      <c r="I1377" s="41">
        <v>-4.7738927738927303E-3</v>
      </c>
      <c r="J1377" s="42" t="s">
        <v>532</v>
      </c>
    </row>
    <row r="1378" spans="1:12" s="43" customFormat="1" ht="15" x14ac:dyDescent="0.25">
      <c r="A1378" s="38" t="s">
        <v>543</v>
      </c>
      <c r="B1378" s="39" t="s">
        <v>212</v>
      </c>
      <c r="C1378" s="39" t="s">
        <v>1657</v>
      </c>
      <c r="D1378" s="40">
        <v>1.4846999999999999</v>
      </c>
      <c r="E1378" s="40">
        <v>1.5129999999999999</v>
      </c>
      <c r="F1378" s="40">
        <v>3.53</v>
      </c>
      <c r="G1378" s="41">
        <v>0.57941926345609096</v>
      </c>
      <c r="H1378" s="41">
        <v>0.57138810198300305</v>
      </c>
      <c r="I1378" s="41">
        <v>8.0311614730879093E-3</v>
      </c>
      <c r="J1378" s="42" t="s">
        <v>532</v>
      </c>
    </row>
    <row r="1379" spans="1:12" s="43" customFormat="1" ht="15" x14ac:dyDescent="0.25">
      <c r="A1379" s="38" t="s">
        <v>560</v>
      </c>
      <c r="B1379" s="39" t="s">
        <v>212</v>
      </c>
      <c r="C1379" s="39" t="s">
        <v>1757</v>
      </c>
      <c r="D1379" s="40">
        <v>1.4846999999999999</v>
      </c>
      <c r="E1379" s="40">
        <v>1.4359999999999999</v>
      </c>
      <c r="F1379" s="40">
        <v>3.53</v>
      </c>
      <c r="G1379" s="41">
        <v>0.57941926345609096</v>
      </c>
      <c r="H1379" s="41">
        <v>0.59320113314447598</v>
      </c>
      <c r="I1379" s="41">
        <v>-1.3781869688385099E-2</v>
      </c>
      <c r="J1379" s="42" t="s">
        <v>532</v>
      </c>
    </row>
    <row r="1380" spans="1:12" x14ac:dyDescent="0.25">
      <c r="A1380" s="44">
        <v>2018</v>
      </c>
      <c r="B1380" s="44" t="s">
        <v>212</v>
      </c>
      <c r="C1380" s="44" t="s">
        <v>1835</v>
      </c>
      <c r="D1380" s="45">
        <v>1.4903564621019585</v>
      </c>
      <c r="E1380" s="45">
        <v>1.4762995851397815</v>
      </c>
      <c r="F1380" s="45">
        <v>3.5681144416205708</v>
      </c>
      <c r="G1380" s="46">
        <v>0.58231295625639956</v>
      </c>
      <c r="H1380" s="46">
        <v>0.58625092263842493</v>
      </c>
      <c r="I1380" s="46">
        <v>-3.9379663820252814E-3</v>
      </c>
      <c r="J1380" s="47" t="s">
        <v>533</v>
      </c>
      <c r="K1380" s="48"/>
      <c r="L1380" s="48"/>
    </row>
    <row r="1381" spans="1:12" s="43" customFormat="1" ht="15" x14ac:dyDescent="0.25">
      <c r="A1381" s="38" t="s">
        <v>665</v>
      </c>
      <c r="B1381" s="39" t="s">
        <v>214</v>
      </c>
      <c r="C1381" s="39" t="s">
        <v>715</v>
      </c>
      <c r="D1381" s="40">
        <v>0.63339999999999996</v>
      </c>
      <c r="E1381" s="40">
        <v>0.76890000000000003</v>
      </c>
      <c r="F1381" s="40">
        <v>2.008</v>
      </c>
      <c r="G1381" s="41">
        <v>0.684561752988048</v>
      </c>
      <c r="H1381" s="41">
        <v>0.61710242363877799</v>
      </c>
      <c r="I1381" s="41">
        <v>6.7459329349269501E-2</v>
      </c>
      <c r="J1381" s="42" t="s">
        <v>532</v>
      </c>
    </row>
    <row r="1382" spans="1:12" s="43" customFormat="1" ht="15" x14ac:dyDescent="0.25">
      <c r="A1382" s="38" t="s">
        <v>666</v>
      </c>
      <c r="B1382" s="39" t="s">
        <v>214</v>
      </c>
      <c r="C1382" s="39" t="s">
        <v>723</v>
      </c>
      <c r="D1382" s="40">
        <v>0.63339999999999996</v>
      </c>
      <c r="E1382" s="40">
        <v>0.66379999999999995</v>
      </c>
      <c r="F1382" s="40">
        <v>2.008</v>
      </c>
      <c r="G1382" s="41">
        <v>0.684561752988048</v>
      </c>
      <c r="H1382" s="41">
        <v>0.66943891102257602</v>
      </c>
      <c r="I1382" s="41">
        <v>1.51228419654714E-2</v>
      </c>
      <c r="J1382" s="42" t="s">
        <v>532</v>
      </c>
    </row>
    <row r="1383" spans="1:12" s="43" customFormat="1" ht="15" x14ac:dyDescent="0.25">
      <c r="A1383" s="38" t="s">
        <v>546</v>
      </c>
      <c r="B1383" s="39" t="s">
        <v>214</v>
      </c>
      <c r="C1383" s="39" t="s">
        <v>740</v>
      </c>
      <c r="D1383" s="40">
        <v>0.63339999999999996</v>
      </c>
      <c r="E1383" s="40">
        <v>0.69610000000000005</v>
      </c>
      <c r="F1383" s="40">
        <v>2.008</v>
      </c>
      <c r="G1383" s="41">
        <v>0.684561752988048</v>
      </c>
      <c r="H1383" s="41">
        <v>0.65332420318725104</v>
      </c>
      <c r="I1383" s="41">
        <v>3.12375498007967E-2</v>
      </c>
      <c r="J1383" s="42" t="s">
        <v>532</v>
      </c>
    </row>
    <row r="1384" spans="1:12" s="43" customFormat="1" ht="15" x14ac:dyDescent="0.25">
      <c r="A1384" s="38" t="s">
        <v>552</v>
      </c>
      <c r="B1384" s="39" t="s">
        <v>214</v>
      </c>
      <c r="C1384" s="39" t="s">
        <v>756</v>
      </c>
      <c r="D1384" s="40">
        <v>0.63339999999999996</v>
      </c>
      <c r="E1384" s="40">
        <v>0.65</v>
      </c>
      <c r="F1384" s="40">
        <v>2.008</v>
      </c>
      <c r="G1384" s="41">
        <v>0.684561752988048</v>
      </c>
      <c r="H1384" s="41">
        <v>0.67631972111553795</v>
      </c>
      <c r="I1384" s="41">
        <v>8.2420318725099397E-3</v>
      </c>
      <c r="J1384" s="42" t="s">
        <v>532</v>
      </c>
    </row>
    <row r="1385" spans="1:12" s="43" customFormat="1" ht="15" x14ac:dyDescent="0.25">
      <c r="A1385" s="38" t="s">
        <v>672</v>
      </c>
      <c r="B1385" s="39" t="s">
        <v>214</v>
      </c>
      <c r="C1385" s="39" t="s">
        <v>810</v>
      </c>
      <c r="D1385" s="40">
        <v>0.63339999999999996</v>
      </c>
      <c r="E1385" s="40">
        <v>0.68100000000000005</v>
      </c>
      <c r="F1385" s="40">
        <v>2.008</v>
      </c>
      <c r="G1385" s="41">
        <v>0.684561752988048</v>
      </c>
      <c r="H1385" s="41">
        <v>0.66086487383798098</v>
      </c>
      <c r="I1385" s="41">
        <v>2.3696879150066401E-2</v>
      </c>
      <c r="J1385" s="42" t="s">
        <v>532</v>
      </c>
    </row>
    <row r="1386" spans="1:12" s="43" customFormat="1" ht="15" x14ac:dyDescent="0.25">
      <c r="A1386" s="38" t="s">
        <v>587</v>
      </c>
      <c r="B1386" s="39" t="s">
        <v>214</v>
      </c>
      <c r="C1386" s="39" t="s">
        <v>839</v>
      </c>
      <c r="D1386" s="40">
        <v>0.63339999999999996</v>
      </c>
      <c r="E1386" s="40">
        <v>0.67920000000000003</v>
      </c>
      <c r="F1386" s="40">
        <v>2.008</v>
      </c>
      <c r="G1386" s="41">
        <v>0.684561752988048</v>
      </c>
      <c r="H1386" s="41">
        <v>0.66175713811421</v>
      </c>
      <c r="I1386" s="41">
        <v>2.2804614873837899E-2</v>
      </c>
      <c r="J1386" s="42" t="s">
        <v>532</v>
      </c>
    </row>
    <row r="1387" spans="1:12" s="43" customFormat="1" ht="15" x14ac:dyDescent="0.25">
      <c r="A1387" s="38" t="s">
        <v>673</v>
      </c>
      <c r="B1387" s="39" t="s">
        <v>214</v>
      </c>
      <c r="C1387" s="39" t="s">
        <v>844</v>
      </c>
      <c r="D1387" s="40">
        <v>0.63339999999999996</v>
      </c>
      <c r="E1387" s="40">
        <v>0.64080000000000004</v>
      </c>
      <c r="F1387" s="40">
        <v>2.008</v>
      </c>
      <c r="G1387" s="41">
        <v>0.684561752988048</v>
      </c>
      <c r="H1387" s="41">
        <v>0.68090139442231101</v>
      </c>
      <c r="I1387" s="41">
        <v>3.6603585657370998E-3</v>
      </c>
      <c r="J1387" s="42" t="s">
        <v>532</v>
      </c>
    </row>
    <row r="1388" spans="1:12" s="43" customFormat="1" ht="15" x14ac:dyDescent="0.25">
      <c r="A1388" s="38" t="s">
        <v>609</v>
      </c>
      <c r="B1388" s="39" t="s">
        <v>214</v>
      </c>
      <c r="C1388" s="39" t="s">
        <v>1029</v>
      </c>
      <c r="D1388" s="40">
        <v>0.63339999999999996</v>
      </c>
      <c r="E1388" s="40">
        <v>0.72450000000000003</v>
      </c>
      <c r="F1388" s="40">
        <v>2.008</v>
      </c>
      <c r="G1388" s="41">
        <v>0.684561752988048</v>
      </c>
      <c r="H1388" s="41">
        <v>0.63919322709163395</v>
      </c>
      <c r="I1388" s="41">
        <v>4.5368525896414297E-2</v>
      </c>
      <c r="J1388" s="42" t="s">
        <v>532</v>
      </c>
    </row>
    <row r="1389" spans="1:12" s="43" customFormat="1" ht="15" x14ac:dyDescent="0.25">
      <c r="A1389" s="38" t="s">
        <v>537</v>
      </c>
      <c r="B1389" s="39" t="s">
        <v>214</v>
      </c>
      <c r="C1389" s="39" t="s">
        <v>1116</v>
      </c>
      <c r="D1389" s="40">
        <v>0.63339999999999996</v>
      </c>
      <c r="E1389" s="40">
        <v>0.65880000000000005</v>
      </c>
      <c r="F1389" s="40">
        <v>2.008</v>
      </c>
      <c r="G1389" s="41">
        <v>0.684561752988048</v>
      </c>
      <c r="H1389" s="41">
        <v>0.67189160026560402</v>
      </c>
      <c r="I1389" s="41">
        <v>1.2670152722443401E-2</v>
      </c>
      <c r="J1389" s="42" t="s">
        <v>532</v>
      </c>
    </row>
    <row r="1390" spans="1:12" s="43" customFormat="1" ht="15" x14ac:dyDescent="0.25">
      <c r="A1390" s="38" t="s">
        <v>689</v>
      </c>
      <c r="B1390" s="39" t="s">
        <v>214</v>
      </c>
      <c r="C1390" s="39" t="s">
        <v>1121</v>
      </c>
      <c r="D1390" s="40">
        <v>0.63339999999999996</v>
      </c>
      <c r="E1390" s="40">
        <v>0.70020000000000004</v>
      </c>
      <c r="F1390" s="40">
        <v>2.008</v>
      </c>
      <c r="G1390" s="41">
        <v>0.684561752988048</v>
      </c>
      <c r="H1390" s="41">
        <v>0.65131142098273598</v>
      </c>
      <c r="I1390" s="41">
        <v>3.3250332005312001E-2</v>
      </c>
      <c r="J1390" s="42" t="s">
        <v>532</v>
      </c>
    </row>
    <row r="1391" spans="1:12" s="43" customFormat="1" ht="15" x14ac:dyDescent="0.25">
      <c r="A1391" s="38" t="s">
        <v>690</v>
      </c>
      <c r="B1391" s="39" t="s">
        <v>214</v>
      </c>
      <c r="C1391" s="39" t="s">
        <v>1127</v>
      </c>
      <c r="D1391" s="40">
        <v>0.63339999999999996</v>
      </c>
      <c r="E1391" s="40">
        <v>0.73419999999999996</v>
      </c>
      <c r="F1391" s="40">
        <v>2.008</v>
      </c>
      <c r="G1391" s="41">
        <v>0.684561752988048</v>
      </c>
      <c r="H1391" s="41">
        <v>0.63436254980079698</v>
      </c>
      <c r="I1391" s="41">
        <v>5.01992031872509E-2</v>
      </c>
      <c r="J1391" s="42" t="s">
        <v>532</v>
      </c>
    </row>
    <row r="1392" spans="1:12" s="43" customFormat="1" ht="15" x14ac:dyDescent="0.25">
      <c r="A1392" s="38" t="s">
        <v>692</v>
      </c>
      <c r="B1392" s="39" t="s">
        <v>214</v>
      </c>
      <c r="C1392" s="39" t="s">
        <v>1145</v>
      </c>
      <c r="D1392" s="40">
        <v>0.63339999999999996</v>
      </c>
      <c r="E1392" s="40">
        <v>0.73699999999999999</v>
      </c>
      <c r="F1392" s="40">
        <v>2.008</v>
      </c>
      <c r="G1392" s="41">
        <v>0.684561752988048</v>
      </c>
      <c r="H1392" s="41">
        <v>0.63294322709163398</v>
      </c>
      <c r="I1392" s="41">
        <v>5.1618525896414198E-2</v>
      </c>
      <c r="J1392" s="42" t="s">
        <v>532</v>
      </c>
    </row>
    <row r="1393" spans="1:10" s="43" customFormat="1" ht="15" x14ac:dyDescent="0.25">
      <c r="A1393" s="38" t="s">
        <v>693</v>
      </c>
      <c r="B1393" s="39" t="s">
        <v>214</v>
      </c>
      <c r="C1393" s="39" t="s">
        <v>1150</v>
      </c>
      <c r="D1393" s="40">
        <v>0.63339999999999996</v>
      </c>
      <c r="E1393" s="40">
        <v>0.73060000000000003</v>
      </c>
      <c r="F1393" s="40">
        <v>2.008</v>
      </c>
      <c r="G1393" s="41">
        <v>0.684561752988048</v>
      </c>
      <c r="H1393" s="41">
        <v>0.63613877822045195</v>
      </c>
      <c r="I1393" s="41">
        <v>4.84229747675963E-2</v>
      </c>
      <c r="J1393" s="42" t="s">
        <v>532</v>
      </c>
    </row>
    <row r="1394" spans="1:10" s="43" customFormat="1" ht="15" x14ac:dyDescent="0.25">
      <c r="A1394" s="38" t="s">
        <v>626</v>
      </c>
      <c r="B1394" s="39" t="s">
        <v>214</v>
      </c>
      <c r="C1394" s="39" t="s">
        <v>1203</v>
      </c>
      <c r="D1394" s="40">
        <v>0.72150000000000003</v>
      </c>
      <c r="E1394" s="40">
        <v>0.79530000000000001</v>
      </c>
      <c r="F1394" s="40">
        <v>2.008</v>
      </c>
      <c r="G1394" s="41">
        <v>0.64070800132802097</v>
      </c>
      <c r="H1394" s="41">
        <v>0.60394671314741</v>
      </c>
      <c r="I1394" s="41">
        <v>3.6761288180611001E-2</v>
      </c>
      <c r="J1394" s="42" t="s">
        <v>532</v>
      </c>
    </row>
    <row r="1395" spans="1:10" s="43" customFormat="1" ht="15" x14ac:dyDescent="0.25">
      <c r="A1395" s="38" t="s">
        <v>698</v>
      </c>
      <c r="B1395" s="39" t="s">
        <v>214</v>
      </c>
      <c r="C1395" s="39" t="s">
        <v>1209</v>
      </c>
      <c r="D1395" s="40">
        <v>0.72150000000000003</v>
      </c>
      <c r="E1395" s="40">
        <v>0.79549999999999998</v>
      </c>
      <c r="F1395" s="40">
        <v>2.008</v>
      </c>
      <c r="G1395" s="41">
        <v>0.64070800132802097</v>
      </c>
      <c r="H1395" s="41">
        <v>0.60383881142098295</v>
      </c>
      <c r="I1395" s="41">
        <v>3.6869189907038399E-2</v>
      </c>
      <c r="J1395" s="42" t="s">
        <v>532</v>
      </c>
    </row>
    <row r="1396" spans="1:10" s="43" customFormat="1" ht="15" x14ac:dyDescent="0.25">
      <c r="A1396" s="38" t="s">
        <v>553</v>
      </c>
      <c r="B1396" s="39" t="s">
        <v>214</v>
      </c>
      <c r="C1396" s="39" t="s">
        <v>1286</v>
      </c>
      <c r="D1396" s="40">
        <v>0.63800000000000001</v>
      </c>
      <c r="E1396" s="40">
        <v>0.74180000000000001</v>
      </c>
      <c r="F1396" s="40">
        <v>2.008</v>
      </c>
      <c r="G1396" s="41">
        <v>0.68227091633466097</v>
      </c>
      <c r="H1396" s="41">
        <v>0.63056938911022598</v>
      </c>
      <c r="I1396" s="41">
        <v>5.1701527224435703E-2</v>
      </c>
      <c r="J1396" s="42" t="s">
        <v>532</v>
      </c>
    </row>
    <row r="1397" spans="1:10" s="43" customFormat="1" ht="15" x14ac:dyDescent="0.25">
      <c r="A1397" s="38" t="s">
        <v>707</v>
      </c>
      <c r="B1397" s="39" t="s">
        <v>214</v>
      </c>
      <c r="C1397" s="39" t="s">
        <v>1075</v>
      </c>
      <c r="D1397" s="40">
        <v>0.72150000000000003</v>
      </c>
      <c r="E1397" s="40">
        <v>0.69610000000000005</v>
      </c>
      <c r="F1397" s="40">
        <v>2.008</v>
      </c>
      <c r="G1397" s="41">
        <v>0.64070800132802097</v>
      </c>
      <c r="H1397" s="41">
        <v>0.65334080345285495</v>
      </c>
      <c r="I1397" s="41">
        <v>-1.2632802124833999E-2</v>
      </c>
      <c r="J1397" s="42" t="s">
        <v>532</v>
      </c>
    </row>
    <row r="1398" spans="1:10" s="43" customFormat="1" ht="15" x14ac:dyDescent="0.25">
      <c r="A1398" s="38" t="s">
        <v>708</v>
      </c>
      <c r="B1398" s="39" t="s">
        <v>214</v>
      </c>
      <c r="C1398" s="39" t="s">
        <v>1196</v>
      </c>
      <c r="D1398" s="40">
        <v>0.72150000000000003</v>
      </c>
      <c r="E1398" s="40">
        <v>0.74139999999999995</v>
      </c>
      <c r="F1398" s="40">
        <v>2.008</v>
      </c>
      <c r="G1398" s="41">
        <v>0.64070800132802097</v>
      </c>
      <c r="H1398" s="41">
        <v>0.63078934262948205</v>
      </c>
      <c r="I1398" s="41">
        <v>9.9186586985391401E-3</v>
      </c>
      <c r="J1398" s="42" t="s">
        <v>532</v>
      </c>
    </row>
    <row r="1399" spans="1:10" s="43" customFormat="1" ht="15" x14ac:dyDescent="0.25">
      <c r="A1399" s="38" t="s">
        <v>568</v>
      </c>
      <c r="B1399" s="39" t="s">
        <v>214</v>
      </c>
      <c r="C1399" s="39" t="s">
        <v>1327</v>
      </c>
      <c r="D1399" s="40">
        <v>0.72150000000000003</v>
      </c>
      <c r="E1399" s="40">
        <v>0.7339</v>
      </c>
      <c r="F1399" s="40">
        <v>2.008</v>
      </c>
      <c r="G1399" s="41">
        <v>0.64070800132802097</v>
      </c>
      <c r="H1399" s="41">
        <v>0.63448705179282905</v>
      </c>
      <c r="I1399" s="41">
        <v>6.2209495351925898E-3</v>
      </c>
      <c r="J1399" s="42" t="s">
        <v>532</v>
      </c>
    </row>
    <row r="1400" spans="1:10" s="43" customFormat="1" ht="15" x14ac:dyDescent="0.25">
      <c r="A1400" s="38" t="s">
        <v>709</v>
      </c>
      <c r="B1400" s="39" t="s">
        <v>214</v>
      </c>
      <c r="C1400" s="39" t="s">
        <v>1332</v>
      </c>
      <c r="D1400" s="40">
        <v>0.72150000000000003</v>
      </c>
      <c r="E1400" s="40">
        <v>0.73080000000000001</v>
      </c>
      <c r="F1400" s="40">
        <v>2.008</v>
      </c>
      <c r="G1400" s="41">
        <v>0.64070800132802097</v>
      </c>
      <c r="H1400" s="41">
        <v>0.63603917662682596</v>
      </c>
      <c r="I1400" s="41">
        <v>4.6688247011952297E-3</v>
      </c>
      <c r="J1400" s="39" t="s">
        <v>532</v>
      </c>
    </row>
    <row r="1401" spans="1:10" s="43" customFormat="1" ht="15" x14ac:dyDescent="0.25">
      <c r="A1401" s="38" t="s">
        <v>573</v>
      </c>
      <c r="B1401" s="39" t="s">
        <v>214</v>
      </c>
      <c r="C1401" s="39" t="s">
        <v>1337</v>
      </c>
      <c r="D1401" s="40">
        <v>0.72150000000000003</v>
      </c>
      <c r="E1401" s="40">
        <v>0.77890000000000004</v>
      </c>
      <c r="F1401" s="40">
        <v>2.008</v>
      </c>
      <c r="G1401" s="41">
        <v>0.64070800132802097</v>
      </c>
      <c r="H1401" s="41">
        <v>0.612118193891102</v>
      </c>
      <c r="I1401" s="41">
        <v>2.8589807436918899E-2</v>
      </c>
      <c r="J1401" s="42" t="s">
        <v>532</v>
      </c>
    </row>
    <row r="1402" spans="1:10" s="43" customFormat="1" ht="15" x14ac:dyDescent="0.25">
      <c r="A1402" s="38" t="s">
        <v>710</v>
      </c>
      <c r="B1402" s="39" t="s">
        <v>214</v>
      </c>
      <c r="C1402" s="39" t="s">
        <v>1342</v>
      </c>
      <c r="D1402" s="40">
        <v>0.72150000000000003</v>
      </c>
      <c r="E1402" s="40">
        <v>0.80700000000000005</v>
      </c>
      <c r="F1402" s="40">
        <v>2.008</v>
      </c>
      <c r="G1402" s="41">
        <v>0.64070800132802097</v>
      </c>
      <c r="H1402" s="41">
        <v>0.59808681938911001</v>
      </c>
      <c r="I1402" s="41">
        <v>4.2621181938910999E-2</v>
      </c>
      <c r="J1402" s="42" t="s">
        <v>532</v>
      </c>
    </row>
    <row r="1403" spans="1:10" s="43" customFormat="1" ht="15" x14ac:dyDescent="0.25">
      <c r="A1403" s="38" t="s">
        <v>577</v>
      </c>
      <c r="B1403" s="39" t="s">
        <v>214</v>
      </c>
      <c r="C1403" s="39" t="s">
        <v>1346</v>
      </c>
      <c r="D1403" s="40">
        <v>0.63339999999999996</v>
      </c>
      <c r="E1403" s="40">
        <v>0.86480000000000001</v>
      </c>
      <c r="F1403" s="40">
        <v>1.8759999999999999</v>
      </c>
      <c r="G1403" s="41">
        <v>0.66236673773987198</v>
      </c>
      <c r="H1403" s="41">
        <v>0.53902807391613405</v>
      </c>
      <c r="I1403" s="41">
        <v>0.12333866382373899</v>
      </c>
      <c r="J1403" s="42" t="s">
        <v>532</v>
      </c>
    </row>
    <row r="1404" spans="1:10" s="43" customFormat="1" ht="15" x14ac:dyDescent="0.25">
      <c r="A1404" s="38" t="s">
        <v>606</v>
      </c>
      <c r="B1404" s="39" t="s">
        <v>214</v>
      </c>
      <c r="C1404" s="39" t="s">
        <v>1351</v>
      </c>
      <c r="D1404" s="40">
        <v>0.63339999999999996</v>
      </c>
      <c r="E1404" s="40">
        <v>0.7964</v>
      </c>
      <c r="F1404" s="40">
        <v>1.8759999999999999</v>
      </c>
      <c r="G1404" s="41">
        <v>0.66236673773987198</v>
      </c>
      <c r="H1404" s="41">
        <v>0.57549307036247399</v>
      </c>
      <c r="I1404" s="41">
        <v>8.68736673773986E-2</v>
      </c>
      <c r="J1404" s="42" t="s">
        <v>532</v>
      </c>
    </row>
    <row r="1405" spans="1:10" s="43" customFormat="1" ht="15" x14ac:dyDescent="0.25">
      <c r="A1405" s="38" t="s">
        <v>567</v>
      </c>
      <c r="B1405" s="39" t="s">
        <v>214</v>
      </c>
      <c r="C1405" s="39" t="s">
        <v>1358</v>
      </c>
      <c r="D1405" s="40">
        <v>0.63339999999999996</v>
      </c>
      <c r="E1405" s="40">
        <v>0.76770000000000005</v>
      </c>
      <c r="F1405" s="40">
        <v>1.8759999999999999</v>
      </c>
      <c r="G1405" s="41">
        <v>0.66236673773987198</v>
      </c>
      <c r="H1405" s="41">
        <v>0.59077380952380998</v>
      </c>
      <c r="I1405" s="41">
        <v>7.1592928216062598E-2</v>
      </c>
      <c r="J1405" s="42" t="s">
        <v>532</v>
      </c>
    </row>
    <row r="1406" spans="1:10" s="43" customFormat="1" ht="15" x14ac:dyDescent="0.25">
      <c r="A1406" s="38" t="s">
        <v>582</v>
      </c>
      <c r="B1406" s="39" t="s">
        <v>214</v>
      </c>
      <c r="C1406" s="39" t="s">
        <v>1363</v>
      </c>
      <c r="D1406" s="40">
        <v>0.72150000000000003</v>
      </c>
      <c r="E1406" s="40">
        <v>0.74509999999999998</v>
      </c>
      <c r="F1406" s="40">
        <v>1.8759999999999999</v>
      </c>
      <c r="G1406" s="41">
        <v>0.61542732764747698</v>
      </c>
      <c r="H1406" s="41">
        <v>0.60281627576403696</v>
      </c>
      <c r="I1406" s="41">
        <v>1.26110518834398E-2</v>
      </c>
      <c r="J1406" s="42" t="s">
        <v>532</v>
      </c>
    </row>
    <row r="1407" spans="1:10" s="43" customFormat="1" ht="15" x14ac:dyDescent="0.25">
      <c r="A1407" s="38" t="s">
        <v>604</v>
      </c>
      <c r="B1407" s="39" t="s">
        <v>214</v>
      </c>
      <c r="C1407" s="39" t="s">
        <v>1367</v>
      </c>
      <c r="D1407" s="40">
        <v>0.72150000000000003</v>
      </c>
      <c r="E1407" s="40">
        <v>0.83160000000000001</v>
      </c>
      <c r="F1407" s="40">
        <v>1.8759999999999999</v>
      </c>
      <c r="G1407" s="41">
        <v>0.61542732764747698</v>
      </c>
      <c r="H1407" s="41">
        <v>0.55668976545842197</v>
      </c>
      <c r="I1407" s="41">
        <v>5.8737562189054501E-2</v>
      </c>
      <c r="J1407" s="42" t="s">
        <v>532</v>
      </c>
    </row>
    <row r="1408" spans="1:10" s="43" customFormat="1" ht="15" x14ac:dyDescent="0.25">
      <c r="A1408" s="38" t="s">
        <v>539</v>
      </c>
      <c r="B1408" s="39" t="s">
        <v>214</v>
      </c>
      <c r="C1408" s="39" t="s">
        <v>1375</v>
      </c>
      <c r="D1408" s="40">
        <v>0.72150000000000003</v>
      </c>
      <c r="E1408" s="40">
        <v>0.69979999999999998</v>
      </c>
      <c r="F1408" s="40">
        <v>1.8759999999999999</v>
      </c>
      <c r="G1408" s="41">
        <v>0.61542732764747698</v>
      </c>
      <c r="H1408" s="41">
        <v>0.62697672352523104</v>
      </c>
      <c r="I1408" s="41">
        <v>-1.15493958777543E-2</v>
      </c>
      <c r="J1408" s="42" t="s">
        <v>532</v>
      </c>
    </row>
    <row r="1409" spans="1:12" s="43" customFormat="1" ht="15" x14ac:dyDescent="0.25">
      <c r="A1409" s="38" t="s">
        <v>556</v>
      </c>
      <c r="B1409" s="39" t="s">
        <v>214</v>
      </c>
      <c r="C1409" s="39" t="s">
        <v>1380</v>
      </c>
      <c r="D1409" s="40">
        <v>0.72150000000000003</v>
      </c>
      <c r="E1409" s="40">
        <v>0.79659999999999997</v>
      </c>
      <c r="F1409" s="40">
        <v>1.8759999999999999</v>
      </c>
      <c r="G1409" s="41">
        <v>0.61542732764747698</v>
      </c>
      <c r="H1409" s="41">
        <v>0.57539090262970904</v>
      </c>
      <c r="I1409" s="41">
        <v>4.0036425017768197E-2</v>
      </c>
      <c r="J1409" s="42" t="s">
        <v>532</v>
      </c>
    </row>
    <row r="1410" spans="1:12" s="43" customFormat="1" ht="15" x14ac:dyDescent="0.25">
      <c r="A1410" s="38" t="s">
        <v>590</v>
      </c>
      <c r="B1410" s="39" t="s">
        <v>214</v>
      </c>
      <c r="C1410" s="39" t="s">
        <v>1385</v>
      </c>
      <c r="D1410" s="40">
        <v>0.72150000000000003</v>
      </c>
      <c r="E1410" s="40">
        <v>0.74450000000000005</v>
      </c>
      <c r="F1410" s="40">
        <v>1.8759999999999999</v>
      </c>
      <c r="G1410" s="41">
        <v>0.61542732764747698</v>
      </c>
      <c r="H1410" s="41">
        <v>0.60312277896233102</v>
      </c>
      <c r="I1410" s="41">
        <v>1.23045486851456E-2</v>
      </c>
      <c r="J1410" s="42" t="s">
        <v>532</v>
      </c>
    </row>
    <row r="1411" spans="1:12" s="43" customFormat="1" ht="15" x14ac:dyDescent="0.25">
      <c r="A1411" s="38" t="s">
        <v>536</v>
      </c>
      <c r="B1411" s="39" t="s">
        <v>214</v>
      </c>
      <c r="C1411" s="39" t="s">
        <v>1391</v>
      </c>
      <c r="D1411" s="40">
        <v>0.72150000000000003</v>
      </c>
      <c r="E1411" s="40">
        <v>0.77259999999999995</v>
      </c>
      <c r="F1411" s="40">
        <v>1.8759999999999999</v>
      </c>
      <c r="G1411" s="41">
        <v>0.61542732764747698</v>
      </c>
      <c r="H1411" s="41">
        <v>0.58814854299928898</v>
      </c>
      <c r="I1411" s="41">
        <v>2.72787846481874E-2</v>
      </c>
      <c r="J1411" s="42" t="s">
        <v>532</v>
      </c>
    </row>
    <row r="1412" spans="1:12" x14ac:dyDescent="0.25">
      <c r="A1412" s="44">
        <v>2018</v>
      </c>
      <c r="B1412" s="44" t="s">
        <v>214</v>
      </c>
      <c r="C1412" s="44" t="s">
        <v>1809</v>
      </c>
      <c r="D1412" s="45">
        <v>0.67163692567771549</v>
      </c>
      <c r="E1412" s="45">
        <v>0.73512887560627094</v>
      </c>
      <c r="F1412" s="45">
        <v>1.9687843989615408</v>
      </c>
      <c r="G1412" s="46">
        <v>0.65832747779282508</v>
      </c>
      <c r="H1412" s="46">
        <v>0.62578265971452451</v>
      </c>
      <c r="I1412" s="46">
        <v>3.2544818078300668E-2</v>
      </c>
      <c r="J1412" s="47" t="s">
        <v>533</v>
      </c>
      <c r="K1412" s="48"/>
      <c r="L1412" s="48"/>
    </row>
    <row r="1413" spans="1:12" s="43" customFormat="1" ht="15" x14ac:dyDescent="0.25">
      <c r="A1413" s="38" t="s">
        <v>664</v>
      </c>
      <c r="B1413" s="39" t="s">
        <v>440</v>
      </c>
      <c r="C1413" s="39" t="s">
        <v>714</v>
      </c>
      <c r="D1413" s="40">
        <v>0.5877</v>
      </c>
      <c r="E1413" s="40">
        <v>0.61970000000000003</v>
      </c>
      <c r="F1413" s="40">
        <v>1.4850000000000001</v>
      </c>
      <c r="G1413" s="41">
        <v>0.604228956228956</v>
      </c>
      <c r="H1413" s="41">
        <v>0.58269360269360304</v>
      </c>
      <c r="I1413" s="41">
        <v>2.1535353535353501E-2</v>
      </c>
      <c r="J1413" s="42" t="s">
        <v>532</v>
      </c>
    </row>
    <row r="1414" spans="1:12" s="43" customFormat="1" ht="15" x14ac:dyDescent="0.25">
      <c r="A1414" s="38" t="s">
        <v>665</v>
      </c>
      <c r="B1414" s="39" t="s">
        <v>440</v>
      </c>
      <c r="C1414" s="39" t="s">
        <v>716</v>
      </c>
      <c r="D1414" s="40">
        <v>0.5877</v>
      </c>
      <c r="E1414" s="40">
        <v>0.58809999999999996</v>
      </c>
      <c r="F1414" s="40">
        <v>1.4850000000000001</v>
      </c>
      <c r="G1414" s="41">
        <v>0.604228956228956</v>
      </c>
      <c r="H1414" s="41">
        <v>0.60397306397306405</v>
      </c>
      <c r="I1414" s="41">
        <v>2.5589225589217602E-4</v>
      </c>
      <c r="J1414" s="42" t="s">
        <v>532</v>
      </c>
    </row>
    <row r="1415" spans="1:12" s="43" customFormat="1" ht="15" x14ac:dyDescent="0.25">
      <c r="A1415" s="38" t="s">
        <v>666</v>
      </c>
      <c r="B1415" s="39" t="s">
        <v>440</v>
      </c>
      <c r="C1415" s="39" t="s">
        <v>724</v>
      </c>
      <c r="D1415" s="40">
        <v>0.5877</v>
      </c>
      <c r="E1415" s="40">
        <v>0.57179999999999997</v>
      </c>
      <c r="F1415" s="40">
        <v>1.4850000000000001</v>
      </c>
      <c r="G1415" s="41">
        <v>0.604228956228956</v>
      </c>
      <c r="H1415" s="41">
        <v>0.61494949494949502</v>
      </c>
      <c r="I1415" s="41">
        <v>-1.07205387205388E-2</v>
      </c>
      <c r="J1415" s="42" t="s">
        <v>532</v>
      </c>
    </row>
    <row r="1416" spans="1:12" s="43" customFormat="1" ht="15" x14ac:dyDescent="0.25">
      <c r="A1416" s="38" t="s">
        <v>667</v>
      </c>
      <c r="B1416" s="39" t="s">
        <v>440</v>
      </c>
      <c r="C1416" s="39" t="s">
        <v>731</v>
      </c>
      <c r="D1416" s="40">
        <v>0.5877</v>
      </c>
      <c r="E1416" s="40">
        <v>0.55220000000000002</v>
      </c>
      <c r="F1416" s="40">
        <v>1.4850000000000001</v>
      </c>
      <c r="G1416" s="41">
        <v>0.604228956228956</v>
      </c>
      <c r="H1416" s="41">
        <v>0.62814814814814801</v>
      </c>
      <c r="I1416" s="41">
        <v>-2.3919191919191899E-2</v>
      </c>
      <c r="J1416" s="42" t="s">
        <v>532</v>
      </c>
    </row>
    <row r="1417" spans="1:12" s="43" customFormat="1" ht="15" x14ac:dyDescent="0.25">
      <c r="A1417" s="38" t="s">
        <v>668</v>
      </c>
      <c r="B1417" s="39" t="s">
        <v>440</v>
      </c>
      <c r="C1417" s="39" t="s">
        <v>734</v>
      </c>
      <c r="D1417" s="40">
        <v>0.5877</v>
      </c>
      <c r="E1417" s="40">
        <v>0.67149999999999999</v>
      </c>
      <c r="F1417" s="40">
        <v>1.4850000000000001</v>
      </c>
      <c r="G1417" s="41">
        <v>0.604228956228956</v>
      </c>
      <c r="H1417" s="41">
        <v>0.54781144781144797</v>
      </c>
      <c r="I1417" s="41">
        <v>5.6417508417508401E-2</v>
      </c>
      <c r="J1417" s="42" t="s">
        <v>532</v>
      </c>
    </row>
    <row r="1418" spans="1:12" s="43" customFormat="1" ht="15" x14ac:dyDescent="0.25">
      <c r="A1418" s="38" t="s">
        <v>546</v>
      </c>
      <c r="B1418" s="39" t="s">
        <v>440</v>
      </c>
      <c r="C1418" s="39" t="s">
        <v>741</v>
      </c>
      <c r="D1418" s="40">
        <v>0.5877</v>
      </c>
      <c r="E1418" s="40">
        <v>0.63549999999999995</v>
      </c>
      <c r="F1418" s="40">
        <v>1.4850000000000001</v>
      </c>
      <c r="G1418" s="41">
        <v>0.604228956228956</v>
      </c>
      <c r="H1418" s="41">
        <v>0.57205387205387204</v>
      </c>
      <c r="I1418" s="41">
        <v>3.21750841750841E-2</v>
      </c>
      <c r="J1418" s="42" t="s">
        <v>532</v>
      </c>
    </row>
    <row r="1419" spans="1:12" s="43" customFormat="1" ht="15" x14ac:dyDescent="0.25">
      <c r="A1419" s="38" t="s">
        <v>669</v>
      </c>
      <c r="B1419" s="39" t="s">
        <v>440</v>
      </c>
      <c r="C1419" s="39" t="s">
        <v>748</v>
      </c>
      <c r="D1419" s="40">
        <v>0.5877</v>
      </c>
      <c r="E1419" s="40">
        <v>0.56279999999999997</v>
      </c>
      <c r="F1419" s="40">
        <v>1.4850000000000001</v>
      </c>
      <c r="G1419" s="41">
        <v>0.604228956228956</v>
      </c>
      <c r="H1419" s="41">
        <v>0.62101010101010101</v>
      </c>
      <c r="I1419" s="41">
        <v>-1.6781144781144799E-2</v>
      </c>
      <c r="J1419" s="42" t="s">
        <v>532</v>
      </c>
    </row>
    <row r="1420" spans="1:12" s="43" customFormat="1" ht="15" x14ac:dyDescent="0.25">
      <c r="A1420" s="38" t="s">
        <v>587</v>
      </c>
      <c r="B1420" s="39" t="s">
        <v>440</v>
      </c>
      <c r="C1420" s="39" t="s">
        <v>840</v>
      </c>
      <c r="D1420" s="40">
        <v>0.5877</v>
      </c>
      <c r="E1420" s="40">
        <v>0.6905</v>
      </c>
      <c r="F1420" s="40">
        <v>1.4850000000000001</v>
      </c>
      <c r="G1420" s="41">
        <v>0.604228956228956</v>
      </c>
      <c r="H1420" s="41">
        <v>0.53501683501683495</v>
      </c>
      <c r="I1420" s="41">
        <v>6.9212121212121197E-2</v>
      </c>
      <c r="J1420" s="42" t="s">
        <v>532</v>
      </c>
    </row>
    <row r="1421" spans="1:12" s="43" customFormat="1" ht="15" x14ac:dyDescent="0.25">
      <c r="A1421" s="38" t="s">
        <v>673</v>
      </c>
      <c r="B1421" s="39" t="s">
        <v>440</v>
      </c>
      <c r="C1421" s="39" t="s">
        <v>845</v>
      </c>
      <c r="D1421" s="40">
        <v>0.5877</v>
      </c>
      <c r="E1421" s="40">
        <v>0.59089999999999998</v>
      </c>
      <c r="F1421" s="40">
        <v>1.4850000000000001</v>
      </c>
      <c r="G1421" s="41">
        <v>0.604228956228956</v>
      </c>
      <c r="H1421" s="41">
        <v>0.602087542087542</v>
      </c>
      <c r="I1421" s="41">
        <v>2.1414141414141099E-3</v>
      </c>
      <c r="J1421" s="42" t="s">
        <v>532</v>
      </c>
    </row>
    <row r="1422" spans="1:12" s="43" customFormat="1" ht="15" x14ac:dyDescent="0.25">
      <c r="A1422" s="38" t="s">
        <v>591</v>
      </c>
      <c r="B1422" s="39" t="s">
        <v>440</v>
      </c>
      <c r="C1422" s="39" t="s">
        <v>896</v>
      </c>
      <c r="D1422" s="40">
        <v>0.5877</v>
      </c>
      <c r="E1422" s="40">
        <v>0.61619999999999997</v>
      </c>
      <c r="F1422" s="40">
        <v>1.4850000000000001</v>
      </c>
      <c r="G1422" s="41">
        <v>0.604228956228956</v>
      </c>
      <c r="H1422" s="41">
        <v>0.58505050505050504</v>
      </c>
      <c r="I1422" s="41">
        <v>1.9178451178451201E-2</v>
      </c>
      <c r="J1422" s="42" t="s">
        <v>532</v>
      </c>
    </row>
    <row r="1423" spans="1:12" s="43" customFormat="1" ht="15" x14ac:dyDescent="0.25">
      <c r="A1423" s="38" t="s">
        <v>601</v>
      </c>
      <c r="B1423" s="39" t="s">
        <v>440</v>
      </c>
      <c r="C1423" s="39" t="s">
        <v>901</v>
      </c>
      <c r="D1423" s="40">
        <v>0.5877</v>
      </c>
      <c r="E1423" s="40">
        <v>0.64980000000000004</v>
      </c>
      <c r="F1423" s="40">
        <v>1.4850000000000001</v>
      </c>
      <c r="G1423" s="41">
        <v>0.604228956228956</v>
      </c>
      <c r="H1423" s="41">
        <v>0.56242424242424205</v>
      </c>
      <c r="I1423" s="41">
        <v>4.1804713804713803E-2</v>
      </c>
      <c r="J1423" s="42" t="s">
        <v>532</v>
      </c>
    </row>
    <row r="1424" spans="1:12" s="43" customFormat="1" ht="15" x14ac:dyDescent="0.25">
      <c r="A1424" s="38" t="s">
        <v>602</v>
      </c>
      <c r="B1424" s="39" t="s">
        <v>440</v>
      </c>
      <c r="C1424" s="39" t="s">
        <v>911</v>
      </c>
      <c r="D1424" s="40">
        <v>0.5877</v>
      </c>
      <c r="E1424" s="40">
        <v>0.5897</v>
      </c>
      <c r="F1424" s="40">
        <v>1.4850000000000001</v>
      </c>
      <c r="G1424" s="41">
        <v>0.604228956228956</v>
      </c>
      <c r="H1424" s="41">
        <v>0.60289562289562304</v>
      </c>
      <c r="I1424" s="41">
        <v>1.3333333333332999E-3</v>
      </c>
      <c r="J1424" s="42" t="s">
        <v>532</v>
      </c>
    </row>
    <row r="1425" spans="1:10" s="43" customFormat="1" ht="15" x14ac:dyDescent="0.25">
      <c r="A1425" s="38" t="s">
        <v>680</v>
      </c>
      <c r="B1425" s="39" t="s">
        <v>440</v>
      </c>
      <c r="C1425" s="39" t="s">
        <v>958</v>
      </c>
      <c r="D1425" s="40">
        <v>0.5877</v>
      </c>
      <c r="E1425" s="40">
        <v>0.57809999999999995</v>
      </c>
      <c r="F1425" s="40">
        <v>1.4850000000000001</v>
      </c>
      <c r="G1425" s="41">
        <v>0.604228956228956</v>
      </c>
      <c r="H1425" s="41">
        <v>0.61070707070707098</v>
      </c>
      <c r="I1425" s="41">
        <v>-6.4781144781145298E-3</v>
      </c>
      <c r="J1425" s="42" t="s">
        <v>532</v>
      </c>
    </row>
    <row r="1426" spans="1:10" s="43" customFormat="1" ht="15" x14ac:dyDescent="0.25">
      <c r="A1426" s="38" t="s">
        <v>596</v>
      </c>
      <c r="B1426" s="39" t="s">
        <v>440</v>
      </c>
      <c r="C1426" s="39" t="s">
        <v>1020</v>
      </c>
      <c r="D1426" s="40">
        <v>0.5877</v>
      </c>
      <c r="E1426" s="40">
        <v>0.59970000000000001</v>
      </c>
      <c r="F1426" s="40">
        <v>1.4850000000000001</v>
      </c>
      <c r="G1426" s="41">
        <v>0.604228956228956</v>
      </c>
      <c r="H1426" s="41">
        <v>0.596161616161616</v>
      </c>
      <c r="I1426" s="41">
        <v>8.0673400673400009E-3</v>
      </c>
      <c r="J1426" s="39" t="s">
        <v>532</v>
      </c>
    </row>
    <row r="1427" spans="1:10" s="43" customFormat="1" ht="15" x14ac:dyDescent="0.25">
      <c r="A1427" s="38" t="s">
        <v>609</v>
      </c>
      <c r="B1427" s="39" t="s">
        <v>440</v>
      </c>
      <c r="C1427" s="39" t="s">
        <v>1030</v>
      </c>
      <c r="D1427" s="40">
        <v>0.5877</v>
      </c>
      <c r="E1427" s="40">
        <v>0.6018</v>
      </c>
      <c r="F1427" s="40">
        <v>1.4850000000000001</v>
      </c>
      <c r="G1427" s="41">
        <v>0.604228956228956</v>
      </c>
      <c r="H1427" s="41">
        <v>0.59474747474747502</v>
      </c>
      <c r="I1427" s="41">
        <v>9.4814814814814206E-3</v>
      </c>
      <c r="J1427" s="42" t="s">
        <v>532</v>
      </c>
    </row>
    <row r="1428" spans="1:10" s="43" customFormat="1" ht="15" x14ac:dyDescent="0.25">
      <c r="A1428" s="38" t="s">
        <v>687</v>
      </c>
      <c r="B1428" s="39" t="s">
        <v>440</v>
      </c>
      <c r="C1428" s="39" t="s">
        <v>1107</v>
      </c>
      <c r="D1428" s="40">
        <v>0.5877</v>
      </c>
      <c r="E1428" s="40">
        <v>0.55189999999999995</v>
      </c>
      <c r="F1428" s="40">
        <v>1.4850000000000001</v>
      </c>
      <c r="G1428" s="41">
        <v>0.604228956228956</v>
      </c>
      <c r="H1428" s="41">
        <v>0.62835016835016799</v>
      </c>
      <c r="I1428" s="41">
        <v>-2.41212121212122E-2</v>
      </c>
      <c r="J1428" s="42" t="s">
        <v>532</v>
      </c>
    </row>
    <row r="1429" spans="1:10" s="43" customFormat="1" ht="15" x14ac:dyDescent="0.25">
      <c r="A1429" s="38" t="s">
        <v>688</v>
      </c>
      <c r="B1429" s="39" t="s">
        <v>440</v>
      </c>
      <c r="C1429" s="39" t="s">
        <v>1111</v>
      </c>
      <c r="D1429" s="40">
        <v>0.5877</v>
      </c>
      <c r="E1429" s="40">
        <v>0.58840000000000003</v>
      </c>
      <c r="F1429" s="40">
        <v>1.4850000000000001</v>
      </c>
      <c r="G1429" s="41">
        <v>0.604228956228956</v>
      </c>
      <c r="H1429" s="41">
        <v>0.60377104377104396</v>
      </c>
      <c r="I1429" s="41">
        <v>4.5791245791248998E-4</v>
      </c>
      <c r="J1429" s="42" t="s">
        <v>532</v>
      </c>
    </row>
    <row r="1430" spans="1:10" s="43" customFormat="1" ht="15" x14ac:dyDescent="0.25">
      <c r="A1430" s="38" t="s">
        <v>584</v>
      </c>
      <c r="B1430" s="39" t="s">
        <v>440</v>
      </c>
      <c r="C1430" s="39" t="s">
        <v>1158</v>
      </c>
      <c r="D1430" s="40">
        <v>0.60899999999999999</v>
      </c>
      <c r="E1430" s="40">
        <v>0.69230000000000003</v>
      </c>
      <c r="F1430" s="40">
        <v>1.4850000000000001</v>
      </c>
      <c r="G1430" s="41">
        <v>0.58989898989899003</v>
      </c>
      <c r="H1430" s="41">
        <v>0.53380471380471395</v>
      </c>
      <c r="I1430" s="41">
        <v>5.6094276094276099E-2</v>
      </c>
      <c r="J1430" s="42" t="s">
        <v>532</v>
      </c>
    </row>
    <row r="1431" spans="1:10" s="43" customFormat="1" ht="15" x14ac:dyDescent="0.25">
      <c r="A1431" s="38" t="s">
        <v>694</v>
      </c>
      <c r="B1431" s="39" t="s">
        <v>440</v>
      </c>
      <c r="C1431" s="39" t="s">
        <v>1171</v>
      </c>
      <c r="D1431" s="40">
        <v>0.60899999999999999</v>
      </c>
      <c r="E1431" s="40">
        <v>0.62949999999999995</v>
      </c>
      <c r="F1431" s="40">
        <v>1.4850000000000001</v>
      </c>
      <c r="G1431" s="41">
        <v>0.58989898989899003</v>
      </c>
      <c r="H1431" s="41">
        <v>0.57609427609427599</v>
      </c>
      <c r="I1431" s="41">
        <v>1.3804713804713801E-2</v>
      </c>
      <c r="J1431" s="42" t="s">
        <v>532</v>
      </c>
    </row>
    <row r="1432" spans="1:10" s="43" customFormat="1" ht="15" x14ac:dyDescent="0.25">
      <c r="A1432" s="38" t="s">
        <v>629</v>
      </c>
      <c r="B1432" s="39" t="s">
        <v>440</v>
      </c>
      <c r="C1432" s="39" t="s">
        <v>1231</v>
      </c>
      <c r="D1432" s="40">
        <v>0.60899999999999999</v>
      </c>
      <c r="E1432" s="40">
        <v>0.67500000000000004</v>
      </c>
      <c r="F1432" s="40">
        <v>1.4850000000000001</v>
      </c>
      <c r="G1432" s="41">
        <v>0.58989898989899003</v>
      </c>
      <c r="H1432" s="41">
        <v>0.54545454545454497</v>
      </c>
      <c r="I1432" s="41">
        <v>4.4444444444444502E-2</v>
      </c>
      <c r="J1432" s="39" t="s">
        <v>532</v>
      </c>
    </row>
    <row r="1433" spans="1:10" s="43" customFormat="1" ht="15" x14ac:dyDescent="0.25">
      <c r="A1433" s="38" t="s">
        <v>571</v>
      </c>
      <c r="B1433" s="39" t="s">
        <v>440</v>
      </c>
      <c r="C1433" s="39" t="s">
        <v>1244</v>
      </c>
      <c r="D1433" s="40">
        <v>0.60899999999999999</v>
      </c>
      <c r="E1433" s="40">
        <v>0.57989999999999997</v>
      </c>
      <c r="F1433" s="40">
        <v>1.4850000000000001</v>
      </c>
      <c r="G1433" s="41">
        <v>0.58989898989899003</v>
      </c>
      <c r="H1433" s="41">
        <v>0.60949494949494998</v>
      </c>
      <c r="I1433" s="41">
        <v>-1.9595959595959601E-2</v>
      </c>
      <c r="J1433" s="42" t="s">
        <v>532</v>
      </c>
    </row>
    <row r="1434" spans="1:10" s="43" customFormat="1" ht="15" x14ac:dyDescent="0.25">
      <c r="A1434" s="38" t="s">
        <v>701</v>
      </c>
      <c r="B1434" s="39" t="s">
        <v>440</v>
      </c>
      <c r="C1434" s="39" t="s">
        <v>1249</v>
      </c>
      <c r="D1434" s="40">
        <v>0.60899999999999999</v>
      </c>
      <c r="E1434" s="40">
        <v>0.62129999999999996</v>
      </c>
      <c r="F1434" s="40">
        <v>1.4850000000000001</v>
      </c>
      <c r="G1434" s="41">
        <v>0.58989898989899003</v>
      </c>
      <c r="H1434" s="41">
        <v>0.58161616161616203</v>
      </c>
      <c r="I1434" s="41">
        <v>8.2828282828282199E-3</v>
      </c>
      <c r="J1434" s="42" t="s">
        <v>532</v>
      </c>
    </row>
    <row r="1435" spans="1:10" s="43" customFormat="1" ht="15" x14ac:dyDescent="0.25">
      <c r="A1435" s="38" t="s">
        <v>631</v>
      </c>
      <c r="B1435" s="39" t="s">
        <v>440</v>
      </c>
      <c r="C1435" s="39" t="s">
        <v>1253</v>
      </c>
      <c r="D1435" s="40">
        <v>0.60899999999999999</v>
      </c>
      <c r="E1435" s="40">
        <v>0.57199999999999995</v>
      </c>
      <c r="F1435" s="40">
        <v>1.4850000000000001</v>
      </c>
      <c r="G1435" s="41">
        <v>0.58989898989899003</v>
      </c>
      <c r="H1435" s="41">
        <v>0.61481481481481504</v>
      </c>
      <c r="I1435" s="41">
        <v>-2.4915824915824999E-2</v>
      </c>
      <c r="J1435" s="42" t="s">
        <v>532</v>
      </c>
    </row>
    <row r="1436" spans="1:10" s="43" customFormat="1" ht="15" x14ac:dyDescent="0.25">
      <c r="A1436" s="38" t="s">
        <v>707</v>
      </c>
      <c r="B1436" s="39" t="s">
        <v>440</v>
      </c>
      <c r="C1436" s="39" t="s">
        <v>1319</v>
      </c>
      <c r="D1436" s="40">
        <v>0.60899999999999999</v>
      </c>
      <c r="E1436" s="40">
        <v>0.68030000000000002</v>
      </c>
      <c r="F1436" s="40">
        <v>1.4850000000000001</v>
      </c>
      <c r="G1436" s="41">
        <v>0.58989898989899003</v>
      </c>
      <c r="H1436" s="41">
        <v>0.54188552188552197</v>
      </c>
      <c r="I1436" s="41">
        <v>4.8013468013468098E-2</v>
      </c>
      <c r="J1436" s="42" t="s">
        <v>532</v>
      </c>
    </row>
    <row r="1437" spans="1:10" s="43" customFormat="1" ht="15" x14ac:dyDescent="0.25">
      <c r="A1437" s="38" t="s">
        <v>708</v>
      </c>
      <c r="B1437" s="39" t="s">
        <v>440</v>
      </c>
      <c r="C1437" s="39" t="s">
        <v>1323</v>
      </c>
      <c r="D1437" s="40">
        <v>0.60899999999999999</v>
      </c>
      <c r="E1437" s="40">
        <v>0.5907</v>
      </c>
      <c r="F1437" s="40">
        <v>1.4850000000000001</v>
      </c>
      <c r="G1437" s="41">
        <v>0.58989898989899003</v>
      </c>
      <c r="H1437" s="41">
        <v>0.60222222222222199</v>
      </c>
      <c r="I1437" s="41">
        <v>-1.23232323232323E-2</v>
      </c>
      <c r="J1437" s="42" t="s">
        <v>532</v>
      </c>
    </row>
    <row r="1438" spans="1:10" s="43" customFormat="1" ht="15" x14ac:dyDescent="0.25">
      <c r="A1438" s="38" t="s">
        <v>568</v>
      </c>
      <c r="B1438" s="39" t="s">
        <v>440</v>
      </c>
      <c r="C1438" s="39" t="s">
        <v>1328</v>
      </c>
      <c r="D1438" s="40">
        <v>0.60899999999999999</v>
      </c>
      <c r="E1438" s="40">
        <v>0.58879999999999999</v>
      </c>
      <c r="F1438" s="40">
        <v>1.4850000000000001</v>
      </c>
      <c r="G1438" s="41">
        <v>0.58989898989899003</v>
      </c>
      <c r="H1438" s="41">
        <v>0.60350168350168398</v>
      </c>
      <c r="I1438" s="41">
        <v>-1.3602693602693601E-2</v>
      </c>
      <c r="J1438" s="42" t="s">
        <v>532</v>
      </c>
    </row>
    <row r="1439" spans="1:10" s="43" customFormat="1" ht="15" x14ac:dyDescent="0.25">
      <c r="A1439" s="38" t="s">
        <v>709</v>
      </c>
      <c r="B1439" s="39" t="s">
        <v>440</v>
      </c>
      <c r="C1439" s="39" t="s">
        <v>1333</v>
      </c>
      <c r="D1439" s="40">
        <v>0.60899999999999999</v>
      </c>
      <c r="E1439" s="40">
        <v>0.59599999999999997</v>
      </c>
      <c r="F1439" s="40">
        <v>1.4850000000000001</v>
      </c>
      <c r="G1439" s="41">
        <v>0.58989898989899003</v>
      </c>
      <c r="H1439" s="41">
        <v>0.59865319865319899</v>
      </c>
      <c r="I1439" s="41">
        <v>-8.75420875420874E-3</v>
      </c>
      <c r="J1439" s="42" t="s">
        <v>532</v>
      </c>
    </row>
    <row r="1440" spans="1:10" s="43" customFormat="1" ht="15" x14ac:dyDescent="0.25">
      <c r="A1440" s="38" t="s">
        <v>573</v>
      </c>
      <c r="B1440" s="39" t="s">
        <v>440</v>
      </c>
      <c r="C1440" s="39" t="s">
        <v>1338</v>
      </c>
      <c r="D1440" s="40">
        <v>0.60899999999999999</v>
      </c>
      <c r="E1440" s="40">
        <v>0.68089999999999995</v>
      </c>
      <c r="F1440" s="40">
        <v>1.4850000000000001</v>
      </c>
      <c r="G1440" s="41">
        <v>0.58989898989899003</v>
      </c>
      <c r="H1440" s="41">
        <v>0.54148148148148201</v>
      </c>
      <c r="I1440" s="41">
        <v>4.8417508417508401E-2</v>
      </c>
      <c r="J1440" s="42" t="s">
        <v>532</v>
      </c>
    </row>
    <row r="1441" spans="1:12" s="43" customFormat="1" ht="15" x14ac:dyDescent="0.25">
      <c r="A1441" s="38" t="s">
        <v>710</v>
      </c>
      <c r="B1441" s="39" t="s">
        <v>440</v>
      </c>
      <c r="C1441" s="39" t="s">
        <v>1343</v>
      </c>
      <c r="D1441" s="40">
        <v>0.60899999999999999</v>
      </c>
      <c r="E1441" s="40">
        <v>0.58260000000000001</v>
      </c>
      <c r="F1441" s="40">
        <v>1.4850000000000001</v>
      </c>
      <c r="G1441" s="41">
        <v>0.58989898989899003</v>
      </c>
      <c r="H1441" s="41">
        <v>0.60767676767676804</v>
      </c>
      <c r="I1441" s="41">
        <v>-1.7777777777777799E-2</v>
      </c>
      <c r="J1441" s="42" t="s">
        <v>532</v>
      </c>
    </row>
    <row r="1442" spans="1:12" s="43" customFormat="1" ht="15" x14ac:dyDescent="0.25">
      <c r="A1442" s="38" t="s">
        <v>577</v>
      </c>
      <c r="B1442" s="39" t="s">
        <v>440</v>
      </c>
      <c r="C1442" s="39" t="s">
        <v>1347</v>
      </c>
      <c r="D1442" s="40">
        <v>0.5877</v>
      </c>
      <c r="E1442" s="40">
        <v>0.59989999999999999</v>
      </c>
      <c r="F1442" s="40">
        <v>1.4850000000000001</v>
      </c>
      <c r="G1442" s="41">
        <v>0.604228956228956</v>
      </c>
      <c r="H1442" s="41">
        <v>0.59602693602693602</v>
      </c>
      <c r="I1442" s="41">
        <v>8.2020202020202104E-3</v>
      </c>
      <c r="J1442" s="42" t="s">
        <v>532</v>
      </c>
    </row>
    <row r="1443" spans="1:12" s="43" customFormat="1" ht="15" x14ac:dyDescent="0.25">
      <c r="A1443" s="38" t="s">
        <v>711</v>
      </c>
      <c r="B1443" s="39" t="s">
        <v>440</v>
      </c>
      <c r="C1443" s="39" t="s">
        <v>1372</v>
      </c>
      <c r="D1443" s="40">
        <v>0.60899999999999999</v>
      </c>
      <c r="E1443" s="40">
        <v>0.61890000000000001</v>
      </c>
      <c r="F1443" s="40">
        <v>1.4850000000000001</v>
      </c>
      <c r="G1443" s="41">
        <v>0.58989898989899003</v>
      </c>
      <c r="H1443" s="41">
        <v>0.58323232323232299</v>
      </c>
      <c r="I1443" s="41">
        <v>6.6666666666667096E-3</v>
      </c>
      <c r="J1443" s="42" t="s">
        <v>532</v>
      </c>
    </row>
    <row r="1444" spans="1:12" s="43" customFormat="1" ht="15" x14ac:dyDescent="0.25">
      <c r="A1444" s="38" t="s">
        <v>551</v>
      </c>
      <c r="B1444" s="39" t="s">
        <v>440</v>
      </c>
      <c r="C1444" s="39" t="s">
        <v>1399</v>
      </c>
      <c r="D1444" s="40">
        <v>0.60899999999999999</v>
      </c>
      <c r="E1444" s="40">
        <v>0.61960000000000004</v>
      </c>
      <c r="F1444" s="40">
        <v>1.4850000000000001</v>
      </c>
      <c r="G1444" s="41">
        <v>0.58989898989899003</v>
      </c>
      <c r="H1444" s="41">
        <v>0.58276094276094303</v>
      </c>
      <c r="I1444" s="41">
        <v>7.13804713804711E-3</v>
      </c>
      <c r="J1444" s="42" t="s">
        <v>532</v>
      </c>
    </row>
    <row r="1445" spans="1:12" s="43" customFormat="1" ht="15" x14ac:dyDescent="0.25">
      <c r="A1445" s="38" t="s">
        <v>603</v>
      </c>
      <c r="B1445" s="39" t="s">
        <v>440</v>
      </c>
      <c r="C1445" s="39" t="s">
        <v>1425</v>
      </c>
      <c r="D1445" s="40">
        <v>0.60899999999999999</v>
      </c>
      <c r="E1445" s="40">
        <v>0.64849999999999997</v>
      </c>
      <c r="F1445" s="40">
        <v>1.4850000000000001</v>
      </c>
      <c r="G1445" s="41">
        <v>0.58989898989899003</v>
      </c>
      <c r="H1445" s="41">
        <v>0.56329966329966297</v>
      </c>
      <c r="I1445" s="41">
        <v>2.6599326599326598E-2</v>
      </c>
      <c r="J1445" s="42" t="s">
        <v>532</v>
      </c>
    </row>
    <row r="1446" spans="1:12" s="43" customFormat="1" ht="15" x14ac:dyDescent="0.25">
      <c r="A1446" s="38" t="s">
        <v>619</v>
      </c>
      <c r="B1446" s="39" t="s">
        <v>440</v>
      </c>
      <c r="C1446" s="39" t="s">
        <v>1430</v>
      </c>
      <c r="D1446" s="40">
        <v>0.60899999999999999</v>
      </c>
      <c r="E1446" s="40">
        <v>0.59079999999999999</v>
      </c>
      <c r="F1446" s="40">
        <v>1.4850000000000001</v>
      </c>
      <c r="G1446" s="41">
        <v>0.58989898989899003</v>
      </c>
      <c r="H1446" s="41">
        <v>0.602154882154882</v>
      </c>
      <c r="I1446" s="41">
        <v>-1.22558922558923E-2</v>
      </c>
      <c r="J1446" s="42" t="s">
        <v>532</v>
      </c>
    </row>
    <row r="1447" spans="1:12" s="43" customFormat="1" ht="15" x14ac:dyDescent="0.25">
      <c r="A1447" s="38" t="s">
        <v>570</v>
      </c>
      <c r="B1447" s="39" t="s">
        <v>440</v>
      </c>
      <c r="C1447" s="39" t="s">
        <v>1436</v>
      </c>
      <c r="D1447" s="40">
        <v>0.60899999999999999</v>
      </c>
      <c r="E1447" s="40">
        <v>0.59589999999999999</v>
      </c>
      <c r="F1447" s="40">
        <v>1.4850000000000001</v>
      </c>
      <c r="G1447" s="41">
        <v>0.58989898989899003</v>
      </c>
      <c r="H1447" s="41">
        <v>0.59872053872053899</v>
      </c>
      <c r="I1447" s="41">
        <v>-8.8215488215488396E-3</v>
      </c>
      <c r="J1447" s="42" t="s">
        <v>532</v>
      </c>
    </row>
    <row r="1448" spans="1:12" s="43" customFormat="1" ht="15" x14ac:dyDescent="0.25">
      <c r="A1448" s="38" t="s">
        <v>558</v>
      </c>
      <c r="B1448" s="39" t="s">
        <v>440</v>
      </c>
      <c r="C1448" s="39" t="s">
        <v>1445</v>
      </c>
      <c r="D1448" s="40">
        <v>0.60899999999999999</v>
      </c>
      <c r="E1448" s="40">
        <v>0.60119999999999996</v>
      </c>
      <c r="F1448" s="40">
        <v>1.4850000000000001</v>
      </c>
      <c r="G1448" s="41">
        <v>0.58989898989899003</v>
      </c>
      <c r="H1448" s="41">
        <v>0.59515151515151499</v>
      </c>
      <c r="I1448" s="41">
        <v>-5.2525252525252898E-3</v>
      </c>
      <c r="J1448" s="42" t="s">
        <v>532</v>
      </c>
    </row>
    <row r="1449" spans="1:12" s="43" customFormat="1" ht="15" x14ac:dyDescent="0.25">
      <c r="A1449" s="38" t="s">
        <v>535</v>
      </c>
      <c r="B1449" s="39" t="s">
        <v>440</v>
      </c>
      <c r="C1449" s="39" t="s">
        <v>1492</v>
      </c>
      <c r="D1449" s="40">
        <v>0.60899999999999999</v>
      </c>
      <c r="E1449" s="40">
        <v>0.58679999999999999</v>
      </c>
      <c r="F1449" s="40">
        <v>1.4850000000000001</v>
      </c>
      <c r="G1449" s="41">
        <v>0.58989898989899003</v>
      </c>
      <c r="H1449" s="41">
        <v>0.60484848484848497</v>
      </c>
      <c r="I1449" s="41">
        <v>-1.49494949494949E-2</v>
      </c>
      <c r="J1449" s="42" t="s">
        <v>532</v>
      </c>
    </row>
    <row r="1450" spans="1:12" x14ac:dyDescent="0.25">
      <c r="A1450" s="44">
        <v>2018</v>
      </c>
      <c r="B1450" s="44" t="s">
        <v>440</v>
      </c>
      <c r="C1450" s="44" t="s">
        <v>1808</v>
      </c>
      <c r="D1450" s="45">
        <v>0.59845695900571305</v>
      </c>
      <c r="E1450" s="45">
        <v>0.60970177007116366</v>
      </c>
      <c r="F1450" s="45">
        <v>1.4850000000000003</v>
      </c>
      <c r="G1450" s="46">
        <v>0.5969920144277967</v>
      </c>
      <c r="H1450" s="46">
        <v>0.58942641746049584</v>
      </c>
      <c r="I1450" s="46">
        <v>7.56559696730086E-3</v>
      </c>
      <c r="J1450" s="47" t="s">
        <v>533</v>
      </c>
      <c r="K1450" s="48"/>
      <c r="L1450" s="48"/>
    </row>
    <row r="1451" spans="1:12" s="43" customFormat="1" ht="15" x14ac:dyDescent="0.25">
      <c r="A1451" s="38" t="s">
        <v>665</v>
      </c>
      <c r="B1451" s="39" t="s">
        <v>441</v>
      </c>
      <c r="C1451" s="39" t="s">
        <v>717</v>
      </c>
      <c r="D1451" s="40">
        <v>0.51390000000000002</v>
      </c>
      <c r="E1451" s="40">
        <v>0.61439999999999995</v>
      </c>
      <c r="F1451" s="40">
        <v>1.349</v>
      </c>
      <c r="G1451" s="41">
        <v>0.61905114899925895</v>
      </c>
      <c r="H1451" s="41">
        <v>0.54455151964418103</v>
      </c>
      <c r="I1451" s="41">
        <v>7.4499629355077798E-2</v>
      </c>
      <c r="J1451" s="42" t="s">
        <v>532</v>
      </c>
    </row>
    <row r="1452" spans="1:12" s="43" customFormat="1" ht="15" x14ac:dyDescent="0.25">
      <c r="A1452" s="38" t="s">
        <v>666</v>
      </c>
      <c r="B1452" s="39" t="s">
        <v>441</v>
      </c>
      <c r="C1452" s="39" t="s">
        <v>725</v>
      </c>
      <c r="D1452" s="40">
        <v>0.51390000000000002</v>
      </c>
      <c r="E1452" s="40">
        <v>0.63370000000000004</v>
      </c>
      <c r="F1452" s="40">
        <v>1.349</v>
      </c>
      <c r="G1452" s="41">
        <v>0.61905114899925895</v>
      </c>
      <c r="H1452" s="41">
        <v>0.53024462564862895</v>
      </c>
      <c r="I1452" s="41">
        <v>8.8806523350630107E-2</v>
      </c>
      <c r="J1452" s="42" t="s">
        <v>532</v>
      </c>
    </row>
    <row r="1453" spans="1:12" s="43" customFormat="1" ht="15" x14ac:dyDescent="0.25">
      <c r="A1453" s="38" t="s">
        <v>667</v>
      </c>
      <c r="B1453" s="39" t="s">
        <v>441</v>
      </c>
      <c r="C1453" s="39" t="s">
        <v>732</v>
      </c>
      <c r="D1453" s="40">
        <v>0.51390000000000002</v>
      </c>
      <c r="E1453" s="40">
        <v>0.51680000000000004</v>
      </c>
      <c r="F1453" s="40">
        <v>1.349</v>
      </c>
      <c r="G1453" s="41">
        <v>0.61905114899925895</v>
      </c>
      <c r="H1453" s="41">
        <v>0.61690140845070396</v>
      </c>
      <c r="I1453" s="41">
        <v>2.1497405485545501E-3</v>
      </c>
      <c r="J1453" s="42" t="s">
        <v>532</v>
      </c>
    </row>
    <row r="1454" spans="1:12" s="43" customFormat="1" ht="15" x14ac:dyDescent="0.25">
      <c r="A1454" s="38" t="s">
        <v>668</v>
      </c>
      <c r="B1454" s="39" t="s">
        <v>441</v>
      </c>
      <c r="C1454" s="39" t="s">
        <v>735</v>
      </c>
      <c r="D1454" s="40">
        <v>0.51390000000000002</v>
      </c>
      <c r="E1454" s="40">
        <v>0.53449999999999998</v>
      </c>
      <c r="F1454" s="40">
        <v>1.349</v>
      </c>
      <c r="G1454" s="41">
        <v>0.61905114899925895</v>
      </c>
      <c r="H1454" s="41">
        <v>0.603780578206079</v>
      </c>
      <c r="I1454" s="41">
        <v>1.5270570793180199E-2</v>
      </c>
      <c r="J1454" s="42" t="s">
        <v>532</v>
      </c>
    </row>
    <row r="1455" spans="1:12" s="43" customFormat="1" ht="15" x14ac:dyDescent="0.25">
      <c r="A1455" s="38" t="s">
        <v>552</v>
      </c>
      <c r="B1455" s="39" t="s">
        <v>441</v>
      </c>
      <c r="C1455" s="39" t="s">
        <v>757</v>
      </c>
      <c r="D1455" s="40">
        <v>0.51390000000000002</v>
      </c>
      <c r="E1455" s="40">
        <v>0.58709999999999996</v>
      </c>
      <c r="F1455" s="40">
        <v>1.349</v>
      </c>
      <c r="G1455" s="41">
        <v>0.61905114899925895</v>
      </c>
      <c r="H1455" s="41">
        <v>0.564788732394366</v>
      </c>
      <c r="I1455" s="41">
        <v>5.4262416604892498E-2</v>
      </c>
      <c r="J1455" s="42" t="s">
        <v>532</v>
      </c>
    </row>
    <row r="1456" spans="1:12" s="43" customFormat="1" ht="15" x14ac:dyDescent="0.25">
      <c r="A1456" s="38" t="s">
        <v>588</v>
      </c>
      <c r="B1456" s="39" t="s">
        <v>441</v>
      </c>
      <c r="C1456" s="39" t="s">
        <v>854</v>
      </c>
      <c r="D1456" s="40">
        <v>0.51390000000000002</v>
      </c>
      <c r="E1456" s="40">
        <v>0.49320000000000003</v>
      </c>
      <c r="F1456" s="40">
        <v>1.349</v>
      </c>
      <c r="G1456" s="41">
        <v>0.61905114899925895</v>
      </c>
      <c r="H1456" s="41">
        <v>0.63439584877687205</v>
      </c>
      <c r="I1456" s="41">
        <v>-1.5344699777613E-2</v>
      </c>
      <c r="J1456" s="42" t="s">
        <v>532</v>
      </c>
    </row>
    <row r="1457" spans="1:10" s="43" customFormat="1" ht="15" x14ac:dyDescent="0.25">
      <c r="A1457" s="38" t="s">
        <v>581</v>
      </c>
      <c r="B1457" s="39" t="s">
        <v>441</v>
      </c>
      <c r="C1457" s="39" t="s">
        <v>886</v>
      </c>
      <c r="D1457" s="40">
        <v>0.51390000000000002</v>
      </c>
      <c r="E1457" s="40">
        <v>0.51380000000000003</v>
      </c>
      <c r="F1457" s="40">
        <v>1.349</v>
      </c>
      <c r="G1457" s="41">
        <v>0.61905114899925895</v>
      </c>
      <c r="H1457" s="41">
        <v>0.61912527798369199</v>
      </c>
      <c r="I1457" s="41">
        <v>-7.4128984432819705E-5</v>
      </c>
      <c r="J1457" s="42" t="s">
        <v>532</v>
      </c>
    </row>
    <row r="1458" spans="1:10" s="43" customFormat="1" ht="15" x14ac:dyDescent="0.25">
      <c r="A1458" s="38" t="s">
        <v>677</v>
      </c>
      <c r="B1458" s="39" t="s">
        <v>441</v>
      </c>
      <c r="C1458" s="39" t="s">
        <v>929</v>
      </c>
      <c r="D1458" s="40">
        <v>0.51390000000000002</v>
      </c>
      <c r="E1458" s="40">
        <v>0.49969999999999998</v>
      </c>
      <c r="F1458" s="40">
        <v>1.349</v>
      </c>
      <c r="G1458" s="41">
        <v>0.61905114899925895</v>
      </c>
      <c r="H1458" s="41">
        <v>0.629577464788732</v>
      </c>
      <c r="I1458" s="41">
        <v>-1.0526315789473601E-2</v>
      </c>
      <c r="J1458" s="42" t="s">
        <v>532</v>
      </c>
    </row>
    <row r="1459" spans="1:10" s="43" customFormat="1" ht="15" x14ac:dyDescent="0.25">
      <c r="A1459" s="38" t="s">
        <v>607</v>
      </c>
      <c r="B1459" s="39" t="s">
        <v>441</v>
      </c>
      <c r="C1459" s="39" t="s">
        <v>1039</v>
      </c>
      <c r="D1459" s="40">
        <v>0.51390000000000002</v>
      </c>
      <c r="E1459" s="40">
        <v>0.4471</v>
      </c>
      <c r="F1459" s="40">
        <v>1.349</v>
      </c>
      <c r="G1459" s="41">
        <v>0.61905114899925895</v>
      </c>
      <c r="H1459" s="41">
        <v>0.668569310600445</v>
      </c>
      <c r="I1459" s="41">
        <v>-4.9518161601186002E-2</v>
      </c>
      <c r="J1459" s="42" t="s">
        <v>532</v>
      </c>
    </row>
    <row r="1460" spans="1:10" s="43" customFormat="1" ht="15" x14ac:dyDescent="0.25">
      <c r="A1460" s="38" t="s">
        <v>686</v>
      </c>
      <c r="B1460" s="39" t="s">
        <v>441</v>
      </c>
      <c r="C1460" s="39" t="s">
        <v>1094</v>
      </c>
      <c r="D1460" s="40">
        <v>0.51390000000000002</v>
      </c>
      <c r="E1460" s="40">
        <v>0.51090000000000002</v>
      </c>
      <c r="F1460" s="40">
        <v>1.349</v>
      </c>
      <c r="G1460" s="41">
        <v>0.61905114899925895</v>
      </c>
      <c r="H1460" s="41">
        <v>0.62127501853224598</v>
      </c>
      <c r="I1460" s="41">
        <v>-2.2238695329873698E-3</v>
      </c>
      <c r="J1460" s="42" t="s">
        <v>532</v>
      </c>
    </row>
    <row r="1461" spans="1:10" s="43" customFormat="1" ht="15" x14ac:dyDescent="0.25">
      <c r="A1461" s="38" t="s">
        <v>689</v>
      </c>
      <c r="B1461" s="39" t="s">
        <v>441</v>
      </c>
      <c r="C1461" s="39" t="s">
        <v>1123</v>
      </c>
      <c r="D1461" s="40">
        <v>0.51390000000000002</v>
      </c>
      <c r="E1461" s="40">
        <v>0.48099999999999998</v>
      </c>
      <c r="F1461" s="40">
        <v>1.349</v>
      </c>
      <c r="G1461" s="41">
        <v>0.61905114899925895</v>
      </c>
      <c r="H1461" s="41">
        <v>0.64343958487768704</v>
      </c>
      <c r="I1461" s="41">
        <v>-2.4388435878428399E-2</v>
      </c>
      <c r="J1461" s="42" t="s">
        <v>532</v>
      </c>
    </row>
    <row r="1462" spans="1:10" s="43" customFormat="1" ht="15" x14ac:dyDescent="0.25">
      <c r="A1462" s="38" t="s">
        <v>692</v>
      </c>
      <c r="B1462" s="39" t="s">
        <v>441</v>
      </c>
      <c r="C1462" s="39" t="s">
        <v>1140</v>
      </c>
      <c r="D1462" s="40">
        <v>0.51390000000000002</v>
      </c>
      <c r="E1462" s="40">
        <v>0.5837</v>
      </c>
      <c r="F1462" s="40">
        <v>1.349</v>
      </c>
      <c r="G1462" s="41">
        <v>0.61905114899925895</v>
      </c>
      <c r="H1462" s="41">
        <v>0.56730911786508498</v>
      </c>
      <c r="I1462" s="41">
        <v>5.17420311341735E-2</v>
      </c>
      <c r="J1462" s="42" t="s">
        <v>532</v>
      </c>
    </row>
    <row r="1463" spans="1:10" s="43" customFormat="1" ht="15" x14ac:dyDescent="0.25">
      <c r="A1463" s="38" t="s">
        <v>693</v>
      </c>
      <c r="B1463" s="39" t="s">
        <v>441</v>
      </c>
      <c r="C1463" s="39" t="s">
        <v>1151</v>
      </c>
      <c r="D1463" s="40">
        <v>0.51390000000000002</v>
      </c>
      <c r="E1463" s="40">
        <v>0.50639999999999996</v>
      </c>
      <c r="F1463" s="40">
        <v>1.349</v>
      </c>
      <c r="G1463" s="41">
        <v>0.61905114899925895</v>
      </c>
      <c r="H1463" s="41">
        <v>0.62461082283172698</v>
      </c>
      <c r="I1463" s="41">
        <v>-5.5596738324684702E-3</v>
      </c>
      <c r="J1463" s="42" t="s">
        <v>532</v>
      </c>
    </row>
    <row r="1464" spans="1:10" s="43" customFormat="1" ht="15" x14ac:dyDescent="0.25">
      <c r="A1464" s="38" t="s">
        <v>698</v>
      </c>
      <c r="B1464" s="39" t="s">
        <v>441</v>
      </c>
      <c r="C1464" s="39" t="s">
        <v>1210</v>
      </c>
      <c r="D1464" s="40">
        <v>0.5252</v>
      </c>
      <c r="E1464" s="40">
        <v>0.49990000000000001</v>
      </c>
      <c r="F1464" s="40">
        <v>1.349</v>
      </c>
      <c r="G1464" s="41">
        <v>0.61067457375834</v>
      </c>
      <c r="H1464" s="41">
        <v>0.62942920681986603</v>
      </c>
      <c r="I1464" s="41">
        <v>-1.8754633061526998E-2</v>
      </c>
      <c r="J1464" s="42" t="s">
        <v>532</v>
      </c>
    </row>
    <row r="1465" spans="1:10" s="43" customFormat="1" ht="15" x14ac:dyDescent="0.25">
      <c r="A1465" s="38" t="s">
        <v>699</v>
      </c>
      <c r="B1465" s="39" t="s">
        <v>441</v>
      </c>
      <c r="C1465" s="39" t="s">
        <v>1224</v>
      </c>
      <c r="D1465" s="40">
        <v>0.5252</v>
      </c>
      <c r="E1465" s="40">
        <v>0.54059999999999997</v>
      </c>
      <c r="F1465" s="40">
        <v>1.349</v>
      </c>
      <c r="G1465" s="41">
        <v>0.61067457375834</v>
      </c>
      <c r="H1465" s="41">
        <v>0.599258710155671</v>
      </c>
      <c r="I1465" s="41">
        <v>1.14158636026687E-2</v>
      </c>
      <c r="J1465" s="39" t="s">
        <v>532</v>
      </c>
    </row>
    <row r="1466" spans="1:10" s="43" customFormat="1" ht="15" x14ac:dyDescent="0.25">
      <c r="A1466" s="38" t="s">
        <v>700</v>
      </c>
      <c r="B1466" s="39" t="s">
        <v>441</v>
      </c>
      <c r="C1466" s="39" t="s">
        <v>1235</v>
      </c>
      <c r="D1466" s="40">
        <v>0.5252</v>
      </c>
      <c r="E1466" s="40">
        <v>0.50480000000000003</v>
      </c>
      <c r="F1466" s="40">
        <v>1.349</v>
      </c>
      <c r="G1466" s="41">
        <v>0.61067457375834</v>
      </c>
      <c r="H1466" s="41">
        <v>0.62579688658265398</v>
      </c>
      <c r="I1466" s="41">
        <v>-1.5122312824314201E-2</v>
      </c>
      <c r="J1466" s="39" t="s">
        <v>532</v>
      </c>
    </row>
    <row r="1467" spans="1:10" s="43" customFormat="1" ht="15" x14ac:dyDescent="0.25">
      <c r="A1467" s="38" t="s">
        <v>585</v>
      </c>
      <c r="B1467" s="39" t="s">
        <v>441</v>
      </c>
      <c r="C1467" s="39" t="s">
        <v>1266</v>
      </c>
      <c r="D1467" s="40">
        <v>0.5252</v>
      </c>
      <c r="E1467" s="40">
        <v>0.65529999999999999</v>
      </c>
      <c r="F1467" s="40">
        <v>1.349</v>
      </c>
      <c r="G1467" s="41">
        <v>0.61067457375834</v>
      </c>
      <c r="H1467" s="41">
        <v>0.51423276501111903</v>
      </c>
      <c r="I1467" s="41">
        <v>9.6441808747220206E-2</v>
      </c>
      <c r="J1467" s="42" t="s">
        <v>532</v>
      </c>
    </row>
    <row r="1468" spans="1:10" s="43" customFormat="1" ht="15" x14ac:dyDescent="0.25">
      <c r="A1468" s="38" t="s">
        <v>632</v>
      </c>
      <c r="B1468" s="39" t="s">
        <v>441</v>
      </c>
      <c r="C1468" s="39" t="s">
        <v>1274</v>
      </c>
      <c r="D1468" s="40">
        <v>0.5252</v>
      </c>
      <c r="E1468" s="40">
        <v>0.4955</v>
      </c>
      <c r="F1468" s="40">
        <v>1.349</v>
      </c>
      <c r="G1468" s="41">
        <v>0.61067457375834</v>
      </c>
      <c r="H1468" s="41">
        <v>0.63269088213491498</v>
      </c>
      <c r="I1468" s="41">
        <v>-2.20163083765752E-2</v>
      </c>
      <c r="J1468" s="42" t="s">
        <v>532</v>
      </c>
    </row>
    <row r="1469" spans="1:10" s="43" customFormat="1" ht="15" x14ac:dyDescent="0.25">
      <c r="A1469" s="38" t="s">
        <v>702</v>
      </c>
      <c r="B1469" s="39" t="s">
        <v>441</v>
      </c>
      <c r="C1469" s="39" t="s">
        <v>1279</v>
      </c>
      <c r="D1469" s="40">
        <v>0.5252</v>
      </c>
      <c r="E1469" s="40">
        <v>0.44619999999999999</v>
      </c>
      <c r="F1469" s="40">
        <v>1.349</v>
      </c>
      <c r="G1469" s="41">
        <v>0.61067457375834</v>
      </c>
      <c r="H1469" s="41">
        <v>0.66923647146034104</v>
      </c>
      <c r="I1469" s="41">
        <v>-5.85618977020015E-2</v>
      </c>
      <c r="J1469" s="42" t="s">
        <v>532</v>
      </c>
    </row>
    <row r="1470" spans="1:10" s="43" customFormat="1" ht="15" x14ac:dyDescent="0.25">
      <c r="A1470" s="38" t="s">
        <v>703</v>
      </c>
      <c r="B1470" s="39" t="s">
        <v>441</v>
      </c>
      <c r="C1470" s="39" t="s">
        <v>1291</v>
      </c>
      <c r="D1470" s="40">
        <v>0.5252</v>
      </c>
      <c r="E1470" s="40">
        <v>0.44890000000000002</v>
      </c>
      <c r="F1470" s="40">
        <v>1.349</v>
      </c>
      <c r="G1470" s="41">
        <v>0.61067457375834</v>
      </c>
      <c r="H1470" s="41">
        <v>0.66723498888065202</v>
      </c>
      <c r="I1470" s="41">
        <v>-5.6560415122312697E-2</v>
      </c>
      <c r="J1470" s="42" t="s">
        <v>532</v>
      </c>
    </row>
    <row r="1471" spans="1:10" s="43" customFormat="1" ht="15" x14ac:dyDescent="0.25">
      <c r="A1471" s="38" t="s">
        <v>707</v>
      </c>
      <c r="B1471" s="39" t="s">
        <v>441</v>
      </c>
      <c r="C1471" s="39" t="s">
        <v>1320</v>
      </c>
      <c r="D1471" s="40">
        <v>0.5252</v>
      </c>
      <c r="E1471" s="40">
        <v>0.4919</v>
      </c>
      <c r="F1471" s="40">
        <v>1.349</v>
      </c>
      <c r="G1471" s="41">
        <v>0.61067457375834</v>
      </c>
      <c r="H1471" s="41">
        <v>0.63535952557450004</v>
      </c>
      <c r="I1471" s="41">
        <v>-2.4684951816160001E-2</v>
      </c>
      <c r="J1471" s="42" t="s">
        <v>532</v>
      </c>
    </row>
    <row r="1472" spans="1:10" s="43" customFormat="1" ht="15" x14ac:dyDescent="0.25">
      <c r="A1472" s="38" t="s">
        <v>708</v>
      </c>
      <c r="B1472" s="39" t="s">
        <v>441</v>
      </c>
      <c r="C1472" s="39" t="s">
        <v>1261</v>
      </c>
      <c r="D1472" s="40">
        <v>0.5252</v>
      </c>
      <c r="E1472" s="40">
        <v>0.51180000000000003</v>
      </c>
      <c r="F1472" s="40">
        <v>1.349</v>
      </c>
      <c r="G1472" s="41">
        <v>0.61067457375834</v>
      </c>
      <c r="H1472" s="41">
        <v>0.62060785767235005</v>
      </c>
      <c r="I1472" s="41">
        <v>-9.9332839140102696E-3</v>
      </c>
      <c r="J1472" s="42" t="s">
        <v>532</v>
      </c>
    </row>
    <row r="1473" spans="1:12" s="43" customFormat="1" ht="15" x14ac:dyDescent="0.25">
      <c r="A1473" s="38" t="s">
        <v>710</v>
      </c>
      <c r="B1473" s="39" t="s">
        <v>441</v>
      </c>
      <c r="C1473" s="39" t="s">
        <v>1344</v>
      </c>
      <c r="D1473" s="40">
        <v>0.5252</v>
      </c>
      <c r="E1473" s="40">
        <v>0.55149999999999999</v>
      </c>
      <c r="F1473" s="40">
        <v>1.349</v>
      </c>
      <c r="G1473" s="41">
        <v>0.61067457375834</v>
      </c>
      <c r="H1473" s="41">
        <v>0.591178650852483</v>
      </c>
      <c r="I1473" s="41">
        <v>1.9495922905856201E-2</v>
      </c>
      <c r="J1473" s="42" t="s">
        <v>532</v>
      </c>
    </row>
    <row r="1474" spans="1:12" s="43" customFormat="1" ht="15" x14ac:dyDescent="0.25">
      <c r="A1474" s="38" t="s">
        <v>633</v>
      </c>
      <c r="B1474" s="39" t="s">
        <v>441</v>
      </c>
      <c r="C1474" s="39" t="s">
        <v>1405</v>
      </c>
      <c r="D1474" s="40">
        <v>0.5252</v>
      </c>
      <c r="E1474" s="40">
        <v>0.4995</v>
      </c>
      <c r="F1474" s="40">
        <v>1.349</v>
      </c>
      <c r="G1474" s="41">
        <v>0.61067457375834</v>
      </c>
      <c r="H1474" s="41">
        <v>0.62972572275759797</v>
      </c>
      <c r="I1474" s="41">
        <v>-1.90511489992586E-2</v>
      </c>
      <c r="J1474" s="42" t="s">
        <v>532</v>
      </c>
    </row>
    <row r="1475" spans="1:12" s="43" customFormat="1" ht="15" x14ac:dyDescent="0.25">
      <c r="A1475" s="38" t="s">
        <v>564</v>
      </c>
      <c r="B1475" s="39" t="s">
        <v>441</v>
      </c>
      <c r="C1475" s="39" t="s">
        <v>1455</v>
      </c>
      <c r="D1475" s="40">
        <v>0.5252</v>
      </c>
      <c r="E1475" s="40">
        <v>0.51470000000000005</v>
      </c>
      <c r="F1475" s="40">
        <v>1.349</v>
      </c>
      <c r="G1475" s="41">
        <v>0.61067457375834</v>
      </c>
      <c r="H1475" s="41">
        <v>0.61845811712379495</v>
      </c>
      <c r="I1475" s="41">
        <v>-7.7835433654558396E-3</v>
      </c>
      <c r="J1475" s="42" t="s">
        <v>532</v>
      </c>
    </row>
    <row r="1476" spans="1:12" s="43" customFormat="1" ht="15" x14ac:dyDescent="0.25">
      <c r="A1476" s="38" t="s">
        <v>579</v>
      </c>
      <c r="B1476" s="39" t="s">
        <v>441</v>
      </c>
      <c r="C1476" s="39" t="s">
        <v>1485</v>
      </c>
      <c r="D1476" s="40">
        <v>0.5252</v>
      </c>
      <c r="E1476" s="40">
        <v>0.51539999999999997</v>
      </c>
      <c r="F1476" s="40">
        <v>1.349</v>
      </c>
      <c r="G1476" s="41">
        <v>0.61067457375834</v>
      </c>
      <c r="H1476" s="41">
        <v>0.61793921423276499</v>
      </c>
      <c r="I1476" s="41">
        <v>-7.2646404744254297E-3</v>
      </c>
      <c r="J1476" s="42" t="s">
        <v>532</v>
      </c>
    </row>
    <row r="1477" spans="1:12" s="43" customFormat="1" ht="15" x14ac:dyDescent="0.25">
      <c r="A1477" s="38" t="s">
        <v>535</v>
      </c>
      <c r="B1477" s="39" t="s">
        <v>441</v>
      </c>
      <c r="C1477" s="39" t="s">
        <v>1443</v>
      </c>
      <c r="D1477" s="40">
        <v>0.5252</v>
      </c>
      <c r="E1477" s="40">
        <v>0.54579999999999995</v>
      </c>
      <c r="F1477" s="40">
        <v>1.349</v>
      </c>
      <c r="G1477" s="41">
        <v>0.61067457375834</v>
      </c>
      <c r="H1477" s="41">
        <v>0.59540400296515905</v>
      </c>
      <c r="I1477" s="41">
        <v>1.5270570793180199E-2</v>
      </c>
      <c r="J1477" s="42" t="s">
        <v>532</v>
      </c>
    </row>
    <row r="1478" spans="1:12" s="43" customFormat="1" ht="15" x14ac:dyDescent="0.25">
      <c r="A1478" s="38" t="s">
        <v>638</v>
      </c>
      <c r="B1478" s="39" t="s">
        <v>441</v>
      </c>
      <c r="C1478" s="39" t="s">
        <v>1501</v>
      </c>
      <c r="D1478" s="40">
        <v>0.5252</v>
      </c>
      <c r="E1478" s="40">
        <v>0.52190000000000003</v>
      </c>
      <c r="F1478" s="40">
        <v>1.349</v>
      </c>
      <c r="G1478" s="41">
        <v>0.61067457375834</v>
      </c>
      <c r="H1478" s="41">
        <v>0.61312083024462605</v>
      </c>
      <c r="I1478" s="41">
        <v>-2.44625648628605E-3</v>
      </c>
      <c r="J1478" s="42" t="s">
        <v>532</v>
      </c>
    </row>
    <row r="1479" spans="1:12" s="43" customFormat="1" ht="15" x14ac:dyDescent="0.25">
      <c r="A1479" s="38" t="s">
        <v>615</v>
      </c>
      <c r="B1479" s="39" t="s">
        <v>441</v>
      </c>
      <c r="C1479" s="39" t="s">
        <v>1534</v>
      </c>
      <c r="D1479" s="40">
        <v>0.5252</v>
      </c>
      <c r="E1479" s="40">
        <v>0.53210000000000002</v>
      </c>
      <c r="F1479" s="40">
        <v>1.349</v>
      </c>
      <c r="G1479" s="41">
        <v>0.61067457375834</v>
      </c>
      <c r="H1479" s="41">
        <v>0.605559673832468</v>
      </c>
      <c r="I1479" s="41">
        <v>5.1148999258711098E-3</v>
      </c>
      <c r="J1479" s="42" t="s">
        <v>532</v>
      </c>
    </row>
    <row r="1480" spans="1:12" s="43" customFormat="1" ht="15" x14ac:dyDescent="0.25">
      <c r="A1480" s="38" t="s">
        <v>540</v>
      </c>
      <c r="B1480" s="39" t="s">
        <v>441</v>
      </c>
      <c r="C1480" s="39" t="s">
        <v>1595</v>
      </c>
      <c r="D1480" s="40">
        <v>0.5252</v>
      </c>
      <c r="E1480" s="40">
        <v>0.53800000000000003</v>
      </c>
      <c r="F1480" s="40">
        <v>1.349</v>
      </c>
      <c r="G1480" s="41">
        <v>0.61067457375834</v>
      </c>
      <c r="H1480" s="41">
        <v>0.60118606375092598</v>
      </c>
      <c r="I1480" s="41">
        <v>9.4885100074130202E-3</v>
      </c>
      <c r="J1480" s="42" t="s">
        <v>532</v>
      </c>
    </row>
    <row r="1481" spans="1:12" s="43" customFormat="1" ht="15" x14ac:dyDescent="0.25">
      <c r="A1481" s="38" t="s">
        <v>538</v>
      </c>
      <c r="B1481" s="39" t="s">
        <v>441</v>
      </c>
      <c r="C1481" s="39" t="s">
        <v>1604</v>
      </c>
      <c r="D1481" s="40">
        <v>0.5252</v>
      </c>
      <c r="E1481" s="40">
        <v>0.52829999999999999</v>
      </c>
      <c r="F1481" s="40">
        <v>1.349</v>
      </c>
      <c r="G1481" s="41">
        <v>0.61067457375834</v>
      </c>
      <c r="H1481" s="41">
        <v>0.60837657524091904</v>
      </c>
      <c r="I1481" s="41">
        <v>2.2979985174204098E-3</v>
      </c>
      <c r="J1481" s="42" t="s">
        <v>532</v>
      </c>
    </row>
    <row r="1482" spans="1:12" s="43" customFormat="1" ht="15" x14ac:dyDescent="0.25">
      <c r="A1482" s="38" t="s">
        <v>614</v>
      </c>
      <c r="B1482" s="39" t="s">
        <v>441</v>
      </c>
      <c r="C1482" s="39" t="s">
        <v>1609</v>
      </c>
      <c r="D1482" s="40">
        <v>0.5252</v>
      </c>
      <c r="E1482" s="40">
        <v>0.53500000000000003</v>
      </c>
      <c r="F1482" s="40">
        <v>1.349</v>
      </c>
      <c r="G1482" s="41">
        <v>0.61067457375834</v>
      </c>
      <c r="H1482" s="41">
        <v>0.60340993328391401</v>
      </c>
      <c r="I1482" s="41">
        <v>7.2646404744255398E-3</v>
      </c>
      <c r="J1482" s="42" t="s">
        <v>532</v>
      </c>
    </row>
    <row r="1483" spans="1:12" s="43" customFormat="1" ht="15" x14ac:dyDescent="0.25">
      <c r="A1483" s="38" t="s">
        <v>640</v>
      </c>
      <c r="B1483" s="39" t="s">
        <v>441</v>
      </c>
      <c r="C1483" s="39" t="s">
        <v>1618</v>
      </c>
      <c r="D1483" s="40">
        <v>0.5252</v>
      </c>
      <c r="E1483" s="40">
        <v>0.53269999999999995</v>
      </c>
      <c r="F1483" s="40">
        <v>1.349</v>
      </c>
      <c r="G1483" s="41">
        <v>0.61067457375834</v>
      </c>
      <c r="H1483" s="41">
        <v>0.60511489992587097</v>
      </c>
      <c r="I1483" s="41">
        <v>5.5596738324684702E-3</v>
      </c>
      <c r="J1483" s="42" t="s">
        <v>532</v>
      </c>
    </row>
    <row r="1484" spans="1:12" s="43" customFormat="1" ht="15" x14ac:dyDescent="0.25">
      <c r="A1484" s="38" t="s">
        <v>641</v>
      </c>
      <c r="B1484" s="39" t="s">
        <v>441</v>
      </c>
      <c r="C1484" s="39" t="s">
        <v>1625</v>
      </c>
      <c r="D1484" s="40">
        <v>0.5252</v>
      </c>
      <c r="E1484" s="40">
        <v>0.52649999999999997</v>
      </c>
      <c r="F1484" s="40">
        <v>1.349</v>
      </c>
      <c r="G1484" s="41">
        <v>0.61067457375834</v>
      </c>
      <c r="H1484" s="41">
        <v>0.60971089696071201</v>
      </c>
      <c r="I1484" s="41">
        <v>9.6367679762787695E-4</v>
      </c>
      <c r="J1484" s="42" t="s">
        <v>532</v>
      </c>
    </row>
    <row r="1485" spans="1:12" s="43" customFormat="1" ht="15" x14ac:dyDescent="0.25">
      <c r="A1485" s="38" t="s">
        <v>642</v>
      </c>
      <c r="B1485" s="39" t="s">
        <v>441</v>
      </c>
      <c r="C1485" s="39" t="s">
        <v>1631</v>
      </c>
      <c r="D1485" s="40">
        <v>0.5252</v>
      </c>
      <c r="E1485" s="40">
        <v>0.54020000000000001</v>
      </c>
      <c r="F1485" s="40">
        <v>1.349</v>
      </c>
      <c r="G1485" s="41">
        <v>0.61067457375834</v>
      </c>
      <c r="H1485" s="41">
        <v>0.59955522609340195</v>
      </c>
      <c r="I1485" s="41">
        <v>1.11193476649371E-2</v>
      </c>
      <c r="J1485" s="42" t="s">
        <v>532</v>
      </c>
    </row>
    <row r="1486" spans="1:12" s="43" customFormat="1" ht="15" x14ac:dyDescent="0.25">
      <c r="A1486" s="38" t="s">
        <v>534</v>
      </c>
      <c r="B1486" s="39" t="s">
        <v>441</v>
      </c>
      <c r="C1486" s="39" t="s">
        <v>1214</v>
      </c>
      <c r="D1486" s="40">
        <v>0.5252</v>
      </c>
      <c r="E1486" s="40">
        <v>0.49919999999999998</v>
      </c>
      <c r="F1486" s="40">
        <v>1.349</v>
      </c>
      <c r="G1486" s="41">
        <v>0.61067457375834</v>
      </c>
      <c r="H1486" s="41">
        <v>0.62994810971089699</v>
      </c>
      <c r="I1486" s="41">
        <v>-1.9273535952557399E-2</v>
      </c>
      <c r="J1486" s="42" t="s">
        <v>532</v>
      </c>
    </row>
    <row r="1487" spans="1:12" x14ac:dyDescent="0.25">
      <c r="A1487" s="44">
        <v>2018</v>
      </c>
      <c r="B1487" s="44" t="s">
        <v>441</v>
      </c>
      <c r="C1487" s="44" t="s">
        <v>1810</v>
      </c>
      <c r="D1487" s="45">
        <v>0.52102674133889038</v>
      </c>
      <c r="E1487" s="45">
        <v>0.52080415212294873</v>
      </c>
      <c r="F1487" s="45">
        <v>1.3490000000000002</v>
      </c>
      <c r="G1487" s="46">
        <v>0.61376816802157885</v>
      </c>
      <c r="H1487" s="46">
        <v>0.61393317114681345</v>
      </c>
      <c r="I1487" s="46">
        <v>-1.6500312523468156E-4</v>
      </c>
      <c r="J1487" s="47" t="s">
        <v>533</v>
      </c>
      <c r="K1487" s="48"/>
      <c r="L1487" s="48"/>
    </row>
    <row r="1488" spans="1:12" s="43" customFormat="1" ht="15" x14ac:dyDescent="0.25">
      <c r="A1488" s="38" t="s">
        <v>668</v>
      </c>
      <c r="B1488" s="39" t="s">
        <v>442</v>
      </c>
      <c r="C1488" s="39" t="s">
        <v>736</v>
      </c>
      <c r="D1488" s="40">
        <v>0.60640000000000005</v>
      </c>
      <c r="E1488" s="40">
        <v>0.52769999999999995</v>
      </c>
      <c r="F1488" s="40">
        <v>1.4750000000000001</v>
      </c>
      <c r="G1488" s="41">
        <v>0.58890395480225999</v>
      </c>
      <c r="H1488" s="41">
        <v>0.642237288135593</v>
      </c>
      <c r="I1488" s="41">
        <v>-5.3333333333333302E-2</v>
      </c>
      <c r="J1488" s="42" t="s">
        <v>532</v>
      </c>
    </row>
    <row r="1489" spans="1:10" s="43" customFormat="1" ht="15" x14ac:dyDescent="0.25">
      <c r="A1489" s="38" t="s">
        <v>576</v>
      </c>
      <c r="B1489" s="39" t="s">
        <v>442</v>
      </c>
      <c r="C1489" s="39" t="s">
        <v>816</v>
      </c>
      <c r="D1489" s="40">
        <v>0.60640000000000005</v>
      </c>
      <c r="E1489" s="40">
        <v>0.55600000000000005</v>
      </c>
      <c r="F1489" s="40">
        <v>1.4750000000000001</v>
      </c>
      <c r="G1489" s="41">
        <v>0.58890395480225999</v>
      </c>
      <c r="H1489" s="41">
        <v>0.623028248587571</v>
      </c>
      <c r="I1489" s="41">
        <v>-3.4124293785310698E-2</v>
      </c>
      <c r="J1489" s="42" t="s">
        <v>532</v>
      </c>
    </row>
    <row r="1490" spans="1:10" s="43" customFormat="1" ht="15" x14ac:dyDescent="0.25">
      <c r="A1490" s="38" t="s">
        <v>587</v>
      </c>
      <c r="B1490" s="39" t="s">
        <v>442</v>
      </c>
      <c r="C1490" s="39" t="s">
        <v>841</v>
      </c>
      <c r="D1490" s="40">
        <v>0.60640000000000005</v>
      </c>
      <c r="E1490" s="40">
        <v>0.53569999999999995</v>
      </c>
      <c r="F1490" s="40">
        <v>1.4750000000000001</v>
      </c>
      <c r="G1490" s="41">
        <v>0.58890395480225999</v>
      </c>
      <c r="H1490" s="41">
        <v>0.63681355932203398</v>
      </c>
      <c r="I1490" s="41">
        <v>-4.7909604519774003E-2</v>
      </c>
      <c r="J1490" s="42" t="s">
        <v>532</v>
      </c>
    </row>
    <row r="1491" spans="1:10" s="43" customFormat="1" ht="15" x14ac:dyDescent="0.25">
      <c r="A1491" s="38" t="s">
        <v>673</v>
      </c>
      <c r="B1491" s="39" t="s">
        <v>442</v>
      </c>
      <c r="C1491" s="39" t="s">
        <v>846</v>
      </c>
      <c r="D1491" s="40">
        <v>0.60640000000000005</v>
      </c>
      <c r="E1491" s="40">
        <v>0.51259999999999994</v>
      </c>
      <c r="F1491" s="40">
        <v>1.4750000000000001</v>
      </c>
      <c r="G1491" s="41">
        <v>0.58890395480225999</v>
      </c>
      <c r="H1491" s="41">
        <v>0.65247457627118599</v>
      </c>
      <c r="I1491" s="41">
        <v>-6.35706214689266E-2</v>
      </c>
      <c r="J1491" s="42" t="s">
        <v>532</v>
      </c>
    </row>
    <row r="1492" spans="1:10" s="43" customFormat="1" ht="15" x14ac:dyDescent="0.25">
      <c r="A1492" s="38" t="s">
        <v>598</v>
      </c>
      <c r="B1492" s="39" t="s">
        <v>442</v>
      </c>
      <c r="C1492" s="39" t="s">
        <v>1054</v>
      </c>
      <c r="D1492" s="40">
        <v>0.60640000000000005</v>
      </c>
      <c r="E1492" s="40">
        <v>0.64759999999999995</v>
      </c>
      <c r="F1492" s="40">
        <v>1.4750000000000001</v>
      </c>
      <c r="G1492" s="41">
        <v>0.58890395480225999</v>
      </c>
      <c r="H1492" s="41">
        <v>0.56093785310734501</v>
      </c>
      <c r="I1492" s="41">
        <v>2.7966101694915299E-2</v>
      </c>
      <c r="J1492" s="42" t="s">
        <v>532</v>
      </c>
    </row>
    <row r="1493" spans="1:10" s="43" customFormat="1" ht="15" x14ac:dyDescent="0.25">
      <c r="A1493" s="38" t="s">
        <v>600</v>
      </c>
      <c r="B1493" s="39" t="s">
        <v>442</v>
      </c>
      <c r="C1493" s="39" t="s">
        <v>1065</v>
      </c>
      <c r="D1493" s="40">
        <v>0.60640000000000005</v>
      </c>
      <c r="E1493" s="40">
        <v>0.65469999999999995</v>
      </c>
      <c r="F1493" s="40">
        <v>1.4750000000000001</v>
      </c>
      <c r="G1493" s="41">
        <v>0.58890395480225999</v>
      </c>
      <c r="H1493" s="41">
        <v>0.55612429378531103</v>
      </c>
      <c r="I1493" s="41">
        <v>3.2779661016949298E-2</v>
      </c>
      <c r="J1493" s="42" t="s">
        <v>532</v>
      </c>
    </row>
    <row r="1494" spans="1:10" s="43" customFormat="1" ht="15" x14ac:dyDescent="0.25">
      <c r="A1494" s="38" t="s">
        <v>584</v>
      </c>
      <c r="B1494" s="39" t="s">
        <v>442</v>
      </c>
      <c r="C1494" s="39" t="s">
        <v>1159</v>
      </c>
      <c r="D1494" s="40">
        <v>0.60660000000000003</v>
      </c>
      <c r="E1494" s="40">
        <v>0.65449999999999997</v>
      </c>
      <c r="F1494" s="40">
        <v>1.4750000000000001</v>
      </c>
      <c r="G1494" s="41">
        <v>0.58875706214689305</v>
      </c>
      <c r="H1494" s="41">
        <v>0.55627118644067797</v>
      </c>
      <c r="I1494" s="41">
        <v>3.2485875706214598E-2</v>
      </c>
      <c r="J1494" s="42" t="s">
        <v>532</v>
      </c>
    </row>
    <row r="1495" spans="1:10" s="43" customFormat="1" ht="15" x14ac:dyDescent="0.25">
      <c r="A1495" s="38" t="s">
        <v>578</v>
      </c>
      <c r="B1495" s="39" t="s">
        <v>442</v>
      </c>
      <c r="C1495" s="39" t="s">
        <v>1164</v>
      </c>
      <c r="D1495" s="40">
        <v>0.60660000000000003</v>
      </c>
      <c r="E1495" s="40">
        <v>0.6401</v>
      </c>
      <c r="F1495" s="40">
        <v>1.4750000000000001</v>
      </c>
      <c r="G1495" s="41">
        <v>0.58875706214689305</v>
      </c>
      <c r="H1495" s="41">
        <v>0.56603389830508499</v>
      </c>
      <c r="I1495" s="41">
        <v>2.2723163841807802E-2</v>
      </c>
      <c r="J1495" s="42" t="s">
        <v>532</v>
      </c>
    </row>
    <row r="1496" spans="1:10" s="43" customFormat="1" ht="15" x14ac:dyDescent="0.25">
      <c r="A1496" s="38" t="s">
        <v>705</v>
      </c>
      <c r="B1496" s="39" t="s">
        <v>442</v>
      </c>
      <c r="C1496" s="39" t="s">
        <v>1298</v>
      </c>
      <c r="D1496" s="40">
        <v>0.60660000000000003</v>
      </c>
      <c r="E1496" s="40">
        <v>0.67149999999999999</v>
      </c>
      <c r="F1496" s="40">
        <v>1.4750000000000001</v>
      </c>
      <c r="G1496" s="41">
        <v>0.58875706214689305</v>
      </c>
      <c r="H1496" s="41">
        <v>0.54472316384180797</v>
      </c>
      <c r="I1496" s="41">
        <v>4.40338983050848E-2</v>
      </c>
      <c r="J1496" s="42" t="s">
        <v>532</v>
      </c>
    </row>
    <row r="1497" spans="1:10" s="43" customFormat="1" ht="15" x14ac:dyDescent="0.25">
      <c r="A1497" s="38" t="s">
        <v>572</v>
      </c>
      <c r="B1497" s="39" t="s">
        <v>442</v>
      </c>
      <c r="C1497" s="39" t="s">
        <v>1303</v>
      </c>
      <c r="D1497" s="40">
        <v>0.60660000000000003</v>
      </c>
      <c r="E1497" s="40">
        <v>0.6804</v>
      </c>
      <c r="F1497" s="40">
        <v>1.4750000000000001</v>
      </c>
      <c r="G1497" s="41">
        <v>0.58875706214689305</v>
      </c>
      <c r="H1497" s="41">
        <v>0.53872316384180796</v>
      </c>
      <c r="I1497" s="41">
        <v>5.0033898305084597E-2</v>
      </c>
      <c r="J1497" s="42" t="s">
        <v>532</v>
      </c>
    </row>
    <row r="1498" spans="1:10" s="43" customFormat="1" ht="15" x14ac:dyDescent="0.25">
      <c r="A1498" s="38" t="s">
        <v>706</v>
      </c>
      <c r="B1498" s="39" t="s">
        <v>442</v>
      </c>
      <c r="C1498" s="39" t="s">
        <v>1309</v>
      </c>
      <c r="D1498" s="40">
        <v>0.60660000000000003</v>
      </c>
      <c r="E1498" s="40">
        <v>0.68</v>
      </c>
      <c r="F1498" s="40">
        <v>1.4750000000000001</v>
      </c>
      <c r="G1498" s="41">
        <v>0.58875706214689305</v>
      </c>
      <c r="H1498" s="41">
        <v>0.53898305084745801</v>
      </c>
      <c r="I1498" s="41">
        <v>4.9774011299434998E-2</v>
      </c>
      <c r="J1498" s="42" t="s">
        <v>532</v>
      </c>
    </row>
    <row r="1499" spans="1:10" s="43" customFormat="1" ht="15" x14ac:dyDescent="0.25">
      <c r="A1499" s="38" t="s">
        <v>577</v>
      </c>
      <c r="B1499" s="39" t="s">
        <v>442</v>
      </c>
      <c r="C1499" s="39" t="s">
        <v>1348</v>
      </c>
      <c r="D1499" s="40">
        <v>0.60640000000000005</v>
      </c>
      <c r="E1499" s="40">
        <v>0.7046</v>
      </c>
      <c r="F1499" s="40">
        <v>1.4750000000000001</v>
      </c>
      <c r="G1499" s="41">
        <v>0.58890395480225999</v>
      </c>
      <c r="H1499" s="41">
        <v>0.52231638418079096</v>
      </c>
      <c r="I1499" s="41">
        <v>6.6587570621469E-2</v>
      </c>
      <c r="J1499" s="42" t="s">
        <v>532</v>
      </c>
    </row>
    <row r="1500" spans="1:10" s="43" customFormat="1" ht="15" x14ac:dyDescent="0.25">
      <c r="A1500" s="38" t="s">
        <v>606</v>
      </c>
      <c r="B1500" s="39" t="s">
        <v>442</v>
      </c>
      <c r="C1500" s="39" t="s">
        <v>1352</v>
      </c>
      <c r="D1500" s="40">
        <v>0.60640000000000005</v>
      </c>
      <c r="E1500" s="40">
        <v>0.76619999999999999</v>
      </c>
      <c r="F1500" s="40">
        <v>1.4750000000000001</v>
      </c>
      <c r="G1500" s="41">
        <v>0.58890395480225999</v>
      </c>
      <c r="H1500" s="41">
        <v>0.48053107344632801</v>
      </c>
      <c r="I1500" s="41">
        <v>0.108372881355932</v>
      </c>
      <c r="J1500" s="42" t="s">
        <v>532</v>
      </c>
    </row>
    <row r="1501" spans="1:10" s="43" customFormat="1" ht="15" x14ac:dyDescent="0.25">
      <c r="A1501" s="38" t="s">
        <v>567</v>
      </c>
      <c r="B1501" s="39" t="s">
        <v>442</v>
      </c>
      <c r="C1501" s="39" t="s">
        <v>1359</v>
      </c>
      <c r="D1501" s="40">
        <v>0.60640000000000005</v>
      </c>
      <c r="E1501" s="40">
        <v>0.69220000000000004</v>
      </c>
      <c r="F1501" s="40">
        <v>1.4750000000000001</v>
      </c>
      <c r="G1501" s="41">
        <v>0.58890395480225999</v>
      </c>
      <c r="H1501" s="41">
        <v>0.53068926553672302</v>
      </c>
      <c r="I1501" s="41">
        <v>5.8214689265536898E-2</v>
      </c>
      <c r="J1501" s="42" t="s">
        <v>532</v>
      </c>
    </row>
    <row r="1502" spans="1:10" s="43" customFormat="1" ht="15" x14ac:dyDescent="0.25">
      <c r="A1502" s="38" t="s">
        <v>582</v>
      </c>
      <c r="B1502" s="39" t="s">
        <v>442</v>
      </c>
      <c r="C1502" s="39" t="s">
        <v>1364</v>
      </c>
      <c r="D1502" s="40">
        <v>0.60660000000000003</v>
      </c>
      <c r="E1502" s="40">
        <v>0.65269999999999995</v>
      </c>
      <c r="F1502" s="40">
        <v>1.4750000000000001</v>
      </c>
      <c r="G1502" s="41">
        <v>0.58875706214689305</v>
      </c>
      <c r="H1502" s="41">
        <v>0.55750282485875702</v>
      </c>
      <c r="I1502" s="41">
        <v>3.1254237288135603E-2</v>
      </c>
      <c r="J1502" s="42" t="s">
        <v>532</v>
      </c>
    </row>
    <row r="1503" spans="1:10" s="43" customFormat="1" ht="15" x14ac:dyDescent="0.25">
      <c r="A1503" s="38" t="s">
        <v>604</v>
      </c>
      <c r="B1503" s="39" t="s">
        <v>442</v>
      </c>
      <c r="C1503" s="39" t="s">
        <v>1368</v>
      </c>
      <c r="D1503" s="40">
        <v>0.60660000000000003</v>
      </c>
      <c r="E1503" s="40">
        <v>0.66720000000000002</v>
      </c>
      <c r="F1503" s="40">
        <v>1.4750000000000001</v>
      </c>
      <c r="G1503" s="41">
        <v>0.58875706214689305</v>
      </c>
      <c r="H1503" s="41">
        <v>0.54766101694915303</v>
      </c>
      <c r="I1503" s="41">
        <v>4.1096045197740003E-2</v>
      </c>
      <c r="J1503" s="42" t="s">
        <v>532</v>
      </c>
    </row>
    <row r="1504" spans="1:10" s="43" customFormat="1" ht="15" x14ac:dyDescent="0.25">
      <c r="A1504" s="38" t="s">
        <v>648</v>
      </c>
      <c r="B1504" s="39" t="s">
        <v>442</v>
      </c>
      <c r="C1504" s="39" t="s">
        <v>1639</v>
      </c>
      <c r="D1504" s="40">
        <v>0.60660000000000003</v>
      </c>
      <c r="E1504" s="40">
        <v>0.64559999999999995</v>
      </c>
      <c r="F1504" s="40">
        <v>1.4750000000000001</v>
      </c>
      <c r="G1504" s="41">
        <v>0.58875706214689305</v>
      </c>
      <c r="H1504" s="41">
        <v>0.56230508474576302</v>
      </c>
      <c r="I1504" s="41">
        <v>2.6451977401129801E-2</v>
      </c>
      <c r="J1504" s="42" t="s">
        <v>532</v>
      </c>
    </row>
    <row r="1505" spans="1:12" s="43" customFormat="1" ht="15" x14ac:dyDescent="0.25">
      <c r="A1505" s="38" t="s">
        <v>646</v>
      </c>
      <c r="B1505" s="39" t="s">
        <v>442</v>
      </c>
      <c r="C1505" s="39" t="s">
        <v>936</v>
      </c>
      <c r="D1505" s="40">
        <v>0.60660000000000003</v>
      </c>
      <c r="E1505" s="40">
        <v>0.61739999999999995</v>
      </c>
      <c r="F1505" s="40">
        <v>1.4750000000000001</v>
      </c>
      <c r="G1505" s="41">
        <v>0.58875706214689305</v>
      </c>
      <c r="H1505" s="41">
        <v>0.58142372881355997</v>
      </c>
      <c r="I1505" s="41">
        <v>7.3333333333331901E-3</v>
      </c>
      <c r="J1505" s="42" t="s">
        <v>532</v>
      </c>
    </row>
    <row r="1506" spans="1:12" s="43" customFormat="1" ht="15" x14ac:dyDescent="0.25">
      <c r="A1506" s="38" t="s">
        <v>534</v>
      </c>
      <c r="B1506" s="39" t="s">
        <v>442</v>
      </c>
      <c r="C1506" s="39" t="s">
        <v>1214</v>
      </c>
      <c r="D1506" s="40">
        <v>0.60660000000000003</v>
      </c>
      <c r="E1506" s="40">
        <v>0.68500000000000005</v>
      </c>
      <c r="F1506" s="40">
        <v>1.4750000000000001</v>
      </c>
      <c r="G1506" s="41">
        <v>0.58875706214689305</v>
      </c>
      <c r="H1506" s="41">
        <v>0.53559322033898304</v>
      </c>
      <c r="I1506" s="41">
        <v>5.3163841807909597E-2</v>
      </c>
      <c r="J1506" s="42" t="s">
        <v>532</v>
      </c>
    </row>
    <row r="1507" spans="1:12" x14ac:dyDescent="0.25">
      <c r="A1507" s="44">
        <v>2018</v>
      </c>
      <c r="B1507" s="44" t="s">
        <v>442</v>
      </c>
      <c r="C1507" s="44" t="s">
        <v>1820</v>
      </c>
      <c r="D1507" s="45">
        <v>0.60649081510666614</v>
      </c>
      <c r="E1507" s="45">
        <v>0.64064594298799482</v>
      </c>
      <c r="F1507" s="45">
        <v>1.4749999999999996</v>
      </c>
      <c r="G1507" s="46">
        <v>0.58883725444143176</v>
      </c>
      <c r="H1507" s="46">
        <v>0.56565916805100969</v>
      </c>
      <c r="I1507" s="46">
        <v>2.3178086390422115E-2</v>
      </c>
      <c r="J1507" s="47" t="s">
        <v>533</v>
      </c>
      <c r="K1507" s="48"/>
      <c r="L1507" s="48"/>
    </row>
    <row r="1508" spans="1:12" s="43" customFormat="1" ht="15" x14ac:dyDescent="0.25">
      <c r="A1508" s="38" t="s">
        <v>553</v>
      </c>
      <c r="B1508" s="39" t="s">
        <v>483</v>
      </c>
      <c r="C1508" s="39" t="s">
        <v>1287</v>
      </c>
      <c r="D1508" s="40">
        <v>6.0100000000000001E-2</v>
      </c>
      <c r="E1508" s="40">
        <v>0.73129999999999995</v>
      </c>
      <c r="F1508" s="40">
        <v>1.92</v>
      </c>
      <c r="G1508" s="41">
        <v>0.968686704282407</v>
      </c>
      <c r="H1508" s="41">
        <v>0.61911024305555595</v>
      </c>
      <c r="I1508" s="41">
        <v>0.34957646122685199</v>
      </c>
      <c r="J1508" s="42" t="s">
        <v>532</v>
      </c>
    </row>
    <row r="1509" spans="1:12" s="43" customFormat="1" ht="15" x14ac:dyDescent="0.25">
      <c r="A1509" s="38" t="s">
        <v>703</v>
      </c>
      <c r="B1509" s="39" t="s">
        <v>483</v>
      </c>
      <c r="C1509" s="39" t="s">
        <v>1292</v>
      </c>
      <c r="D1509" s="40">
        <v>6.0100000000000001E-2</v>
      </c>
      <c r="E1509" s="40">
        <v>0.73040000000000005</v>
      </c>
      <c r="F1509" s="40">
        <v>1.92</v>
      </c>
      <c r="G1509" s="41">
        <v>0.968686704282407</v>
      </c>
      <c r="H1509" s="41">
        <v>0.61957465277777801</v>
      </c>
      <c r="I1509" s="41">
        <v>0.34911205150462998</v>
      </c>
      <c r="J1509" s="42" t="s">
        <v>532</v>
      </c>
    </row>
    <row r="1510" spans="1:12" s="43" customFormat="1" ht="15" x14ac:dyDescent="0.25">
      <c r="A1510" s="38" t="s">
        <v>704</v>
      </c>
      <c r="B1510" s="39" t="s">
        <v>483</v>
      </c>
      <c r="C1510" s="39" t="s">
        <v>1296</v>
      </c>
      <c r="D1510" s="40">
        <v>6.0100000000000001E-2</v>
      </c>
      <c r="E1510" s="40">
        <v>0.75149999999999995</v>
      </c>
      <c r="F1510" s="40">
        <v>1.92</v>
      </c>
      <c r="G1510" s="41">
        <v>0.968686704282407</v>
      </c>
      <c r="H1510" s="41">
        <v>0.60859375000000004</v>
      </c>
      <c r="I1510" s="41">
        <v>0.36009295428240801</v>
      </c>
      <c r="J1510" s="42" t="s">
        <v>532</v>
      </c>
    </row>
    <row r="1511" spans="1:12" s="43" customFormat="1" ht="15" x14ac:dyDescent="0.25">
      <c r="A1511" s="38" t="s">
        <v>705</v>
      </c>
      <c r="B1511" s="39" t="s">
        <v>483</v>
      </c>
      <c r="C1511" s="39" t="s">
        <v>1300</v>
      </c>
      <c r="D1511" s="40">
        <v>6.0100000000000001E-2</v>
      </c>
      <c r="E1511" s="40">
        <v>0.75049999999999994</v>
      </c>
      <c r="F1511" s="40">
        <v>1.92</v>
      </c>
      <c r="G1511" s="41">
        <v>0.968686704282407</v>
      </c>
      <c r="H1511" s="41">
        <v>0.60911458333333302</v>
      </c>
      <c r="I1511" s="41">
        <v>0.35957212094907398</v>
      </c>
      <c r="J1511" s="42" t="s">
        <v>532</v>
      </c>
    </row>
    <row r="1512" spans="1:12" s="43" customFormat="1" ht="15" x14ac:dyDescent="0.25">
      <c r="A1512" s="38" t="s">
        <v>706</v>
      </c>
      <c r="B1512" s="39" t="s">
        <v>483</v>
      </c>
      <c r="C1512" s="39" t="s">
        <v>1311</v>
      </c>
      <c r="D1512" s="40">
        <v>6.0100000000000001E-2</v>
      </c>
      <c r="E1512" s="40">
        <v>0.71919999999999995</v>
      </c>
      <c r="F1512" s="40">
        <v>1.92</v>
      </c>
      <c r="G1512" s="41">
        <v>0.968686704282407</v>
      </c>
      <c r="H1512" s="41">
        <v>0.62541666666666695</v>
      </c>
      <c r="I1512" s="41">
        <v>0.34327003761574099</v>
      </c>
      <c r="J1512" s="42" t="s">
        <v>532</v>
      </c>
    </row>
    <row r="1513" spans="1:12" s="43" customFormat="1" ht="15" x14ac:dyDescent="0.25">
      <c r="A1513" s="38" t="s">
        <v>628</v>
      </c>
      <c r="B1513" s="39" t="s">
        <v>483</v>
      </c>
      <c r="C1513" s="39" t="s">
        <v>1316</v>
      </c>
      <c r="D1513" s="40">
        <v>6.0100000000000001E-2</v>
      </c>
      <c r="E1513" s="40">
        <v>0.77090000000000003</v>
      </c>
      <c r="F1513" s="40">
        <v>1.92</v>
      </c>
      <c r="G1513" s="41">
        <v>0.968686704282407</v>
      </c>
      <c r="H1513" s="41">
        <v>0.59848958333333302</v>
      </c>
      <c r="I1513" s="41">
        <v>0.37019712094907398</v>
      </c>
      <c r="J1513" s="42" t="s">
        <v>532</v>
      </c>
    </row>
    <row r="1514" spans="1:12" s="43" customFormat="1" ht="15" x14ac:dyDescent="0.25">
      <c r="A1514" s="38" t="s">
        <v>707</v>
      </c>
      <c r="B1514" s="39" t="s">
        <v>483</v>
      </c>
      <c r="C1514" s="39" t="s">
        <v>1078</v>
      </c>
      <c r="D1514" s="40">
        <v>6.0100000000000001E-2</v>
      </c>
      <c r="E1514" s="40">
        <v>0.70799999999999996</v>
      </c>
      <c r="F1514" s="40">
        <v>1.92</v>
      </c>
      <c r="G1514" s="41">
        <v>0.968686704282407</v>
      </c>
      <c r="H1514" s="41">
        <v>0.63124999999999998</v>
      </c>
      <c r="I1514" s="41">
        <v>0.33743670428240702</v>
      </c>
      <c r="J1514" s="42" t="s">
        <v>532</v>
      </c>
    </row>
    <row r="1515" spans="1:12" s="43" customFormat="1" ht="15" x14ac:dyDescent="0.25">
      <c r="A1515" s="38" t="s">
        <v>708</v>
      </c>
      <c r="B1515" s="39" t="s">
        <v>483</v>
      </c>
      <c r="C1515" s="39" t="s">
        <v>1324</v>
      </c>
      <c r="D1515" s="40">
        <v>6.0100000000000001E-2</v>
      </c>
      <c r="E1515" s="40">
        <v>0.70720000000000005</v>
      </c>
      <c r="F1515" s="40">
        <v>1.92</v>
      </c>
      <c r="G1515" s="41">
        <v>0.968686704282407</v>
      </c>
      <c r="H1515" s="41">
        <v>0.63164930555555598</v>
      </c>
      <c r="I1515" s="41">
        <v>0.33703739872685201</v>
      </c>
      <c r="J1515" s="42" t="s">
        <v>532</v>
      </c>
    </row>
    <row r="1516" spans="1:12" s="43" customFormat="1" ht="15" x14ac:dyDescent="0.25">
      <c r="A1516" s="38" t="s">
        <v>639</v>
      </c>
      <c r="B1516" s="39" t="s">
        <v>483</v>
      </c>
      <c r="C1516" s="39" t="s">
        <v>1286</v>
      </c>
      <c r="D1516" s="40">
        <v>0.72150000000000003</v>
      </c>
      <c r="E1516" s="40">
        <v>0.75790000000000002</v>
      </c>
      <c r="F1516" s="40"/>
      <c r="G1516" s="41"/>
      <c r="H1516" s="41"/>
      <c r="I1516" s="41"/>
      <c r="J1516" s="42" t="s">
        <v>532</v>
      </c>
    </row>
    <row r="1517" spans="1:12" s="43" customFormat="1" ht="15" x14ac:dyDescent="0.25">
      <c r="A1517" s="38" t="s">
        <v>555</v>
      </c>
      <c r="B1517" s="39" t="s">
        <v>483</v>
      </c>
      <c r="C1517" s="39" t="s">
        <v>1511</v>
      </c>
      <c r="D1517" s="40">
        <v>0.72150000000000003</v>
      </c>
      <c r="E1517" s="40">
        <v>0.73680000000000001</v>
      </c>
      <c r="F1517" s="40">
        <v>1.92</v>
      </c>
      <c r="G1517" s="41">
        <v>0.62424045138888895</v>
      </c>
      <c r="H1517" s="41">
        <v>0.61624999999999996</v>
      </c>
      <c r="I1517" s="41">
        <v>7.9904513888887606E-3</v>
      </c>
      <c r="J1517" s="42" t="s">
        <v>532</v>
      </c>
    </row>
    <row r="1518" spans="1:12" s="43" customFormat="1" ht="15" x14ac:dyDescent="0.25">
      <c r="A1518" s="38" t="s">
        <v>636</v>
      </c>
      <c r="B1518" s="39" t="s">
        <v>483</v>
      </c>
      <c r="C1518" s="39" t="s">
        <v>1515</v>
      </c>
      <c r="D1518" s="40">
        <v>0.72150000000000003</v>
      </c>
      <c r="E1518" s="40">
        <v>0.74139999999999995</v>
      </c>
      <c r="F1518" s="40">
        <v>1.92</v>
      </c>
      <c r="G1518" s="41">
        <v>0.62424045138888895</v>
      </c>
      <c r="H1518" s="41">
        <v>0.61385416666666603</v>
      </c>
      <c r="I1518" s="41">
        <v>1.0386284722222101E-2</v>
      </c>
      <c r="J1518" s="42" t="s">
        <v>532</v>
      </c>
    </row>
    <row r="1519" spans="1:12" s="43" customFormat="1" ht="15" x14ac:dyDescent="0.25">
      <c r="A1519" s="38" t="s">
        <v>547</v>
      </c>
      <c r="B1519" s="39" t="s">
        <v>483</v>
      </c>
      <c r="C1519" s="39" t="s">
        <v>1519</v>
      </c>
      <c r="D1519" s="40">
        <v>0.72150000000000003</v>
      </c>
      <c r="E1519" s="40">
        <v>0.73960000000000004</v>
      </c>
      <c r="F1519" s="40">
        <v>1.92</v>
      </c>
      <c r="G1519" s="41">
        <v>0.62424045138888895</v>
      </c>
      <c r="H1519" s="41">
        <v>0.61479166666666696</v>
      </c>
      <c r="I1519" s="41">
        <v>9.4487847222220998E-3</v>
      </c>
      <c r="J1519" s="42" t="s">
        <v>532</v>
      </c>
    </row>
    <row r="1520" spans="1:12" x14ac:dyDescent="0.25">
      <c r="A1520" s="44">
        <v>2018</v>
      </c>
      <c r="B1520" s="44" t="s">
        <v>483</v>
      </c>
      <c r="C1520" s="44" t="s">
        <v>1948</v>
      </c>
      <c r="D1520" s="45">
        <v>0.33975290925154611</v>
      </c>
      <c r="E1520" s="45">
        <v>0.74341453994698981</v>
      </c>
      <c r="F1520" s="45">
        <v>1.7346156758803484</v>
      </c>
      <c r="G1520" s="46">
        <v>0.76277494200728579</v>
      </c>
      <c r="H1520" s="46">
        <v>0.5543631098410744</v>
      </c>
      <c r="I1520" s="46">
        <v>0.20841183216621148</v>
      </c>
      <c r="J1520" s="47" t="s">
        <v>533</v>
      </c>
      <c r="K1520" s="48"/>
      <c r="L1520" s="48"/>
    </row>
    <row r="1521" spans="1:12" s="43" customFormat="1" ht="15" x14ac:dyDescent="0.25">
      <c r="A1521" s="38" t="s">
        <v>648</v>
      </c>
      <c r="B1521" s="39" t="s">
        <v>489</v>
      </c>
      <c r="C1521" s="39" t="s">
        <v>1640</v>
      </c>
      <c r="D1521" s="40">
        <v>0</v>
      </c>
      <c r="E1521" s="40">
        <v>0.64059999999999995</v>
      </c>
      <c r="F1521" s="40">
        <v>1.4750000000000001</v>
      </c>
      <c r="G1521" s="41">
        <v>1</v>
      </c>
      <c r="H1521" s="41">
        <v>0.56569491525423699</v>
      </c>
      <c r="I1521" s="41">
        <v>0.43430508474576301</v>
      </c>
      <c r="J1521" s="42" t="s">
        <v>532</v>
      </c>
    </row>
    <row r="1522" spans="1:12" x14ac:dyDescent="0.25">
      <c r="A1522" s="44">
        <v>2018</v>
      </c>
      <c r="B1522" s="44" t="s">
        <v>489</v>
      </c>
      <c r="C1522" s="44" t="s">
        <v>1640</v>
      </c>
      <c r="D1522" s="45">
        <v>0</v>
      </c>
      <c r="E1522" s="45">
        <v>0.64059999999999995</v>
      </c>
      <c r="F1522" s="45">
        <v>1.4750000000000003</v>
      </c>
      <c r="G1522" s="46">
        <v>1</v>
      </c>
      <c r="H1522" s="46">
        <v>0.56569491525423732</v>
      </c>
      <c r="I1522" s="46">
        <v>0.43430508474576274</v>
      </c>
      <c r="J1522" s="47" t="s">
        <v>533</v>
      </c>
      <c r="K1522" s="48"/>
      <c r="L1522" s="48"/>
    </row>
    <row r="1523" spans="1:12" s="43" customFormat="1" ht="15" x14ac:dyDescent="0.25">
      <c r="A1523" s="38" t="s">
        <v>620</v>
      </c>
      <c r="B1523" s="39" t="s">
        <v>491</v>
      </c>
      <c r="C1523" s="39" t="s">
        <v>1648</v>
      </c>
      <c r="D1523" s="40">
        <v>0.49349999999999999</v>
      </c>
      <c r="E1523" s="40">
        <v>0.73770000000000002</v>
      </c>
      <c r="F1523" s="40">
        <v>1.377</v>
      </c>
      <c r="G1523" s="41">
        <v>0.64161220043572997</v>
      </c>
      <c r="H1523" s="41">
        <v>0.46427015250544701</v>
      </c>
      <c r="I1523" s="41">
        <v>0.17734204793028299</v>
      </c>
      <c r="J1523" s="42" t="s">
        <v>532</v>
      </c>
    </row>
    <row r="1524" spans="1:12" s="43" customFormat="1" ht="15" x14ac:dyDescent="0.25">
      <c r="A1524" s="38" t="s">
        <v>649</v>
      </c>
      <c r="B1524" s="39" t="s">
        <v>491</v>
      </c>
      <c r="C1524" s="39" t="s">
        <v>1552</v>
      </c>
      <c r="D1524" s="40">
        <v>0.49349999999999999</v>
      </c>
      <c r="E1524" s="40">
        <v>0.53320000000000001</v>
      </c>
      <c r="F1524" s="40">
        <v>1.377</v>
      </c>
      <c r="G1524" s="41">
        <v>0.64161220043572997</v>
      </c>
      <c r="H1524" s="41">
        <v>0.61278140885984</v>
      </c>
      <c r="I1524" s="41">
        <v>2.8830791575889601E-2</v>
      </c>
      <c r="J1524" s="42" t="s">
        <v>532</v>
      </c>
    </row>
    <row r="1525" spans="1:12" x14ac:dyDescent="0.25">
      <c r="A1525" s="44">
        <v>2018</v>
      </c>
      <c r="B1525" s="44" t="s">
        <v>491</v>
      </c>
      <c r="C1525" s="44" t="s">
        <v>1982</v>
      </c>
      <c r="D1525" s="45">
        <v>0.49350000000000005</v>
      </c>
      <c r="E1525" s="45">
        <v>0.6181166206515738</v>
      </c>
      <c r="F1525" s="45">
        <v>1.377</v>
      </c>
      <c r="G1525" s="46">
        <v>0.64161220043572986</v>
      </c>
      <c r="H1525" s="46">
        <v>0.5511135652494018</v>
      </c>
      <c r="I1525" s="46">
        <v>9.0498635186328058E-2</v>
      </c>
      <c r="J1525" s="47" t="s">
        <v>533</v>
      </c>
      <c r="K1525" s="48"/>
      <c r="L1525" s="48"/>
    </row>
    <row r="1526" spans="1:12" s="43" customFormat="1" ht="15" x14ac:dyDescent="0.25">
      <c r="A1526" s="38" t="s">
        <v>620</v>
      </c>
      <c r="B1526" s="39" t="s">
        <v>492</v>
      </c>
      <c r="C1526" s="39" t="s">
        <v>1649</v>
      </c>
      <c r="D1526" s="40">
        <v>0.80920000000000003</v>
      </c>
      <c r="E1526" s="40">
        <v>0.97230000000000005</v>
      </c>
      <c r="F1526" s="40">
        <v>1.996</v>
      </c>
      <c r="G1526" s="41">
        <v>0.59458917835671299</v>
      </c>
      <c r="H1526" s="41">
        <v>0.51287575150300602</v>
      </c>
      <c r="I1526" s="41">
        <v>8.1713426853707402E-2</v>
      </c>
      <c r="J1526" s="42" t="s">
        <v>532</v>
      </c>
    </row>
    <row r="1527" spans="1:12" x14ac:dyDescent="0.25">
      <c r="A1527" s="44">
        <v>2018</v>
      </c>
      <c r="B1527" s="44" t="s">
        <v>492</v>
      </c>
      <c r="C1527" s="44" t="s">
        <v>1649</v>
      </c>
      <c r="D1527" s="45">
        <v>0.80920000000000003</v>
      </c>
      <c r="E1527" s="45">
        <v>0.97230000000000005</v>
      </c>
      <c r="F1527" s="45">
        <v>1.996</v>
      </c>
      <c r="G1527" s="46">
        <v>0.59458917835671332</v>
      </c>
      <c r="H1527" s="46">
        <v>0.51287575150300591</v>
      </c>
      <c r="I1527" s="46">
        <v>8.171342685370743E-2</v>
      </c>
      <c r="J1527" s="47" t="s">
        <v>533</v>
      </c>
      <c r="K1527" s="48"/>
      <c r="L1527" s="48"/>
    </row>
    <row r="1528" spans="1:12" s="43" customFormat="1" ht="15" x14ac:dyDescent="0.25">
      <c r="A1528" s="38" t="s">
        <v>543</v>
      </c>
      <c r="B1528" s="39" t="s">
        <v>493</v>
      </c>
      <c r="C1528" s="39" t="s">
        <v>1658</v>
      </c>
      <c r="D1528" s="40">
        <v>0.64810000000000001</v>
      </c>
      <c r="E1528" s="40">
        <v>0.79890000000000005</v>
      </c>
      <c r="F1528" s="40">
        <v>2.0070000000000001</v>
      </c>
      <c r="G1528" s="41">
        <v>0.67708021923268602</v>
      </c>
      <c r="H1528" s="41">
        <v>0.60194319880418501</v>
      </c>
      <c r="I1528" s="41">
        <v>7.5137020428500401E-2</v>
      </c>
      <c r="J1528" s="42" t="s">
        <v>532</v>
      </c>
    </row>
    <row r="1529" spans="1:12" s="43" customFormat="1" ht="15" x14ac:dyDescent="0.25">
      <c r="A1529" s="38" t="s">
        <v>645</v>
      </c>
      <c r="B1529" s="39" t="s">
        <v>493</v>
      </c>
      <c r="C1529" s="39" t="s">
        <v>1674</v>
      </c>
      <c r="D1529" s="40">
        <v>0.64810000000000001</v>
      </c>
      <c r="E1529" s="40">
        <v>0.76910000000000001</v>
      </c>
      <c r="F1529" s="40">
        <v>2.0070000000000001</v>
      </c>
      <c r="G1529" s="41">
        <v>0.67708021923268602</v>
      </c>
      <c r="H1529" s="41">
        <v>0.61679123069257602</v>
      </c>
      <c r="I1529" s="41">
        <v>6.0288988540109702E-2</v>
      </c>
      <c r="J1529" s="42" t="s">
        <v>532</v>
      </c>
    </row>
    <row r="1530" spans="1:12" x14ac:dyDescent="0.25">
      <c r="A1530" s="44">
        <v>2018</v>
      </c>
      <c r="B1530" s="44" t="s">
        <v>493</v>
      </c>
      <c r="C1530" s="44" t="s">
        <v>1983</v>
      </c>
      <c r="D1530" s="45">
        <v>0.6480999999999999</v>
      </c>
      <c r="E1530" s="45">
        <v>0.79729151807228915</v>
      </c>
      <c r="F1530" s="45">
        <v>2.0070000000000001</v>
      </c>
      <c r="G1530" s="46">
        <v>0.67708021923268569</v>
      </c>
      <c r="H1530" s="46">
        <v>0.60274463474225759</v>
      </c>
      <c r="I1530" s="46">
        <v>7.433558449042818E-2</v>
      </c>
      <c r="J1530" s="47" t="s">
        <v>533</v>
      </c>
      <c r="K1530" s="48"/>
      <c r="L1530" s="48"/>
    </row>
    <row r="1531" spans="1:12" s="43" customFormat="1" ht="15" x14ac:dyDescent="0.25">
      <c r="A1531" s="38" t="s">
        <v>605</v>
      </c>
      <c r="B1531" s="39" t="s">
        <v>459</v>
      </c>
      <c r="C1531" s="39" t="s">
        <v>937</v>
      </c>
      <c r="D1531" s="40">
        <v>1.9773000000000001</v>
      </c>
      <c r="E1531" s="40">
        <v>2.1263000000000001</v>
      </c>
      <c r="F1531" s="40">
        <v>5.2</v>
      </c>
      <c r="G1531" s="41">
        <v>0.61974519230769198</v>
      </c>
      <c r="H1531" s="41">
        <v>0.59109615384615399</v>
      </c>
      <c r="I1531" s="41">
        <v>2.8649038461538399E-2</v>
      </c>
      <c r="J1531" s="42" t="s">
        <v>532</v>
      </c>
    </row>
    <row r="1532" spans="1:12" s="43" customFormat="1" ht="15" x14ac:dyDescent="0.25">
      <c r="A1532" s="38" t="s">
        <v>595</v>
      </c>
      <c r="B1532" s="39" t="s">
        <v>459</v>
      </c>
      <c r="C1532" s="39" t="s">
        <v>999</v>
      </c>
      <c r="D1532" s="40">
        <v>1.9773000000000001</v>
      </c>
      <c r="E1532" s="40">
        <v>2.1154999999999999</v>
      </c>
      <c r="F1532" s="40">
        <v>5.2</v>
      </c>
      <c r="G1532" s="41">
        <v>0.61974519230769198</v>
      </c>
      <c r="H1532" s="41">
        <v>0.59316826923076904</v>
      </c>
      <c r="I1532" s="41">
        <v>2.6576923076923099E-2</v>
      </c>
      <c r="J1532" s="42" t="s">
        <v>532</v>
      </c>
    </row>
    <row r="1533" spans="1:12" x14ac:dyDescent="0.25">
      <c r="A1533" s="44">
        <v>2018</v>
      </c>
      <c r="B1533" s="44" t="s">
        <v>459</v>
      </c>
      <c r="C1533" s="44" t="s">
        <v>1918</v>
      </c>
      <c r="D1533" s="45">
        <v>1.9773000000000001</v>
      </c>
      <c r="E1533" s="45">
        <v>2.1201478170478172</v>
      </c>
      <c r="F1533" s="45">
        <v>5.2</v>
      </c>
      <c r="G1533" s="46">
        <v>0.61974519230769243</v>
      </c>
      <c r="H1533" s="46">
        <v>0.59227652726691193</v>
      </c>
      <c r="I1533" s="46">
        <v>2.7468665040780403E-2</v>
      </c>
      <c r="J1533" s="47" t="s">
        <v>533</v>
      </c>
      <c r="K1533" s="48"/>
      <c r="L1533" s="48"/>
    </row>
    <row r="1534" spans="1:12" s="43" customFormat="1" ht="15" x14ac:dyDescent="0.25">
      <c r="A1534" s="38" t="s">
        <v>629</v>
      </c>
      <c r="B1534" s="39" t="s">
        <v>481</v>
      </c>
      <c r="C1534" s="39" t="s">
        <v>1069</v>
      </c>
      <c r="D1534" s="40">
        <v>1.5731999999999999</v>
      </c>
      <c r="E1534" s="40">
        <v>1.8465</v>
      </c>
      <c r="F1534" s="40">
        <v>5.95</v>
      </c>
      <c r="G1534" s="41">
        <v>0.73559663865546199</v>
      </c>
      <c r="H1534" s="41">
        <v>0.68966386554621795</v>
      </c>
      <c r="I1534" s="41">
        <v>4.5932773109243701E-2</v>
      </c>
      <c r="J1534" s="42" t="s">
        <v>532</v>
      </c>
    </row>
    <row r="1535" spans="1:12" x14ac:dyDescent="0.25">
      <c r="A1535" s="44">
        <v>2018</v>
      </c>
      <c r="B1535" s="44" t="s">
        <v>481</v>
      </c>
      <c r="C1535" s="44" t="s">
        <v>1069</v>
      </c>
      <c r="D1535" s="45">
        <v>1.5731999999999999</v>
      </c>
      <c r="E1535" s="45">
        <v>1.8465</v>
      </c>
      <c r="F1535" s="45">
        <v>5.95</v>
      </c>
      <c r="G1535" s="46">
        <v>0.73559663865546221</v>
      </c>
      <c r="H1535" s="46">
        <v>0.6896638655462185</v>
      </c>
      <c r="I1535" s="46">
        <v>4.5932773109243701E-2</v>
      </c>
      <c r="J1535" s="47" t="s">
        <v>533</v>
      </c>
      <c r="K1535" s="48"/>
      <c r="L1535" s="48"/>
    </row>
    <row r="1536" spans="1:12" s="43" customFormat="1" ht="15" x14ac:dyDescent="0.25">
      <c r="A1536" s="38" t="s">
        <v>601</v>
      </c>
      <c r="B1536" s="39" t="s">
        <v>154</v>
      </c>
      <c r="C1536" s="39" t="s">
        <v>899</v>
      </c>
      <c r="D1536" s="40">
        <v>0.49809999999999999</v>
      </c>
      <c r="E1536" s="40">
        <v>0.57450000000000001</v>
      </c>
      <c r="F1536" s="40">
        <v>1.85</v>
      </c>
      <c r="G1536" s="41">
        <v>0.730756756756757</v>
      </c>
      <c r="H1536" s="41">
        <v>0.68945945945945997</v>
      </c>
      <c r="I1536" s="41">
        <v>4.1297297297297197E-2</v>
      </c>
      <c r="J1536" s="42" t="s">
        <v>532</v>
      </c>
    </row>
    <row r="1537" spans="1:12" s="43" customFormat="1" ht="15" x14ac:dyDescent="0.25">
      <c r="A1537" s="38" t="s">
        <v>592</v>
      </c>
      <c r="B1537" s="39" t="s">
        <v>154</v>
      </c>
      <c r="C1537" s="39" t="s">
        <v>869</v>
      </c>
      <c r="D1537" s="40">
        <v>0.49809999999999999</v>
      </c>
      <c r="E1537" s="40">
        <v>0.4864</v>
      </c>
      <c r="F1537" s="40">
        <v>1.85</v>
      </c>
      <c r="G1537" s="41">
        <v>0.730756756756757</v>
      </c>
      <c r="H1537" s="41">
        <v>0.73708108108108095</v>
      </c>
      <c r="I1537" s="41">
        <v>-6.3243243243243904E-3</v>
      </c>
      <c r="J1537" s="42" t="s">
        <v>532</v>
      </c>
    </row>
    <row r="1538" spans="1:12" x14ac:dyDescent="0.25">
      <c r="A1538" s="44">
        <v>2018</v>
      </c>
      <c r="B1538" s="44" t="s">
        <v>154</v>
      </c>
      <c r="C1538" s="44" t="s">
        <v>1694</v>
      </c>
      <c r="D1538" s="45">
        <v>0.49809999999999993</v>
      </c>
      <c r="E1538" s="45">
        <v>0.56949431818181817</v>
      </c>
      <c r="F1538" s="45">
        <v>1.85</v>
      </c>
      <c r="G1538" s="46">
        <v>0.73075675675675678</v>
      </c>
      <c r="H1538" s="46">
        <v>0.69216523341523351</v>
      </c>
      <c r="I1538" s="46">
        <v>3.8591523341523298E-2</v>
      </c>
      <c r="J1538" s="47" t="s">
        <v>533</v>
      </c>
      <c r="K1538" s="48"/>
      <c r="L1538" s="48"/>
    </row>
    <row r="1539" spans="1:12" s="43" customFormat="1" ht="15" x14ac:dyDescent="0.25">
      <c r="A1539" s="38" t="s">
        <v>594</v>
      </c>
      <c r="B1539" s="39" t="s">
        <v>155</v>
      </c>
      <c r="C1539" s="39" t="s">
        <v>872</v>
      </c>
      <c r="D1539" s="40">
        <v>0.55789999999999995</v>
      </c>
      <c r="E1539" s="40">
        <v>0.66279999999999994</v>
      </c>
      <c r="F1539" s="40">
        <v>1.85</v>
      </c>
      <c r="G1539" s="41">
        <v>0.69843243243243203</v>
      </c>
      <c r="H1539" s="41">
        <v>0.64172972972972997</v>
      </c>
      <c r="I1539" s="41">
        <v>5.6702702702702501E-2</v>
      </c>
      <c r="J1539" s="42" t="s">
        <v>532</v>
      </c>
    </row>
    <row r="1540" spans="1:12" x14ac:dyDescent="0.25">
      <c r="A1540" s="44">
        <v>2018</v>
      </c>
      <c r="B1540" s="44" t="s">
        <v>155</v>
      </c>
      <c r="C1540" s="44" t="s">
        <v>872</v>
      </c>
      <c r="D1540" s="45">
        <v>0.55789999999999995</v>
      </c>
      <c r="E1540" s="45">
        <v>0.66279999999999994</v>
      </c>
      <c r="F1540" s="45">
        <v>1.85</v>
      </c>
      <c r="G1540" s="46">
        <v>0.69843243243243236</v>
      </c>
      <c r="H1540" s="46">
        <v>0.64172972972972986</v>
      </c>
      <c r="I1540" s="46">
        <v>5.6702702702702501E-2</v>
      </c>
      <c r="J1540" s="47" t="s">
        <v>533</v>
      </c>
      <c r="K1540" s="48"/>
      <c r="L1540" s="48"/>
    </row>
    <row r="1541" spans="1:12" s="43" customFormat="1" ht="15" x14ac:dyDescent="0.25">
      <c r="A1541" s="38" t="s">
        <v>593</v>
      </c>
      <c r="B1541" s="39" t="s">
        <v>156</v>
      </c>
      <c r="C1541" s="39" t="s">
        <v>864</v>
      </c>
      <c r="D1541" s="40">
        <v>0.54279999999999995</v>
      </c>
      <c r="E1541" s="40">
        <v>0.64659999999999995</v>
      </c>
      <c r="F1541" s="40">
        <v>1.85</v>
      </c>
      <c r="G1541" s="41">
        <v>0.70659459459459395</v>
      </c>
      <c r="H1541" s="41">
        <v>0.65048648648648599</v>
      </c>
      <c r="I1541" s="41">
        <v>5.6108108108107999E-2</v>
      </c>
      <c r="J1541" s="42" t="s">
        <v>532</v>
      </c>
    </row>
    <row r="1542" spans="1:12" x14ac:dyDescent="0.25">
      <c r="A1542" s="44">
        <v>2018</v>
      </c>
      <c r="B1542" s="44" t="s">
        <v>156</v>
      </c>
      <c r="C1542" s="44" t="s">
        <v>864</v>
      </c>
      <c r="D1542" s="45">
        <v>0.54279999999999995</v>
      </c>
      <c r="E1542" s="45">
        <v>0.64659999999999995</v>
      </c>
      <c r="F1542" s="45">
        <v>1.85</v>
      </c>
      <c r="G1542" s="46">
        <v>0.70659459459459462</v>
      </c>
      <c r="H1542" s="46">
        <v>0.65048648648648655</v>
      </c>
      <c r="I1542" s="46">
        <v>5.6108108108107957E-2</v>
      </c>
      <c r="J1542" s="47" t="s">
        <v>533</v>
      </c>
      <c r="K1542" s="48"/>
      <c r="L1542" s="48"/>
    </row>
    <row r="1543" spans="1:12" s="43" customFormat="1" ht="15" x14ac:dyDescent="0.25">
      <c r="A1543" s="38" t="s">
        <v>594</v>
      </c>
      <c r="B1543" s="39" t="s">
        <v>157</v>
      </c>
      <c r="C1543" s="39" t="s">
        <v>873</v>
      </c>
      <c r="D1543" s="40">
        <v>0.56369999999999998</v>
      </c>
      <c r="E1543" s="40">
        <v>0.70340000000000003</v>
      </c>
      <c r="F1543" s="40">
        <v>1.85</v>
      </c>
      <c r="G1543" s="41">
        <v>0.69529729729729695</v>
      </c>
      <c r="H1543" s="41">
        <v>0.61978378378378396</v>
      </c>
      <c r="I1543" s="41">
        <v>7.5513513513513597E-2</v>
      </c>
      <c r="J1543" s="42" t="s">
        <v>532</v>
      </c>
    </row>
    <row r="1544" spans="1:12" x14ac:dyDescent="0.25">
      <c r="A1544" s="44">
        <v>2018</v>
      </c>
      <c r="B1544" s="44" t="s">
        <v>157</v>
      </c>
      <c r="C1544" s="44" t="s">
        <v>873</v>
      </c>
      <c r="D1544" s="45">
        <v>0.56369999999999998</v>
      </c>
      <c r="E1544" s="45">
        <v>0.70340000000000003</v>
      </c>
      <c r="F1544" s="45">
        <v>1.8500000000000003</v>
      </c>
      <c r="G1544" s="46">
        <v>0.69529729729729739</v>
      </c>
      <c r="H1544" s="46">
        <v>0.61978378378378374</v>
      </c>
      <c r="I1544" s="46">
        <v>7.5513513513513653E-2</v>
      </c>
      <c r="J1544" s="47" t="s">
        <v>533</v>
      </c>
      <c r="K1544" s="48"/>
      <c r="L1544" s="48"/>
    </row>
    <row r="1545" spans="1:12" s="43" customFormat="1" ht="15" x14ac:dyDescent="0.25">
      <c r="A1545" s="38" t="s">
        <v>632</v>
      </c>
      <c r="B1545" s="39" t="s">
        <v>194</v>
      </c>
      <c r="C1545" s="39" t="s">
        <v>1272</v>
      </c>
      <c r="D1545" s="40">
        <v>2.7168000000000001</v>
      </c>
      <c r="E1545" s="40">
        <v>3.0354000000000001</v>
      </c>
      <c r="F1545" s="40">
        <v>7.84</v>
      </c>
      <c r="G1545" s="41">
        <v>0.65346938775510199</v>
      </c>
      <c r="H1545" s="41">
        <v>0.61283163265306095</v>
      </c>
      <c r="I1545" s="41">
        <v>4.0637755102040797E-2</v>
      </c>
      <c r="J1545" s="42" t="s">
        <v>532</v>
      </c>
    </row>
    <row r="1546" spans="1:12" x14ac:dyDescent="0.25">
      <c r="A1546" s="44">
        <v>2018</v>
      </c>
      <c r="B1546" s="44" t="s">
        <v>194</v>
      </c>
      <c r="C1546" s="44" t="s">
        <v>1272</v>
      </c>
      <c r="D1546" s="45">
        <v>2.7168000000000001</v>
      </c>
      <c r="E1546" s="45">
        <v>3.0354000000000001</v>
      </c>
      <c r="F1546" s="45">
        <v>7.84</v>
      </c>
      <c r="G1546" s="46">
        <v>0.65346938775510199</v>
      </c>
      <c r="H1546" s="46">
        <v>0.61283163265306118</v>
      </c>
      <c r="I1546" s="46">
        <v>4.0637755102040818E-2</v>
      </c>
      <c r="J1546" s="47" t="s">
        <v>533</v>
      </c>
      <c r="K1546" s="48"/>
      <c r="L1546" s="48"/>
    </row>
    <row r="1547" spans="1:12" s="43" customFormat="1" ht="15" x14ac:dyDescent="0.25">
      <c r="A1547" s="38" t="s">
        <v>632</v>
      </c>
      <c r="B1547" s="39" t="s">
        <v>195</v>
      </c>
      <c r="C1547" s="39" t="s">
        <v>1273</v>
      </c>
      <c r="D1547" s="40">
        <v>3.0133000000000001</v>
      </c>
      <c r="E1547" s="40">
        <v>2.9102000000000001</v>
      </c>
      <c r="F1547" s="40">
        <v>7.84</v>
      </c>
      <c r="G1547" s="41">
        <v>0.61565051020408201</v>
      </c>
      <c r="H1547" s="41">
        <v>0.62880102040816299</v>
      </c>
      <c r="I1547" s="41">
        <v>-1.3150510204081801E-2</v>
      </c>
      <c r="J1547" s="42" t="s">
        <v>532</v>
      </c>
    </row>
    <row r="1548" spans="1:12" x14ac:dyDescent="0.25">
      <c r="A1548" s="44">
        <v>2018</v>
      </c>
      <c r="B1548" s="44" t="s">
        <v>195</v>
      </c>
      <c r="C1548" s="44" t="s">
        <v>1273</v>
      </c>
      <c r="D1548" s="45">
        <v>3.0133000000000001</v>
      </c>
      <c r="E1548" s="45">
        <v>2.9102000000000001</v>
      </c>
      <c r="F1548" s="45">
        <v>7.839999999999999</v>
      </c>
      <c r="G1548" s="46">
        <v>0.61565051020408157</v>
      </c>
      <c r="H1548" s="46">
        <v>0.62880102040816332</v>
      </c>
      <c r="I1548" s="46">
        <v>-1.3150510204081756E-2</v>
      </c>
      <c r="J1548" s="47" t="s">
        <v>533</v>
      </c>
      <c r="K1548" s="48"/>
      <c r="L1548" s="48"/>
    </row>
    <row r="1549" spans="1:12" s="43" customFormat="1" ht="15" x14ac:dyDescent="0.25">
      <c r="A1549" s="38" t="s">
        <v>623</v>
      </c>
      <c r="B1549" s="39" t="s">
        <v>200</v>
      </c>
      <c r="C1549" s="39" t="s">
        <v>945</v>
      </c>
      <c r="D1549" s="40">
        <v>2.1760999999999999</v>
      </c>
      <c r="E1549" s="40">
        <v>2.5617000000000001</v>
      </c>
      <c r="F1549" s="40">
        <v>5.83</v>
      </c>
      <c r="G1549" s="41">
        <v>0.62674099485420198</v>
      </c>
      <c r="H1549" s="41">
        <v>0.56060034305317297</v>
      </c>
      <c r="I1549" s="41">
        <v>6.6140651801029196E-2</v>
      </c>
      <c r="J1549" s="42" t="s">
        <v>532</v>
      </c>
    </row>
    <row r="1550" spans="1:12" s="43" customFormat="1" ht="15" x14ac:dyDescent="0.25">
      <c r="A1550" s="38" t="s">
        <v>692</v>
      </c>
      <c r="B1550" s="39" t="s">
        <v>200</v>
      </c>
      <c r="C1550" s="39" t="s">
        <v>1144</v>
      </c>
      <c r="D1550" s="40">
        <v>2.1760999999999999</v>
      </c>
      <c r="E1550" s="40">
        <v>2.2616999999999998</v>
      </c>
      <c r="F1550" s="40">
        <v>5.83</v>
      </c>
      <c r="G1550" s="41">
        <v>0.62674099485420198</v>
      </c>
      <c r="H1550" s="41">
        <v>0.61205831903945096</v>
      </c>
      <c r="I1550" s="41">
        <v>1.46826758147512E-2</v>
      </c>
      <c r="J1550" s="42" t="s">
        <v>532</v>
      </c>
    </row>
    <row r="1551" spans="1:12" s="43" customFormat="1" ht="15" x14ac:dyDescent="0.25">
      <c r="A1551" s="38" t="s">
        <v>693</v>
      </c>
      <c r="B1551" s="39" t="s">
        <v>200</v>
      </c>
      <c r="C1551" s="39" t="s">
        <v>1149</v>
      </c>
      <c r="D1551" s="40">
        <v>2.1760999999999999</v>
      </c>
      <c r="E1551" s="40">
        <v>2.2452999999999999</v>
      </c>
      <c r="F1551" s="40">
        <v>5.83</v>
      </c>
      <c r="G1551" s="41">
        <v>0.62674099485420198</v>
      </c>
      <c r="H1551" s="41">
        <v>0.61487135506003399</v>
      </c>
      <c r="I1551" s="41">
        <v>1.1869639794168101E-2</v>
      </c>
      <c r="J1551" s="42" t="s">
        <v>532</v>
      </c>
    </row>
    <row r="1552" spans="1:12" s="43" customFormat="1" ht="15" x14ac:dyDescent="0.25">
      <c r="A1552" s="38" t="s">
        <v>634</v>
      </c>
      <c r="B1552" s="39" t="s">
        <v>200</v>
      </c>
      <c r="C1552" s="39" t="s">
        <v>1413</v>
      </c>
      <c r="D1552" s="40">
        <v>2.2185999999999999</v>
      </c>
      <c r="E1552" s="40">
        <v>2.7902</v>
      </c>
      <c r="F1552" s="40">
        <v>5.8380000000000001</v>
      </c>
      <c r="G1552" s="41">
        <v>0.61997259335388799</v>
      </c>
      <c r="H1552" s="41">
        <v>0.52206235011990398</v>
      </c>
      <c r="I1552" s="41">
        <v>9.7910243233984201E-2</v>
      </c>
      <c r="J1552" s="42" t="s">
        <v>532</v>
      </c>
    </row>
    <row r="1553" spans="1:12" s="43" customFormat="1" ht="15" x14ac:dyDescent="0.25">
      <c r="A1553" s="38" t="s">
        <v>583</v>
      </c>
      <c r="B1553" s="39" t="s">
        <v>200</v>
      </c>
      <c r="C1553" s="39" t="s">
        <v>1419</v>
      </c>
      <c r="D1553" s="40">
        <v>2.2185999999999999</v>
      </c>
      <c r="E1553" s="40">
        <v>2.6787999999999998</v>
      </c>
      <c r="F1553" s="40">
        <v>5.8380000000000001</v>
      </c>
      <c r="G1553" s="41">
        <v>0.61997259335388799</v>
      </c>
      <c r="H1553" s="41">
        <v>0.541144227475163</v>
      </c>
      <c r="I1553" s="41">
        <v>7.8828365878725604E-2</v>
      </c>
      <c r="J1553" s="42" t="s">
        <v>532</v>
      </c>
    </row>
    <row r="1554" spans="1:12" s="43" customFormat="1" ht="15" x14ac:dyDescent="0.25">
      <c r="A1554" s="38" t="s">
        <v>597</v>
      </c>
      <c r="B1554" s="39" t="s">
        <v>200</v>
      </c>
      <c r="C1554" s="39" t="s">
        <v>1548</v>
      </c>
      <c r="D1554" s="40">
        <v>2.2185999999999999</v>
      </c>
      <c r="E1554" s="40">
        <v>2.5627</v>
      </c>
      <c r="F1554" s="40">
        <v>5.8380000000000001</v>
      </c>
      <c r="G1554" s="41">
        <v>0.61997259335388799</v>
      </c>
      <c r="H1554" s="41">
        <v>0.56103117505995204</v>
      </c>
      <c r="I1554" s="41">
        <v>5.8941418293936301E-2</v>
      </c>
      <c r="J1554" s="42" t="s">
        <v>532</v>
      </c>
    </row>
    <row r="1555" spans="1:12" s="43" customFormat="1" ht="15" x14ac:dyDescent="0.25">
      <c r="A1555" s="38" t="s">
        <v>599</v>
      </c>
      <c r="B1555" s="39" t="s">
        <v>200</v>
      </c>
      <c r="C1555" s="39" t="s">
        <v>1554</v>
      </c>
      <c r="D1555" s="40">
        <v>2.2185999999999999</v>
      </c>
      <c r="E1555" s="40">
        <v>2.4885999999999999</v>
      </c>
      <c r="F1555" s="40">
        <v>5.8380000000000001</v>
      </c>
      <c r="G1555" s="41">
        <v>0.61997259335388799</v>
      </c>
      <c r="H1555" s="41">
        <v>0.57372387804042502</v>
      </c>
      <c r="I1555" s="41">
        <v>4.6248715313463501E-2</v>
      </c>
      <c r="J1555" s="42" t="s">
        <v>532</v>
      </c>
    </row>
    <row r="1556" spans="1:12" x14ac:dyDescent="0.25">
      <c r="A1556" s="44">
        <v>2018</v>
      </c>
      <c r="B1556" s="44" t="s">
        <v>200</v>
      </c>
      <c r="C1556" s="44" t="s">
        <v>1941</v>
      </c>
      <c r="D1556" s="45">
        <v>2.2016500294290759</v>
      </c>
      <c r="E1556" s="45">
        <v>2.566928216597999</v>
      </c>
      <c r="F1556" s="45">
        <v>5.8348094173042968</v>
      </c>
      <c r="G1556" s="46">
        <v>0.62267198644194766</v>
      </c>
      <c r="H1556" s="46">
        <v>0.56008139496125764</v>
      </c>
      <c r="I1556" s="46">
        <v>6.2590591480690044E-2</v>
      </c>
      <c r="J1556" s="47" t="s">
        <v>533</v>
      </c>
      <c r="K1556" s="48"/>
      <c r="L1556" s="48"/>
    </row>
    <row r="1557" spans="1:12" s="43" customFormat="1" ht="15" x14ac:dyDescent="0.25">
      <c r="A1557" s="38" t="s">
        <v>685</v>
      </c>
      <c r="B1557" s="39" t="s">
        <v>201</v>
      </c>
      <c r="C1557" s="39" t="s">
        <v>1075</v>
      </c>
      <c r="D1557" s="40">
        <v>2.3315999999999999</v>
      </c>
      <c r="E1557" s="40">
        <v>2.3205</v>
      </c>
      <c r="F1557" s="40">
        <v>6.39</v>
      </c>
      <c r="G1557" s="41">
        <v>0.63511737089201903</v>
      </c>
      <c r="H1557" s="41">
        <v>0.63685446009389701</v>
      </c>
      <c r="I1557" s="41">
        <v>-1.73708920187809E-3</v>
      </c>
      <c r="J1557" s="42" t="s">
        <v>532</v>
      </c>
    </row>
    <row r="1558" spans="1:12" s="43" customFormat="1" ht="15" x14ac:dyDescent="0.25">
      <c r="A1558" s="38" t="s">
        <v>603</v>
      </c>
      <c r="B1558" s="39" t="s">
        <v>201</v>
      </c>
      <c r="C1558" s="39" t="s">
        <v>1424</v>
      </c>
      <c r="D1558" s="40">
        <v>2.3020999999999998</v>
      </c>
      <c r="E1558" s="40">
        <v>2.5855999999999999</v>
      </c>
      <c r="F1558" s="40">
        <v>6.45</v>
      </c>
      <c r="G1558" s="41">
        <v>0.64308527131783</v>
      </c>
      <c r="H1558" s="41">
        <v>0.59913178294573599</v>
      </c>
      <c r="I1558" s="41">
        <v>4.3953488372093001E-2</v>
      </c>
      <c r="J1558" s="42" t="s">
        <v>532</v>
      </c>
    </row>
    <row r="1559" spans="1:12" s="43" customFormat="1" ht="15" x14ac:dyDescent="0.25">
      <c r="A1559" s="38" t="s">
        <v>599</v>
      </c>
      <c r="B1559" s="39" t="s">
        <v>201</v>
      </c>
      <c r="C1559" s="39" t="s">
        <v>807</v>
      </c>
      <c r="D1559" s="40">
        <v>2.3020999999999998</v>
      </c>
      <c r="E1559" s="40">
        <v>2.6084000000000001</v>
      </c>
      <c r="F1559" s="40">
        <v>6.45</v>
      </c>
      <c r="G1559" s="41">
        <v>0.64308527131783</v>
      </c>
      <c r="H1559" s="41">
        <v>0.59559689922480596</v>
      </c>
      <c r="I1559" s="41">
        <v>4.7488372093023298E-2</v>
      </c>
      <c r="J1559" s="42" t="s">
        <v>532</v>
      </c>
    </row>
    <row r="1560" spans="1:12" x14ac:dyDescent="0.25">
      <c r="A1560" s="44">
        <v>2018</v>
      </c>
      <c r="B1560" s="44" t="s">
        <v>201</v>
      </c>
      <c r="C1560" s="44" t="s">
        <v>1930</v>
      </c>
      <c r="D1560" s="45">
        <v>2.3150652294853962</v>
      </c>
      <c r="E1560" s="45">
        <v>2.4738072878998607</v>
      </c>
      <c r="F1560" s="45">
        <v>6.4236300417246177</v>
      </c>
      <c r="G1560" s="46">
        <v>0.63958338462164555</v>
      </c>
      <c r="H1560" s="46">
        <v>0.61497931463022071</v>
      </c>
      <c r="I1560" s="46">
        <v>2.4604069991424789E-2</v>
      </c>
      <c r="J1560" s="47" t="s">
        <v>533</v>
      </c>
      <c r="K1560" s="48"/>
      <c r="L1560" s="48"/>
    </row>
    <row r="1561" spans="1:12" s="43" customFormat="1" ht="15" x14ac:dyDescent="0.25">
      <c r="A1561" s="38" t="s">
        <v>623</v>
      </c>
      <c r="B1561" s="39" t="s">
        <v>419</v>
      </c>
      <c r="C1561" s="39" t="s">
        <v>1140</v>
      </c>
      <c r="D1561" s="40">
        <v>2.0768</v>
      </c>
      <c r="E1561" s="40">
        <v>1.4519</v>
      </c>
      <c r="F1561" s="40">
        <v>5.96</v>
      </c>
      <c r="G1561" s="41">
        <v>0.65153523489932896</v>
      </c>
      <c r="H1561" s="41">
        <v>0.75638982102908303</v>
      </c>
      <c r="I1561" s="41">
        <v>-0.104854586129754</v>
      </c>
      <c r="J1561" s="42" t="s">
        <v>532</v>
      </c>
    </row>
    <row r="1562" spans="1:12" s="43" customFormat="1" ht="15" x14ac:dyDescent="0.25">
      <c r="A1562" s="38" t="s">
        <v>694</v>
      </c>
      <c r="B1562" s="39" t="s">
        <v>419</v>
      </c>
      <c r="C1562" s="39" t="s">
        <v>1004</v>
      </c>
      <c r="D1562" s="40">
        <v>1.9525999999999999</v>
      </c>
      <c r="E1562" s="40">
        <v>1.5285</v>
      </c>
      <c r="F1562" s="40">
        <v>5.96</v>
      </c>
      <c r="G1562" s="41">
        <v>0.67238255033557004</v>
      </c>
      <c r="H1562" s="41">
        <v>0.743540268456376</v>
      </c>
      <c r="I1562" s="41">
        <v>-7.1157718120805402E-2</v>
      </c>
      <c r="J1562" s="42" t="s">
        <v>532</v>
      </c>
    </row>
    <row r="1563" spans="1:12" s="43" customFormat="1" ht="15" x14ac:dyDescent="0.25">
      <c r="A1563" s="38" t="s">
        <v>575</v>
      </c>
      <c r="B1563" s="39" t="s">
        <v>419</v>
      </c>
      <c r="C1563" s="39" t="s">
        <v>1474</v>
      </c>
      <c r="D1563" s="40">
        <v>1.9525999999999999</v>
      </c>
      <c r="E1563" s="40">
        <v>2.9159000000000002</v>
      </c>
      <c r="F1563" s="40">
        <v>5.96</v>
      </c>
      <c r="G1563" s="41">
        <v>0.67238255033557004</v>
      </c>
      <c r="H1563" s="41">
        <v>0.51075503355704699</v>
      </c>
      <c r="I1563" s="41">
        <v>0.16162751677852299</v>
      </c>
      <c r="J1563" s="42" t="s">
        <v>532</v>
      </c>
    </row>
    <row r="1564" spans="1:12" s="43" customFormat="1" ht="15" x14ac:dyDescent="0.25">
      <c r="A1564" s="38" t="s">
        <v>534</v>
      </c>
      <c r="B1564" s="39" t="s">
        <v>419</v>
      </c>
      <c r="C1564" s="39" t="s">
        <v>1099</v>
      </c>
      <c r="D1564" s="40">
        <v>1.9525999999999999</v>
      </c>
      <c r="E1564" s="40">
        <v>0.76559999999999995</v>
      </c>
      <c r="F1564" s="40">
        <v>5.96</v>
      </c>
      <c r="G1564" s="41">
        <v>0.67238255033557004</v>
      </c>
      <c r="H1564" s="41">
        <v>0.871543624161074</v>
      </c>
      <c r="I1564" s="41">
        <v>-0.19916107382550299</v>
      </c>
      <c r="J1564" s="42" t="s">
        <v>532</v>
      </c>
    </row>
    <row r="1565" spans="1:12" x14ac:dyDescent="0.25">
      <c r="A1565" s="44">
        <v>2018</v>
      </c>
      <c r="B1565" s="44" t="s">
        <v>419</v>
      </c>
      <c r="C1565" s="44" t="s">
        <v>1463</v>
      </c>
      <c r="D1565" s="45">
        <v>1.9921256990679095</v>
      </c>
      <c r="E1565" s="45">
        <v>1.5572977363515312</v>
      </c>
      <c r="F1565" s="45">
        <v>5.96</v>
      </c>
      <c r="G1565" s="46">
        <v>0.66574805181458274</v>
      </c>
      <c r="H1565" s="46">
        <v>0.73870754355862589</v>
      </c>
      <c r="I1565" s="46">
        <v>-7.2959491744043065E-2</v>
      </c>
      <c r="J1565" s="47" t="s">
        <v>533</v>
      </c>
      <c r="K1565" s="48"/>
      <c r="L1565" s="48"/>
    </row>
    <row r="1566" spans="1:12" s="43" customFormat="1" ht="15" x14ac:dyDescent="0.25">
      <c r="A1566" s="38" t="s">
        <v>612</v>
      </c>
      <c r="B1566" s="39" t="s">
        <v>209</v>
      </c>
      <c r="C1566" s="39" t="s">
        <v>991</v>
      </c>
      <c r="D1566" s="40">
        <v>1.3506</v>
      </c>
      <c r="E1566" s="40">
        <v>1.3715999999999999</v>
      </c>
      <c r="F1566" s="40">
        <v>5.1539999999999999</v>
      </c>
      <c r="G1566" s="41">
        <v>0.73795433967145196</v>
      </c>
      <c r="H1566" s="41">
        <v>0.73387013322985395</v>
      </c>
      <c r="I1566" s="41">
        <v>4.0842064415986803E-3</v>
      </c>
      <c r="J1566" s="42" t="s">
        <v>532</v>
      </c>
    </row>
    <row r="1567" spans="1:12" s="43" customFormat="1" ht="15" x14ac:dyDescent="0.25">
      <c r="A1567" s="38" t="s">
        <v>578</v>
      </c>
      <c r="B1567" s="39" t="s">
        <v>209</v>
      </c>
      <c r="C1567" s="39" t="s">
        <v>888</v>
      </c>
      <c r="D1567" s="40">
        <v>1.3724000000000001</v>
      </c>
      <c r="E1567" s="40">
        <v>1.2572000000000001</v>
      </c>
      <c r="F1567" s="40">
        <v>5.1539999999999999</v>
      </c>
      <c r="G1567" s="41">
        <v>0.73371814771698396</v>
      </c>
      <c r="H1567" s="41">
        <v>0.75607295304617805</v>
      </c>
      <c r="I1567" s="41">
        <v>-2.2354805329194202E-2</v>
      </c>
      <c r="J1567" s="42" t="s">
        <v>532</v>
      </c>
    </row>
    <row r="1568" spans="1:12" s="43" customFormat="1" ht="15" x14ac:dyDescent="0.25">
      <c r="A1568" s="38" t="s">
        <v>583</v>
      </c>
      <c r="B1568" s="39" t="s">
        <v>209</v>
      </c>
      <c r="C1568" s="39" t="s">
        <v>1421</v>
      </c>
      <c r="D1568" s="40">
        <v>1.3724000000000001</v>
      </c>
      <c r="E1568" s="40">
        <v>0.81879999999999997</v>
      </c>
      <c r="F1568" s="40">
        <v>5.4080000000000004</v>
      </c>
      <c r="G1568" s="41">
        <v>0.74622472879684398</v>
      </c>
      <c r="H1568" s="41">
        <v>0.84859467455621296</v>
      </c>
      <c r="I1568" s="41">
        <v>-0.102369945759369</v>
      </c>
      <c r="J1568" s="42" t="s">
        <v>532</v>
      </c>
    </row>
    <row r="1569" spans="1:12" x14ac:dyDescent="0.25">
      <c r="A1569" s="44">
        <v>2018</v>
      </c>
      <c r="B1569" s="44" t="s">
        <v>209</v>
      </c>
      <c r="C1569" s="44" t="s">
        <v>1730</v>
      </c>
      <c r="D1569" s="45">
        <v>1.3622266666666667</v>
      </c>
      <c r="E1569" s="45">
        <v>1.2521333333333333</v>
      </c>
      <c r="F1569" s="45">
        <v>5.1878666666666664</v>
      </c>
      <c r="G1569" s="46">
        <v>0.73736258143971711</v>
      </c>
      <c r="H1569" s="46">
        <v>0.75804786666656454</v>
      </c>
      <c r="I1569" s="46">
        <v>-2.0685285226847479E-2</v>
      </c>
      <c r="J1569" s="47" t="s">
        <v>533</v>
      </c>
      <c r="K1569" s="48"/>
      <c r="L1569" s="48"/>
    </row>
    <row r="1570" spans="1:12" s="43" customFormat="1" ht="15" x14ac:dyDescent="0.25">
      <c r="A1570" s="38" t="s">
        <v>576</v>
      </c>
      <c r="B1570" s="39" t="s">
        <v>420</v>
      </c>
      <c r="C1570" s="39" t="s">
        <v>815</v>
      </c>
      <c r="D1570" s="40">
        <v>1.1292</v>
      </c>
      <c r="E1570" s="40">
        <v>1.2682</v>
      </c>
      <c r="F1570" s="40">
        <v>4.25</v>
      </c>
      <c r="G1570" s="41">
        <v>0.73431372549019602</v>
      </c>
      <c r="H1570" s="41">
        <v>0.70160392156862805</v>
      </c>
      <c r="I1570" s="41">
        <v>3.2709803921568602E-2</v>
      </c>
      <c r="J1570" s="42" t="s">
        <v>532</v>
      </c>
    </row>
    <row r="1571" spans="1:12" s="43" customFormat="1" ht="15" x14ac:dyDescent="0.25">
      <c r="A1571" s="38" t="s">
        <v>591</v>
      </c>
      <c r="B1571" s="39" t="s">
        <v>420</v>
      </c>
      <c r="C1571" s="39" t="s">
        <v>895</v>
      </c>
      <c r="D1571" s="40">
        <v>1.1292</v>
      </c>
      <c r="E1571" s="40">
        <v>1.1253</v>
      </c>
      <c r="F1571" s="40">
        <v>4.25</v>
      </c>
      <c r="G1571" s="41">
        <v>0.73431372549019602</v>
      </c>
      <c r="H1571" s="41">
        <v>0.73522745098039199</v>
      </c>
      <c r="I1571" s="41">
        <v>-9.1372549019608197E-4</v>
      </c>
      <c r="J1571" s="42" t="s">
        <v>532</v>
      </c>
    </row>
    <row r="1572" spans="1:12" s="43" customFormat="1" ht="15" x14ac:dyDescent="0.25">
      <c r="A1572" s="38" t="s">
        <v>578</v>
      </c>
      <c r="B1572" s="39" t="s">
        <v>420</v>
      </c>
      <c r="C1572" s="39" t="s">
        <v>1163</v>
      </c>
      <c r="D1572" s="40">
        <v>1.1857</v>
      </c>
      <c r="E1572" s="40">
        <v>1.2725</v>
      </c>
      <c r="F1572" s="40">
        <v>4.25</v>
      </c>
      <c r="G1572" s="41">
        <v>0.72101568627450996</v>
      </c>
      <c r="H1572" s="41">
        <v>0.70058823529411796</v>
      </c>
      <c r="I1572" s="41">
        <v>2.0427450980392101E-2</v>
      </c>
      <c r="J1572" s="42" t="s">
        <v>532</v>
      </c>
    </row>
    <row r="1573" spans="1:12" x14ac:dyDescent="0.25">
      <c r="A1573" s="44">
        <v>2018</v>
      </c>
      <c r="B1573" s="44" t="s">
        <v>420</v>
      </c>
      <c r="C1573" s="44" t="s">
        <v>1854</v>
      </c>
      <c r="D1573" s="45">
        <v>1.1495157423971378</v>
      </c>
      <c r="E1573" s="45">
        <v>1.1965067084078711</v>
      </c>
      <c r="F1573" s="45">
        <v>4.25</v>
      </c>
      <c r="G1573" s="46">
        <v>0.72953214072748962</v>
      </c>
      <c r="H1573" s="46">
        <v>0.71847152127398362</v>
      </c>
      <c r="I1573" s="46">
        <v>1.1060619453505893E-2</v>
      </c>
      <c r="J1573" s="47" t="s">
        <v>533</v>
      </c>
      <c r="K1573" s="48"/>
      <c r="L1573" s="48"/>
    </row>
    <row r="1574" spans="1:12" s="43" customFormat="1" ht="15" x14ac:dyDescent="0.25">
      <c r="A1574" s="38" t="s">
        <v>559</v>
      </c>
      <c r="B1574" s="39" t="s">
        <v>150</v>
      </c>
      <c r="C1574" s="39" t="s">
        <v>824</v>
      </c>
      <c r="D1574" s="40">
        <v>0.81459999999999999</v>
      </c>
      <c r="E1574" s="40">
        <v>0.87250000000000005</v>
      </c>
      <c r="F1574" s="40">
        <v>2.0350000000000001</v>
      </c>
      <c r="G1574" s="41">
        <v>0.59968058968059001</v>
      </c>
      <c r="H1574" s="41">
        <v>0.57125307125307101</v>
      </c>
      <c r="I1574" s="41">
        <v>2.8427518427518599E-2</v>
      </c>
      <c r="J1574" s="42" t="s">
        <v>532</v>
      </c>
    </row>
    <row r="1575" spans="1:12" s="43" customFormat="1" ht="15" x14ac:dyDescent="0.25">
      <c r="A1575" s="38" t="s">
        <v>605</v>
      </c>
      <c r="B1575" s="39" t="s">
        <v>150</v>
      </c>
      <c r="C1575" s="39" t="s">
        <v>975</v>
      </c>
      <c r="D1575" s="40">
        <v>0.81459999999999999</v>
      </c>
      <c r="E1575" s="40">
        <v>0.92049999999999998</v>
      </c>
      <c r="F1575" s="40">
        <v>2.0350000000000001</v>
      </c>
      <c r="G1575" s="41">
        <v>0.59968058968059001</v>
      </c>
      <c r="H1575" s="41">
        <v>0.54764127764127801</v>
      </c>
      <c r="I1575" s="41">
        <v>5.2039312039312099E-2</v>
      </c>
      <c r="J1575" s="42" t="s">
        <v>532</v>
      </c>
    </row>
    <row r="1576" spans="1:12" s="43" customFormat="1" ht="15" x14ac:dyDescent="0.25">
      <c r="A1576" s="38" t="s">
        <v>687</v>
      </c>
      <c r="B1576" s="39" t="s">
        <v>150</v>
      </c>
      <c r="C1576" s="39" t="s">
        <v>1104</v>
      </c>
      <c r="D1576" s="40">
        <v>0.81459999999999999</v>
      </c>
      <c r="E1576" s="40">
        <v>0.88349999999999995</v>
      </c>
      <c r="F1576" s="40">
        <v>2.0350000000000001</v>
      </c>
      <c r="G1576" s="41">
        <v>0.59968058968059001</v>
      </c>
      <c r="H1576" s="41">
        <v>0.56584766584766599</v>
      </c>
      <c r="I1576" s="41">
        <v>3.3832923832923897E-2</v>
      </c>
      <c r="J1576" s="42" t="s">
        <v>532</v>
      </c>
    </row>
    <row r="1577" spans="1:12" s="43" customFormat="1" ht="15" x14ac:dyDescent="0.25">
      <c r="A1577" s="38" t="s">
        <v>695</v>
      </c>
      <c r="B1577" s="39" t="s">
        <v>150</v>
      </c>
      <c r="C1577" s="39" t="s">
        <v>1097</v>
      </c>
      <c r="D1577" s="40">
        <v>0.83289999999999997</v>
      </c>
      <c r="E1577" s="40">
        <v>0.85819999999999996</v>
      </c>
      <c r="F1577" s="40">
        <v>2.0350000000000001</v>
      </c>
      <c r="G1577" s="41">
        <v>0.59070434070434097</v>
      </c>
      <c r="H1577" s="41">
        <v>0.57828009828009797</v>
      </c>
      <c r="I1577" s="41">
        <v>1.24242424242424E-2</v>
      </c>
      <c r="J1577" s="42" t="s">
        <v>532</v>
      </c>
    </row>
    <row r="1578" spans="1:12" s="43" customFormat="1" ht="15" x14ac:dyDescent="0.25">
      <c r="A1578" s="38" t="s">
        <v>627</v>
      </c>
      <c r="B1578" s="39" t="s">
        <v>150</v>
      </c>
      <c r="C1578" s="39" t="s">
        <v>1195</v>
      </c>
      <c r="D1578" s="40">
        <v>0.83289999999999997</v>
      </c>
      <c r="E1578" s="40">
        <v>0.87439999999999996</v>
      </c>
      <c r="F1578" s="40">
        <v>2.0350000000000001</v>
      </c>
      <c r="G1578" s="41">
        <v>0.59070434070434097</v>
      </c>
      <c r="H1578" s="41">
        <v>0.57031122031121995</v>
      </c>
      <c r="I1578" s="41">
        <v>2.0393120393120499E-2</v>
      </c>
      <c r="J1578" s="42" t="s">
        <v>532</v>
      </c>
    </row>
    <row r="1579" spans="1:12" s="43" customFormat="1" ht="15" x14ac:dyDescent="0.25">
      <c r="A1579" s="38" t="s">
        <v>582</v>
      </c>
      <c r="B1579" s="39" t="s">
        <v>150</v>
      </c>
      <c r="C1579" s="39" t="s">
        <v>1362</v>
      </c>
      <c r="D1579" s="40">
        <v>0.83289999999999997</v>
      </c>
      <c r="E1579" s="40">
        <v>0.82940000000000003</v>
      </c>
      <c r="F1579" s="40">
        <v>2.0830000000000002</v>
      </c>
      <c r="G1579" s="41">
        <v>0.60013602176348202</v>
      </c>
      <c r="H1579" s="41">
        <v>0.60184029444711196</v>
      </c>
      <c r="I1579" s="41">
        <v>-1.70427268362949E-3</v>
      </c>
      <c r="J1579" s="42" t="s">
        <v>532</v>
      </c>
    </row>
    <row r="1580" spans="1:12" s="43" customFormat="1" ht="15" x14ac:dyDescent="0.25">
      <c r="A1580" s="38" t="s">
        <v>604</v>
      </c>
      <c r="B1580" s="39" t="s">
        <v>150</v>
      </c>
      <c r="C1580" s="39" t="s">
        <v>969</v>
      </c>
      <c r="D1580" s="40">
        <v>0.83289999999999997</v>
      </c>
      <c r="E1580" s="40">
        <v>0.85740000000000005</v>
      </c>
      <c r="F1580" s="40">
        <v>2.0830000000000002</v>
      </c>
      <c r="G1580" s="41">
        <v>0.60013602176348202</v>
      </c>
      <c r="H1580" s="41">
        <v>0.58839814370299304</v>
      </c>
      <c r="I1580" s="41">
        <v>1.1737878060489501E-2</v>
      </c>
      <c r="J1580" s="42" t="s">
        <v>532</v>
      </c>
    </row>
    <row r="1581" spans="1:12" s="43" customFormat="1" ht="15" x14ac:dyDescent="0.25">
      <c r="A1581" s="38" t="s">
        <v>711</v>
      </c>
      <c r="B1581" s="39" t="s">
        <v>150</v>
      </c>
      <c r="C1581" s="39" t="s">
        <v>1371</v>
      </c>
      <c r="D1581" s="40">
        <v>0.83289999999999997</v>
      </c>
      <c r="E1581" s="40">
        <v>0.86899999999999999</v>
      </c>
      <c r="F1581" s="40">
        <v>2.0830000000000002</v>
      </c>
      <c r="G1581" s="41">
        <v>0.60013602176348202</v>
      </c>
      <c r="H1581" s="41">
        <v>0.58280524883981399</v>
      </c>
      <c r="I1581" s="41">
        <v>1.7330772923667699E-2</v>
      </c>
      <c r="J1581" s="42" t="s">
        <v>532</v>
      </c>
    </row>
    <row r="1582" spans="1:12" s="43" customFormat="1" ht="15" x14ac:dyDescent="0.25">
      <c r="A1582" s="38" t="s">
        <v>570</v>
      </c>
      <c r="B1582" s="39" t="s">
        <v>150</v>
      </c>
      <c r="C1582" s="39" t="s">
        <v>1435</v>
      </c>
      <c r="D1582" s="40">
        <v>0.83289999999999997</v>
      </c>
      <c r="E1582" s="40">
        <v>0.81669999999999998</v>
      </c>
      <c r="F1582" s="40">
        <v>2.0830000000000002</v>
      </c>
      <c r="G1582" s="41">
        <v>0.60013602176348202</v>
      </c>
      <c r="H1582" s="41">
        <v>0.60790526484237495</v>
      </c>
      <c r="I1582" s="41">
        <v>-7.7692430788926002E-3</v>
      </c>
      <c r="J1582" s="42" t="s">
        <v>532</v>
      </c>
    </row>
    <row r="1583" spans="1:12" s="43" customFormat="1" ht="15" x14ac:dyDescent="0.25">
      <c r="A1583" s="38" t="s">
        <v>580</v>
      </c>
      <c r="B1583" s="39" t="s">
        <v>150</v>
      </c>
      <c r="C1583" s="39" t="s">
        <v>805</v>
      </c>
      <c r="D1583" s="40">
        <v>0.83289999999999997</v>
      </c>
      <c r="E1583" s="40">
        <v>0.8216</v>
      </c>
      <c r="F1583" s="40">
        <v>2.0830000000000002</v>
      </c>
      <c r="G1583" s="41">
        <v>0.60013602176348202</v>
      </c>
      <c r="H1583" s="41">
        <v>0.60554488718194899</v>
      </c>
      <c r="I1583" s="41">
        <v>-5.40886541846697E-3</v>
      </c>
      <c r="J1583" s="42" t="s">
        <v>532</v>
      </c>
    </row>
    <row r="1584" spans="1:12" x14ac:dyDescent="0.25">
      <c r="A1584" s="44">
        <v>2018</v>
      </c>
      <c r="B1584" s="44" t="s">
        <v>150</v>
      </c>
      <c r="C1584" s="44" t="s">
        <v>1857</v>
      </c>
      <c r="D1584" s="45">
        <v>0.8276712474890906</v>
      </c>
      <c r="E1584" s="45">
        <v>0.86220429452102232</v>
      </c>
      <c r="F1584" s="45">
        <v>2.0618443582461734</v>
      </c>
      <c r="G1584" s="46">
        <v>0.59854381011616697</v>
      </c>
      <c r="H1584" s="46">
        <v>0.58164439034185922</v>
      </c>
      <c r="I1584" s="46">
        <v>1.6899419774307731E-2</v>
      </c>
      <c r="J1584" s="47" t="s">
        <v>533</v>
      </c>
      <c r="K1584" s="48"/>
      <c r="L1584" s="48"/>
    </row>
    <row r="1585" spans="1:12" s="43" customFormat="1" ht="15" x14ac:dyDescent="0.25">
      <c r="A1585" s="38" t="s">
        <v>559</v>
      </c>
      <c r="B1585" s="39" t="s">
        <v>171</v>
      </c>
      <c r="C1585" s="39" t="s">
        <v>826</v>
      </c>
      <c r="D1585" s="40">
        <v>0.26490000000000002</v>
      </c>
      <c r="E1585" s="40">
        <v>0.30819999999999997</v>
      </c>
      <c r="F1585" s="40">
        <v>0.96499999999999997</v>
      </c>
      <c r="G1585" s="41">
        <v>0.72553108808290201</v>
      </c>
      <c r="H1585" s="41">
        <v>0.68058721934369604</v>
      </c>
      <c r="I1585" s="41">
        <v>4.4943868739205403E-2</v>
      </c>
      <c r="J1585" s="42" t="s">
        <v>532</v>
      </c>
    </row>
    <row r="1586" spans="1:12" s="43" customFormat="1" ht="15" x14ac:dyDescent="0.25">
      <c r="A1586" s="38" t="s">
        <v>586</v>
      </c>
      <c r="B1586" s="39" t="s">
        <v>171</v>
      </c>
      <c r="C1586" s="39" t="s">
        <v>833</v>
      </c>
      <c r="D1586" s="40">
        <v>0.26490000000000002</v>
      </c>
      <c r="E1586" s="40"/>
      <c r="F1586" s="40">
        <v>0.96499999999999997</v>
      </c>
      <c r="G1586" s="41">
        <v>0.72553108808290201</v>
      </c>
      <c r="H1586" s="41"/>
      <c r="I1586" s="41"/>
      <c r="J1586" s="42" t="s">
        <v>532</v>
      </c>
    </row>
    <row r="1587" spans="1:12" s="43" customFormat="1" ht="15" x14ac:dyDescent="0.25">
      <c r="A1587" s="38" t="s">
        <v>581</v>
      </c>
      <c r="B1587" s="39" t="s">
        <v>171</v>
      </c>
      <c r="C1587" s="39" t="s">
        <v>884</v>
      </c>
      <c r="D1587" s="40">
        <v>0.26490000000000002</v>
      </c>
      <c r="E1587" s="40">
        <v>0.32040000000000002</v>
      </c>
      <c r="F1587" s="40">
        <v>0.96499999999999997</v>
      </c>
      <c r="G1587" s="41">
        <v>0.72553108808290201</v>
      </c>
      <c r="H1587" s="41">
        <v>0.66794041450777197</v>
      </c>
      <c r="I1587" s="41">
        <v>5.7590673575129599E-2</v>
      </c>
      <c r="J1587" s="42" t="s">
        <v>532</v>
      </c>
    </row>
    <row r="1588" spans="1:12" x14ac:dyDescent="0.25">
      <c r="A1588" s="44">
        <v>2018</v>
      </c>
      <c r="B1588" s="44" t="s">
        <v>171</v>
      </c>
      <c r="C1588" s="44" t="s">
        <v>1859</v>
      </c>
      <c r="D1588" s="45">
        <v>0.26490000000000002</v>
      </c>
      <c r="E1588" s="45">
        <v>0.15708550256507695</v>
      </c>
      <c r="F1588" s="45">
        <v>0.96499999999999997</v>
      </c>
      <c r="G1588" s="46">
        <v>0.72553108808290145</v>
      </c>
      <c r="H1588" s="46">
        <v>0.34185425463454755</v>
      </c>
      <c r="I1588" s="46">
        <v>2.4288737945385306E-2</v>
      </c>
      <c r="J1588" s="47" t="s">
        <v>533</v>
      </c>
      <c r="K1588" s="48"/>
      <c r="L1588" s="48"/>
    </row>
    <row r="1589" spans="1:12" s="43" customFormat="1" ht="15" x14ac:dyDescent="0.25">
      <c r="A1589" s="38" t="s">
        <v>557</v>
      </c>
      <c r="B1589" s="39" t="s">
        <v>177</v>
      </c>
      <c r="C1589" s="39" t="s">
        <v>762</v>
      </c>
      <c r="D1589" s="40">
        <v>0.85950000000000004</v>
      </c>
      <c r="E1589" s="40">
        <v>1.0147999999999999</v>
      </c>
      <c r="F1589" s="40">
        <v>2.4900000000000002</v>
      </c>
      <c r="G1589" s="41">
        <v>0.65482597054886205</v>
      </c>
      <c r="H1589" s="41">
        <v>0.59243641231593003</v>
      </c>
      <c r="I1589" s="41">
        <v>6.2389558232931797E-2</v>
      </c>
      <c r="J1589" s="42" t="s">
        <v>532</v>
      </c>
    </row>
    <row r="1590" spans="1:12" s="43" customFormat="1" ht="15" x14ac:dyDescent="0.25">
      <c r="A1590" s="38" t="s">
        <v>672</v>
      </c>
      <c r="B1590" s="39" t="s">
        <v>177</v>
      </c>
      <c r="C1590" s="39" t="s">
        <v>809</v>
      </c>
      <c r="D1590" s="40">
        <v>0.85950000000000004</v>
      </c>
      <c r="E1590" s="40">
        <v>0.99990000000000001</v>
      </c>
      <c r="F1590" s="40">
        <v>2.4900000000000002</v>
      </c>
      <c r="G1590" s="41">
        <v>0.65482597054886205</v>
      </c>
      <c r="H1590" s="41">
        <v>0.59844042838018696</v>
      </c>
      <c r="I1590" s="41">
        <v>5.63855421686748E-2</v>
      </c>
      <c r="J1590" s="42" t="s">
        <v>532</v>
      </c>
    </row>
    <row r="1591" spans="1:12" s="43" customFormat="1" ht="15" x14ac:dyDescent="0.25">
      <c r="A1591" s="38" t="s">
        <v>685</v>
      </c>
      <c r="B1591" s="39" t="s">
        <v>177</v>
      </c>
      <c r="C1591" s="39" t="s">
        <v>1074</v>
      </c>
      <c r="D1591" s="40">
        <v>0.85950000000000004</v>
      </c>
      <c r="E1591" s="40">
        <v>1.0268999999999999</v>
      </c>
      <c r="F1591" s="40">
        <v>2.4900000000000002</v>
      </c>
      <c r="G1591" s="41">
        <v>0.65482597054886205</v>
      </c>
      <c r="H1591" s="41">
        <v>0.58760374832663997</v>
      </c>
      <c r="I1591" s="41">
        <v>6.7222222222222197E-2</v>
      </c>
      <c r="J1591" s="42" t="s">
        <v>532</v>
      </c>
    </row>
    <row r="1592" spans="1:12" s="43" customFormat="1" ht="15" x14ac:dyDescent="0.25">
      <c r="A1592" s="38" t="s">
        <v>618</v>
      </c>
      <c r="B1592" s="39" t="s">
        <v>177</v>
      </c>
      <c r="C1592" s="39" t="s">
        <v>1082</v>
      </c>
      <c r="D1592" s="40">
        <v>0.85950000000000004</v>
      </c>
      <c r="E1592" s="40">
        <v>0.97789999999999999</v>
      </c>
      <c r="F1592" s="40">
        <v>2.4900000000000002</v>
      </c>
      <c r="G1592" s="41">
        <v>0.65482597054886205</v>
      </c>
      <c r="H1592" s="41">
        <v>0.60726238286479195</v>
      </c>
      <c r="I1592" s="41">
        <v>4.7563587684069597E-2</v>
      </c>
      <c r="J1592" s="42" t="s">
        <v>532</v>
      </c>
    </row>
    <row r="1593" spans="1:12" s="43" customFormat="1" ht="15" x14ac:dyDescent="0.25">
      <c r="A1593" s="38" t="s">
        <v>539</v>
      </c>
      <c r="B1593" s="39" t="s">
        <v>177</v>
      </c>
      <c r="C1593" s="39" t="s">
        <v>1374</v>
      </c>
      <c r="D1593" s="40">
        <v>0.9587</v>
      </c>
      <c r="E1593" s="40">
        <v>1.0470999999999999</v>
      </c>
      <c r="F1593" s="40">
        <v>2.5299999999999998</v>
      </c>
      <c r="G1593" s="41">
        <v>0.62106719367588903</v>
      </c>
      <c r="H1593" s="41">
        <v>0.58613306982872204</v>
      </c>
      <c r="I1593" s="41">
        <v>3.4934123847167403E-2</v>
      </c>
      <c r="J1593" s="42" t="s">
        <v>532</v>
      </c>
    </row>
    <row r="1594" spans="1:12" s="43" customFormat="1" ht="15" x14ac:dyDescent="0.25">
      <c r="A1594" s="38" t="s">
        <v>558</v>
      </c>
      <c r="B1594" s="39" t="s">
        <v>177</v>
      </c>
      <c r="C1594" s="39" t="s">
        <v>1443</v>
      </c>
      <c r="D1594" s="40">
        <v>0.9587</v>
      </c>
      <c r="E1594" s="40">
        <v>0.99239999999999995</v>
      </c>
      <c r="F1594" s="40">
        <v>2.5299999999999998</v>
      </c>
      <c r="G1594" s="41">
        <v>0.62106719367588903</v>
      </c>
      <c r="H1594" s="41">
        <v>0.60773386034255605</v>
      </c>
      <c r="I1594" s="41">
        <v>1.33333333333334E-2</v>
      </c>
      <c r="J1594" s="42" t="s">
        <v>532</v>
      </c>
    </row>
    <row r="1595" spans="1:12" x14ac:dyDescent="0.25">
      <c r="A1595" s="44">
        <v>2018</v>
      </c>
      <c r="B1595" s="44" t="s">
        <v>177</v>
      </c>
      <c r="C1595" s="44" t="s">
        <v>1833</v>
      </c>
      <c r="D1595" s="45">
        <v>0.8913615034168566</v>
      </c>
      <c r="E1595" s="45">
        <v>1.0154377625917488</v>
      </c>
      <c r="F1595" s="45">
        <v>2.5028473804100226</v>
      </c>
      <c r="G1595" s="46">
        <v>0.64398317433225816</v>
      </c>
      <c r="H1595" s="46">
        <v>0.59429262959228812</v>
      </c>
      <c r="I1595" s="46">
        <v>4.9690544739969977E-2</v>
      </c>
      <c r="J1595" s="47" t="s">
        <v>533</v>
      </c>
      <c r="K1595" s="48"/>
      <c r="L1595" s="48"/>
    </row>
    <row r="1596" spans="1:12" s="43" customFormat="1" ht="15" x14ac:dyDescent="0.25">
      <c r="A1596" s="38" t="s">
        <v>588</v>
      </c>
      <c r="B1596" s="39" t="s">
        <v>192</v>
      </c>
      <c r="C1596" s="39" t="s">
        <v>852</v>
      </c>
      <c r="D1596" s="40">
        <v>0.75700000000000001</v>
      </c>
      <c r="E1596" s="40">
        <v>0.88729999999999998</v>
      </c>
      <c r="F1596" s="40">
        <v>2.5</v>
      </c>
      <c r="G1596" s="41">
        <v>0.69718999999999998</v>
      </c>
      <c r="H1596" s="41">
        <v>0.64509499999999997</v>
      </c>
      <c r="I1596" s="41">
        <v>5.2094999999999898E-2</v>
      </c>
      <c r="J1596" s="42" t="s">
        <v>532</v>
      </c>
    </row>
    <row r="1597" spans="1:12" s="43" customFormat="1" ht="15" x14ac:dyDescent="0.25">
      <c r="A1597" s="38" t="s">
        <v>688</v>
      </c>
      <c r="B1597" s="39" t="s">
        <v>192</v>
      </c>
      <c r="C1597" s="39" t="s">
        <v>1110</v>
      </c>
      <c r="D1597" s="40">
        <v>0.75700000000000001</v>
      </c>
      <c r="E1597" s="40">
        <v>0.91510000000000002</v>
      </c>
      <c r="F1597" s="40">
        <v>2.5</v>
      </c>
      <c r="G1597" s="41">
        <v>0.69718999999999998</v>
      </c>
      <c r="H1597" s="41">
        <v>0.63395999999999997</v>
      </c>
      <c r="I1597" s="41">
        <v>6.3229999999999995E-2</v>
      </c>
      <c r="J1597" s="42" t="s">
        <v>532</v>
      </c>
    </row>
    <row r="1598" spans="1:12" s="43" customFormat="1" ht="15" x14ac:dyDescent="0.25">
      <c r="A1598" s="38" t="s">
        <v>702</v>
      </c>
      <c r="B1598" s="39" t="s">
        <v>192</v>
      </c>
      <c r="C1598" s="39" t="s">
        <v>1277</v>
      </c>
      <c r="D1598" s="40">
        <v>0.80959999999999999</v>
      </c>
      <c r="E1598" s="40">
        <v>0.99690000000000001</v>
      </c>
      <c r="F1598" s="40">
        <v>2.5</v>
      </c>
      <c r="G1598" s="41">
        <v>0.67617499999999997</v>
      </c>
      <c r="H1598" s="41">
        <v>0.60123000000000004</v>
      </c>
      <c r="I1598" s="41">
        <v>7.4944999999999998E-2</v>
      </c>
      <c r="J1598" s="42" t="s">
        <v>532</v>
      </c>
    </row>
    <row r="1599" spans="1:12" s="43" customFormat="1" ht="15" x14ac:dyDescent="0.25">
      <c r="A1599" s="38" t="s">
        <v>556</v>
      </c>
      <c r="B1599" s="39" t="s">
        <v>192</v>
      </c>
      <c r="C1599" s="39" t="s">
        <v>1378</v>
      </c>
      <c r="D1599" s="40">
        <v>0.80959999999999999</v>
      </c>
      <c r="E1599" s="40">
        <v>0.96589999999999998</v>
      </c>
      <c r="F1599" s="40">
        <v>2.5270000000000001</v>
      </c>
      <c r="G1599" s="41">
        <v>0.67963494261970703</v>
      </c>
      <c r="H1599" s="41">
        <v>0.61778294420261204</v>
      </c>
      <c r="I1599" s="41">
        <v>6.1851998417095398E-2</v>
      </c>
      <c r="J1599" s="42" t="s">
        <v>532</v>
      </c>
    </row>
    <row r="1600" spans="1:12" x14ac:dyDescent="0.25">
      <c r="A1600" s="44">
        <v>2018</v>
      </c>
      <c r="B1600" s="44" t="s">
        <v>192</v>
      </c>
      <c r="C1600" s="44" t="s">
        <v>1866</v>
      </c>
      <c r="D1600" s="45">
        <v>0.79129551263001474</v>
      </c>
      <c r="E1600" s="45">
        <v>0.95363878157503712</v>
      </c>
      <c r="F1600" s="45">
        <v>2.5082163447251116</v>
      </c>
      <c r="G1600" s="46">
        <v>0.68454098699630916</v>
      </c>
      <c r="H1600" s="46">
        <v>0.61980463888959125</v>
      </c>
      <c r="I1600" s="46">
        <v>6.4736348106717884E-2</v>
      </c>
      <c r="J1600" s="47" t="s">
        <v>533</v>
      </c>
      <c r="K1600" s="48"/>
      <c r="L1600" s="48"/>
    </row>
    <row r="1601" spans="1:12" s="43" customFormat="1" ht="15" x14ac:dyDescent="0.25">
      <c r="A1601" s="38" t="s">
        <v>688</v>
      </c>
      <c r="B1601" s="39" t="s">
        <v>9</v>
      </c>
      <c r="C1601" s="39" t="s">
        <v>957</v>
      </c>
      <c r="D1601" s="40">
        <v>2.7241</v>
      </c>
      <c r="E1601" s="40">
        <v>2.9870999999999999</v>
      </c>
      <c r="F1601" s="40">
        <v>7.47</v>
      </c>
      <c r="G1601" s="41">
        <v>0.63532351628737205</v>
      </c>
      <c r="H1601" s="41">
        <v>0.60012048192771095</v>
      </c>
      <c r="I1601" s="41">
        <v>3.5203034359660899E-2</v>
      </c>
      <c r="J1601" s="42" t="s">
        <v>532</v>
      </c>
    </row>
    <row r="1602" spans="1:12" s="43" customFormat="1" ht="15" x14ac:dyDescent="0.25">
      <c r="A1602" s="38" t="s">
        <v>537</v>
      </c>
      <c r="B1602" s="39" t="s">
        <v>9</v>
      </c>
      <c r="C1602" s="39" t="s">
        <v>1117</v>
      </c>
      <c r="D1602" s="40">
        <v>2.7241</v>
      </c>
      <c r="E1602" s="40">
        <v>2.9645000000000001</v>
      </c>
      <c r="F1602" s="40">
        <v>7.47</v>
      </c>
      <c r="G1602" s="41">
        <v>0.63532351628737205</v>
      </c>
      <c r="H1602" s="41">
        <v>0.60314591700133902</v>
      </c>
      <c r="I1602" s="41">
        <v>3.2177599286032997E-2</v>
      </c>
      <c r="J1602" s="42" t="s">
        <v>532</v>
      </c>
    </row>
    <row r="1603" spans="1:12" s="43" customFormat="1" ht="15" x14ac:dyDescent="0.25">
      <c r="A1603" s="38" t="s">
        <v>689</v>
      </c>
      <c r="B1603" s="39" t="s">
        <v>9</v>
      </c>
      <c r="C1603" s="39" t="s">
        <v>1122</v>
      </c>
      <c r="D1603" s="40">
        <v>2.7241</v>
      </c>
      <c r="E1603" s="40">
        <v>2.7705000000000002</v>
      </c>
      <c r="F1603" s="40">
        <v>7.47</v>
      </c>
      <c r="G1603" s="41">
        <v>0.63532351628737205</v>
      </c>
      <c r="H1603" s="41">
        <v>0.62911646586345404</v>
      </c>
      <c r="I1603" s="41">
        <v>6.2070504239178899E-3</v>
      </c>
      <c r="J1603" s="42" t="s">
        <v>532</v>
      </c>
    </row>
    <row r="1604" spans="1:12" s="43" customFormat="1" ht="15" x14ac:dyDescent="0.25">
      <c r="A1604" s="38" t="s">
        <v>622</v>
      </c>
      <c r="B1604" s="39" t="s">
        <v>9</v>
      </c>
      <c r="C1604" s="39" t="s">
        <v>1132</v>
      </c>
      <c r="D1604" s="40">
        <v>2.7241</v>
      </c>
      <c r="E1604" s="40">
        <v>2.8858000000000001</v>
      </c>
      <c r="F1604" s="40">
        <v>7.47</v>
      </c>
      <c r="G1604" s="41">
        <v>0.63532351628737205</v>
      </c>
      <c r="H1604" s="41">
        <v>0.61367692994198997</v>
      </c>
      <c r="I1604" s="41">
        <v>2.16465863453815E-2</v>
      </c>
      <c r="J1604" s="42" t="s">
        <v>532</v>
      </c>
    </row>
    <row r="1605" spans="1:12" x14ac:dyDescent="0.25">
      <c r="A1605" s="44">
        <v>2018</v>
      </c>
      <c r="B1605" s="44" t="s">
        <v>9</v>
      </c>
      <c r="C1605" s="44" t="s">
        <v>1940</v>
      </c>
      <c r="D1605" s="45">
        <v>2.7241</v>
      </c>
      <c r="E1605" s="45">
        <v>2.8681841326137243</v>
      </c>
      <c r="F1605" s="45">
        <v>7.47</v>
      </c>
      <c r="G1605" s="46">
        <v>0.63532351628737171</v>
      </c>
      <c r="H1605" s="46">
        <v>0.61603874316765039</v>
      </c>
      <c r="I1605" s="46">
        <v>1.9284773119721262E-2</v>
      </c>
      <c r="J1605" s="47" t="s">
        <v>533</v>
      </c>
      <c r="K1605" s="48"/>
      <c r="L1605" s="48"/>
    </row>
    <row r="1606" spans="1:12" s="43" customFormat="1" ht="15" x14ac:dyDescent="0.25">
      <c r="A1606" s="38" t="s">
        <v>668</v>
      </c>
      <c r="B1606" s="39" t="s">
        <v>430</v>
      </c>
      <c r="C1606" s="39" t="s">
        <v>737</v>
      </c>
      <c r="D1606" s="40">
        <v>2.8742000000000001</v>
      </c>
      <c r="E1606" s="40">
        <v>3.2827999999999999</v>
      </c>
      <c r="F1606" s="40">
        <v>7.4450000000000003</v>
      </c>
      <c r="G1606" s="41">
        <v>0.61394224311618495</v>
      </c>
      <c r="H1606" s="41">
        <v>0.55905977165883203</v>
      </c>
      <c r="I1606" s="41">
        <v>5.48824714573539E-2</v>
      </c>
      <c r="J1606" s="42" t="s">
        <v>532</v>
      </c>
    </row>
    <row r="1607" spans="1:12" s="43" customFormat="1" ht="15" x14ac:dyDescent="0.25">
      <c r="A1607" s="38" t="s">
        <v>587</v>
      </c>
      <c r="B1607" s="39" t="s">
        <v>430</v>
      </c>
      <c r="C1607" s="39" t="s">
        <v>842</v>
      </c>
      <c r="D1607" s="40">
        <v>2.8742000000000001</v>
      </c>
      <c r="E1607" s="40">
        <v>3.2738999999999998</v>
      </c>
      <c r="F1607" s="40">
        <v>7.4450000000000003</v>
      </c>
      <c r="G1607" s="41">
        <v>0.61394224311618495</v>
      </c>
      <c r="H1607" s="41">
        <v>0.56025520483545999</v>
      </c>
      <c r="I1607" s="41">
        <v>5.3687038280725297E-2</v>
      </c>
      <c r="J1607" s="42" t="s">
        <v>532</v>
      </c>
    </row>
    <row r="1608" spans="1:12" s="43" customFormat="1" ht="15" x14ac:dyDescent="0.25">
      <c r="A1608" s="38" t="s">
        <v>611</v>
      </c>
      <c r="B1608" s="39" t="s">
        <v>430</v>
      </c>
      <c r="C1608" s="39" t="s">
        <v>1045</v>
      </c>
      <c r="D1608" s="40">
        <v>2.8742000000000001</v>
      </c>
      <c r="E1608" s="40">
        <v>3.4914000000000001</v>
      </c>
      <c r="F1608" s="40">
        <v>7.4450000000000003</v>
      </c>
      <c r="G1608" s="41">
        <v>0.61394224311618495</v>
      </c>
      <c r="H1608" s="41">
        <v>0.53104544436982304</v>
      </c>
      <c r="I1608" s="41">
        <v>8.2896798746362202E-2</v>
      </c>
      <c r="J1608" s="42" t="s">
        <v>532</v>
      </c>
    </row>
    <row r="1609" spans="1:12" s="43" customFormat="1" ht="15" x14ac:dyDescent="0.25">
      <c r="A1609" s="38" t="s">
        <v>685</v>
      </c>
      <c r="B1609" s="39" t="s">
        <v>430</v>
      </c>
      <c r="C1609" s="39" t="s">
        <v>1077</v>
      </c>
      <c r="D1609" s="40">
        <v>2.8742000000000001</v>
      </c>
      <c r="E1609" s="40">
        <v>3.4030999999999998</v>
      </c>
      <c r="F1609" s="40">
        <v>7.4450000000000003</v>
      </c>
      <c r="G1609" s="41">
        <v>0.61394224311618495</v>
      </c>
      <c r="H1609" s="41">
        <v>0.54289903738527001</v>
      </c>
      <c r="I1609" s="41">
        <v>7.1043205730915701E-2</v>
      </c>
      <c r="J1609" s="42" t="s">
        <v>532</v>
      </c>
    </row>
    <row r="1610" spans="1:12" s="43" customFormat="1" ht="15" x14ac:dyDescent="0.25">
      <c r="A1610" s="38" t="s">
        <v>686</v>
      </c>
      <c r="B1610" s="39" t="s">
        <v>430</v>
      </c>
      <c r="C1610" s="39" t="s">
        <v>1095</v>
      </c>
      <c r="D1610" s="40">
        <v>2.8742000000000001</v>
      </c>
      <c r="E1610" s="40">
        <v>3.2684000000000002</v>
      </c>
      <c r="F1610" s="40">
        <v>7.4450000000000003</v>
      </c>
      <c r="G1610" s="41">
        <v>0.61394224311618495</v>
      </c>
      <c r="H1610" s="41">
        <v>0.56099395567495003</v>
      </c>
      <c r="I1610" s="41">
        <v>5.2948287441235697E-2</v>
      </c>
      <c r="J1610" s="42" t="s">
        <v>532</v>
      </c>
    </row>
    <row r="1611" spans="1:12" s="43" customFormat="1" ht="15" x14ac:dyDescent="0.25">
      <c r="A1611" s="38" t="s">
        <v>690</v>
      </c>
      <c r="B1611" s="39" t="s">
        <v>430</v>
      </c>
      <c r="C1611" s="39" t="s">
        <v>1128</v>
      </c>
      <c r="D1611" s="40">
        <v>2.8742000000000001</v>
      </c>
      <c r="E1611" s="40">
        <v>3.4453999999999998</v>
      </c>
      <c r="F1611" s="40">
        <v>7.4450000000000003</v>
      </c>
      <c r="G1611" s="41">
        <v>0.61394224311618495</v>
      </c>
      <c r="H1611" s="41">
        <v>0.53721961047682998</v>
      </c>
      <c r="I1611" s="41">
        <v>7.6722632639355304E-2</v>
      </c>
      <c r="J1611" s="42" t="s">
        <v>532</v>
      </c>
    </row>
    <row r="1612" spans="1:12" s="43" customFormat="1" ht="15" x14ac:dyDescent="0.25">
      <c r="A1612" s="38" t="s">
        <v>623</v>
      </c>
      <c r="B1612" s="39" t="s">
        <v>430</v>
      </c>
      <c r="C1612" s="39" t="s">
        <v>1012</v>
      </c>
      <c r="D1612" s="40">
        <v>2.8742000000000001</v>
      </c>
      <c r="E1612" s="40">
        <v>3.2774999999999999</v>
      </c>
      <c r="F1612" s="40">
        <v>7.4450000000000003</v>
      </c>
      <c r="G1612" s="41">
        <v>0.61394224311618495</v>
      </c>
      <c r="H1612" s="41">
        <v>0.55977389747033801</v>
      </c>
      <c r="I1612" s="41">
        <v>5.4168345645847299E-2</v>
      </c>
      <c r="J1612" s="42" t="s">
        <v>532</v>
      </c>
    </row>
    <row r="1613" spans="1:12" s="43" customFormat="1" ht="15" x14ac:dyDescent="0.25">
      <c r="A1613" s="38" t="s">
        <v>692</v>
      </c>
      <c r="B1613" s="39" t="s">
        <v>430</v>
      </c>
      <c r="C1613" s="39" t="s">
        <v>1146</v>
      </c>
      <c r="D1613" s="40">
        <v>2.8742000000000001</v>
      </c>
      <c r="E1613" s="40">
        <v>3.1040000000000001</v>
      </c>
      <c r="F1613" s="40">
        <v>7.4450000000000003</v>
      </c>
      <c r="G1613" s="41">
        <v>0.61394224311618495</v>
      </c>
      <c r="H1613" s="41">
        <v>0.58307588985896597</v>
      </c>
      <c r="I1613" s="41">
        <v>3.0866353257219498E-2</v>
      </c>
      <c r="J1613" s="42" t="s">
        <v>532</v>
      </c>
    </row>
    <row r="1614" spans="1:12" s="43" customFormat="1" ht="15" x14ac:dyDescent="0.25">
      <c r="A1614" s="38" t="s">
        <v>693</v>
      </c>
      <c r="B1614" s="39" t="s">
        <v>430</v>
      </c>
      <c r="C1614" s="39" t="s">
        <v>1152</v>
      </c>
      <c r="D1614" s="40">
        <v>2.8742000000000001</v>
      </c>
      <c r="E1614" s="40">
        <v>3.0668000000000002</v>
      </c>
      <c r="F1614" s="40">
        <v>7.4450000000000003</v>
      </c>
      <c r="G1614" s="41">
        <v>0.61394224311618495</v>
      </c>
      <c r="H1614" s="41">
        <v>0.58807700917841998</v>
      </c>
      <c r="I1614" s="41">
        <v>2.58652339377657E-2</v>
      </c>
      <c r="J1614" s="42" t="s">
        <v>532</v>
      </c>
    </row>
    <row r="1615" spans="1:12" s="43" customFormat="1" ht="15" x14ac:dyDescent="0.25">
      <c r="A1615" s="38" t="s">
        <v>578</v>
      </c>
      <c r="B1615" s="39" t="s">
        <v>430</v>
      </c>
      <c r="C1615" s="39" t="s">
        <v>1165</v>
      </c>
      <c r="D1615" s="40">
        <v>2.9784999999999999</v>
      </c>
      <c r="E1615" s="40">
        <v>3.1440999999999999</v>
      </c>
      <c r="F1615" s="40">
        <v>7.4450000000000003</v>
      </c>
      <c r="G1615" s="41">
        <v>0.59993955674949595</v>
      </c>
      <c r="H1615" s="41">
        <v>0.57768972464741397</v>
      </c>
      <c r="I1615" s="41">
        <v>2.2249832102081899E-2</v>
      </c>
      <c r="J1615" s="42" t="s">
        <v>532</v>
      </c>
    </row>
    <row r="1616" spans="1:12" s="43" customFormat="1" ht="15" x14ac:dyDescent="0.25">
      <c r="A1616" s="38" t="s">
        <v>624</v>
      </c>
      <c r="B1616" s="39" t="s">
        <v>430</v>
      </c>
      <c r="C1616" s="39" t="s">
        <v>1177</v>
      </c>
      <c r="D1616" s="40">
        <v>2.9784999999999999</v>
      </c>
      <c r="E1616" s="40">
        <v>3.137</v>
      </c>
      <c r="F1616" s="40">
        <v>7.4450000000000003</v>
      </c>
      <c r="G1616" s="41">
        <v>0.59993955674949595</v>
      </c>
      <c r="H1616" s="41">
        <v>0.57864338482202804</v>
      </c>
      <c r="I1616" s="41">
        <v>2.1296171927468101E-2</v>
      </c>
      <c r="J1616" s="42" t="s">
        <v>532</v>
      </c>
    </row>
    <row r="1617" spans="1:12" s="43" customFormat="1" ht="15" x14ac:dyDescent="0.25">
      <c r="A1617" s="38" t="s">
        <v>626</v>
      </c>
      <c r="B1617" s="39" t="s">
        <v>430</v>
      </c>
      <c r="C1617" s="39" t="s">
        <v>1205</v>
      </c>
      <c r="D1617" s="40">
        <v>2.9784999999999999</v>
      </c>
      <c r="E1617" s="40">
        <v>3.0847000000000002</v>
      </c>
      <c r="F1617" s="40">
        <v>7.4450000000000003</v>
      </c>
      <c r="G1617" s="41">
        <v>0.59993955674949595</v>
      </c>
      <c r="H1617" s="41">
        <v>0.58566375643608704</v>
      </c>
      <c r="I1617" s="41">
        <v>1.42758003134096E-2</v>
      </c>
      <c r="J1617" s="42" t="s">
        <v>532</v>
      </c>
    </row>
    <row r="1618" spans="1:12" s="43" customFormat="1" ht="15" x14ac:dyDescent="0.25">
      <c r="A1618" s="38" t="s">
        <v>585</v>
      </c>
      <c r="B1618" s="39" t="s">
        <v>430</v>
      </c>
      <c r="C1618" s="39" t="s">
        <v>1267</v>
      </c>
      <c r="D1618" s="40">
        <v>2.9784999999999999</v>
      </c>
      <c r="E1618" s="40">
        <v>3.4657</v>
      </c>
      <c r="F1618" s="40">
        <v>7.4450000000000003</v>
      </c>
      <c r="G1618" s="41">
        <v>0.59993955674949595</v>
      </c>
      <c r="H1618" s="41">
        <v>0.53449742556525603</v>
      </c>
      <c r="I1618" s="41">
        <v>6.5442131184239999E-2</v>
      </c>
      <c r="J1618" s="42" t="s">
        <v>532</v>
      </c>
    </row>
    <row r="1619" spans="1:12" s="43" customFormat="1" ht="15" x14ac:dyDescent="0.25">
      <c r="A1619" s="38" t="s">
        <v>572</v>
      </c>
      <c r="B1619" s="39" t="s">
        <v>430</v>
      </c>
      <c r="C1619" s="39" t="s">
        <v>1304</v>
      </c>
      <c r="D1619" s="40">
        <v>2.9784999999999999</v>
      </c>
      <c r="E1619" s="40">
        <v>3.3420999999999998</v>
      </c>
      <c r="F1619" s="40">
        <v>7.4450000000000003</v>
      </c>
      <c r="G1619" s="41">
        <v>0.59993955674949595</v>
      </c>
      <c r="H1619" s="41">
        <v>0.55109469442578896</v>
      </c>
      <c r="I1619" s="41">
        <v>4.8844862323707203E-2</v>
      </c>
      <c r="J1619" s="42" t="s">
        <v>532</v>
      </c>
    </row>
    <row r="1620" spans="1:12" s="43" customFormat="1" ht="15" x14ac:dyDescent="0.25">
      <c r="A1620" s="38" t="s">
        <v>706</v>
      </c>
      <c r="B1620" s="39" t="s">
        <v>430</v>
      </c>
      <c r="C1620" s="39" t="s">
        <v>872</v>
      </c>
      <c r="D1620" s="40">
        <v>2.9784999999999999</v>
      </c>
      <c r="E1620" s="40">
        <v>3.3239999999999998</v>
      </c>
      <c r="F1620" s="40">
        <v>7.4450000000000003</v>
      </c>
      <c r="G1620" s="41">
        <v>0.59993955674949595</v>
      </c>
      <c r="H1620" s="41">
        <v>0.553525856279382</v>
      </c>
      <c r="I1620" s="41">
        <v>4.6413700470114103E-2</v>
      </c>
      <c r="J1620" s="42" t="s">
        <v>532</v>
      </c>
    </row>
    <row r="1621" spans="1:12" s="43" customFormat="1" ht="15" x14ac:dyDescent="0.25">
      <c r="A1621" s="38" t="s">
        <v>606</v>
      </c>
      <c r="B1621" s="39" t="s">
        <v>430</v>
      </c>
      <c r="C1621" s="39" t="s">
        <v>1353</v>
      </c>
      <c r="D1621" s="40">
        <v>2.8742000000000001</v>
      </c>
      <c r="E1621" s="40">
        <v>3.1896</v>
      </c>
      <c r="F1621" s="40">
        <v>7.4450000000000003</v>
      </c>
      <c r="G1621" s="41">
        <v>0.61394224311618495</v>
      </c>
      <c r="H1621" s="41">
        <v>0.571580479068726</v>
      </c>
      <c r="I1621" s="41">
        <v>4.2361764047459199E-2</v>
      </c>
      <c r="J1621" s="42" t="s">
        <v>532</v>
      </c>
    </row>
    <row r="1622" spans="1:12" s="43" customFormat="1" ht="15" x14ac:dyDescent="0.25">
      <c r="A1622" s="38" t="s">
        <v>580</v>
      </c>
      <c r="B1622" s="39" t="s">
        <v>430</v>
      </c>
      <c r="C1622" s="39" t="s">
        <v>1459</v>
      </c>
      <c r="D1622" s="40">
        <v>2.9784999999999999</v>
      </c>
      <c r="E1622" s="40">
        <v>3.3374999999999999</v>
      </c>
      <c r="F1622" s="40">
        <v>7.4450000000000003</v>
      </c>
      <c r="G1622" s="41">
        <v>0.59993955674949595</v>
      </c>
      <c r="H1622" s="41">
        <v>0.55171479740317897</v>
      </c>
      <c r="I1622" s="41">
        <v>4.8224759346317397E-2</v>
      </c>
      <c r="J1622" s="42" t="s">
        <v>532</v>
      </c>
    </row>
    <row r="1623" spans="1:12" s="43" customFormat="1" ht="15" x14ac:dyDescent="0.25">
      <c r="A1623" s="38" t="s">
        <v>712</v>
      </c>
      <c r="B1623" s="39" t="s">
        <v>430</v>
      </c>
      <c r="C1623" s="39" t="s">
        <v>1019</v>
      </c>
      <c r="D1623" s="40">
        <v>2.9784999999999999</v>
      </c>
      <c r="E1623" s="40">
        <v>3.3187000000000002</v>
      </c>
      <c r="F1623" s="40">
        <v>7.4450000000000003</v>
      </c>
      <c r="G1623" s="41">
        <v>0.59993955674949595</v>
      </c>
      <c r="H1623" s="41">
        <v>0.55423774345198096</v>
      </c>
      <c r="I1623" s="41">
        <v>4.5701813297515E-2</v>
      </c>
      <c r="J1623" s="42" t="s">
        <v>532</v>
      </c>
    </row>
    <row r="1624" spans="1:12" s="43" customFormat="1" ht="15" x14ac:dyDescent="0.25">
      <c r="A1624" s="38" t="s">
        <v>638</v>
      </c>
      <c r="B1624" s="39" t="s">
        <v>430</v>
      </c>
      <c r="C1624" s="39" t="s">
        <v>1388</v>
      </c>
      <c r="D1624" s="40">
        <v>2.9784999999999999</v>
      </c>
      <c r="E1624" s="40">
        <v>3.1978</v>
      </c>
      <c r="F1624" s="40">
        <v>7.4450000000000003</v>
      </c>
      <c r="G1624" s="41">
        <v>0.59993955674949595</v>
      </c>
      <c r="H1624" s="41">
        <v>0.57047683008730699</v>
      </c>
      <c r="I1624" s="41">
        <v>2.9462726662189302E-2</v>
      </c>
      <c r="J1624" s="42" t="s">
        <v>532</v>
      </c>
    </row>
    <row r="1625" spans="1:12" s="43" customFormat="1" ht="15" x14ac:dyDescent="0.25">
      <c r="A1625" s="38" t="s">
        <v>574</v>
      </c>
      <c r="B1625" s="39" t="s">
        <v>430</v>
      </c>
      <c r="C1625" s="39" t="s">
        <v>1565</v>
      </c>
      <c r="D1625" s="40">
        <v>2.9784999999999999</v>
      </c>
      <c r="E1625" s="40">
        <v>3.4552999999999998</v>
      </c>
      <c r="F1625" s="40">
        <v>7.4450000000000003</v>
      </c>
      <c r="G1625" s="41">
        <v>0.59993955674949595</v>
      </c>
      <c r="H1625" s="41">
        <v>0.53588985896574903</v>
      </c>
      <c r="I1625" s="41">
        <v>6.4049697783747403E-2</v>
      </c>
      <c r="J1625" s="42" t="s">
        <v>532</v>
      </c>
    </row>
    <row r="1626" spans="1:12" s="43" customFormat="1" ht="15" x14ac:dyDescent="0.25">
      <c r="A1626" s="38" t="s">
        <v>550</v>
      </c>
      <c r="B1626" s="39" t="s">
        <v>430</v>
      </c>
      <c r="C1626" s="39" t="s">
        <v>807</v>
      </c>
      <c r="D1626" s="40">
        <v>2.9784999999999999</v>
      </c>
      <c r="E1626" s="40">
        <v>3.4937999999999998</v>
      </c>
      <c r="F1626" s="40">
        <v>7.4450000000000003</v>
      </c>
      <c r="G1626" s="41">
        <v>0.59993955674949595</v>
      </c>
      <c r="H1626" s="41">
        <v>0.53071860308932195</v>
      </c>
      <c r="I1626" s="41">
        <v>6.9220953660174597E-2</v>
      </c>
      <c r="J1626" s="42" t="s">
        <v>532</v>
      </c>
    </row>
    <row r="1627" spans="1:12" s="43" customFormat="1" ht="15" x14ac:dyDescent="0.25">
      <c r="A1627" s="38" t="s">
        <v>545</v>
      </c>
      <c r="B1627" s="39" t="s">
        <v>430</v>
      </c>
      <c r="C1627" s="39" t="s">
        <v>1416</v>
      </c>
      <c r="D1627" s="40">
        <v>2.9784999999999999</v>
      </c>
      <c r="E1627" s="40">
        <v>3.4883000000000002</v>
      </c>
      <c r="F1627" s="40">
        <v>7.4450000000000003</v>
      </c>
      <c r="G1627" s="41">
        <v>0.59993955674949595</v>
      </c>
      <c r="H1627" s="41">
        <v>0.53145735392881099</v>
      </c>
      <c r="I1627" s="41">
        <v>6.8482202820684998E-2</v>
      </c>
      <c r="J1627" s="42" t="s">
        <v>532</v>
      </c>
    </row>
    <row r="1628" spans="1:12" x14ac:dyDescent="0.25">
      <c r="A1628" s="44">
        <v>2018</v>
      </c>
      <c r="B1628" s="44" t="s">
        <v>430</v>
      </c>
      <c r="C1628" s="44" t="s">
        <v>1821</v>
      </c>
      <c r="D1628" s="45">
        <v>2.9271914153448155</v>
      </c>
      <c r="E1628" s="45">
        <v>3.2990757914085367</v>
      </c>
      <c r="F1628" s="45">
        <v>7.4450000000000021</v>
      </c>
      <c r="G1628" s="46">
        <v>0.60682793660419665</v>
      </c>
      <c r="H1628" s="46">
        <v>0.55687437300698606</v>
      </c>
      <c r="I1628" s="46">
        <v>4.9953563597210614E-2</v>
      </c>
      <c r="J1628" s="47" t="s">
        <v>533</v>
      </c>
      <c r="K1628" s="48"/>
      <c r="L1628" s="48"/>
    </row>
    <row r="1629" spans="1:12" s="43" customFormat="1" ht="15" x14ac:dyDescent="0.25">
      <c r="A1629" s="38" t="s">
        <v>535</v>
      </c>
      <c r="B1629" s="39" t="s">
        <v>432</v>
      </c>
      <c r="C1629" s="39" t="s">
        <v>1493</v>
      </c>
      <c r="D1629" s="40">
        <v>2.1798999999999999</v>
      </c>
      <c r="E1629" s="40">
        <v>2.2934000000000001</v>
      </c>
      <c r="F1629" s="40">
        <v>6.42</v>
      </c>
      <c r="G1629" s="41">
        <v>0.66045430944963701</v>
      </c>
      <c r="H1629" s="41">
        <v>0.642780373831776</v>
      </c>
      <c r="I1629" s="41">
        <v>1.7673935617861E-2</v>
      </c>
      <c r="J1629" s="42" t="s">
        <v>532</v>
      </c>
    </row>
    <row r="1630" spans="1:12" s="43" customFormat="1" ht="15" x14ac:dyDescent="0.25">
      <c r="A1630" s="38" t="s">
        <v>712</v>
      </c>
      <c r="B1630" s="39" t="s">
        <v>432</v>
      </c>
      <c r="C1630" s="39" t="s">
        <v>1252</v>
      </c>
      <c r="D1630" s="40">
        <v>2.1798999999999999</v>
      </c>
      <c r="E1630" s="40">
        <v>2.2160000000000002</v>
      </c>
      <c r="F1630" s="40">
        <v>6.42</v>
      </c>
      <c r="G1630" s="41">
        <v>0.66045430944963701</v>
      </c>
      <c r="H1630" s="41">
        <v>0.65482866043613697</v>
      </c>
      <c r="I1630" s="41">
        <v>5.6256490134995998E-3</v>
      </c>
      <c r="J1630" s="42" t="s">
        <v>532</v>
      </c>
    </row>
    <row r="1631" spans="1:12" s="43" customFormat="1" ht="15" x14ac:dyDescent="0.25">
      <c r="A1631" s="38" t="s">
        <v>639</v>
      </c>
      <c r="B1631" s="39" t="s">
        <v>432</v>
      </c>
      <c r="C1631" s="39" t="s">
        <v>1506</v>
      </c>
      <c r="D1631" s="40">
        <v>2.1798999999999999</v>
      </c>
      <c r="E1631" s="40">
        <v>2.3649</v>
      </c>
      <c r="F1631" s="40">
        <v>6.42</v>
      </c>
      <c r="G1631" s="41">
        <v>0.66045430944963701</v>
      </c>
      <c r="H1631" s="41">
        <v>0.631635514018692</v>
      </c>
      <c r="I1631" s="41">
        <v>2.88187954309451E-2</v>
      </c>
      <c r="J1631" s="42" t="s">
        <v>532</v>
      </c>
    </row>
    <row r="1632" spans="1:12" s="43" customFormat="1" ht="15" x14ac:dyDescent="0.25">
      <c r="A1632" s="38" t="s">
        <v>555</v>
      </c>
      <c r="B1632" s="39" t="s">
        <v>432</v>
      </c>
      <c r="C1632" s="39" t="s">
        <v>1510</v>
      </c>
      <c r="D1632" s="40">
        <v>2.1798999999999999</v>
      </c>
      <c r="E1632" s="40">
        <v>2.31</v>
      </c>
      <c r="F1632" s="40">
        <v>6.42</v>
      </c>
      <c r="G1632" s="41">
        <v>0.66045430944963701</v>
      </c>
      <c r="H1632" s="41">
        <v>0.64018691588785004</v>
      </c>
      <c r="I1632" s="41">
        <v>2.02673935617863E-2</v>
      </c>
      <c r="J1632" s="42" t="s">
        <v>532</v>
      </c>
    </row>
    <row r="1633" spans="1:12" s="43" customFormat="1" ht="15" x14ac:dyDescent="0.25">
      <c r="A1633" s="38" t="s">
        <v>636</v>
      </c>
      <c r="B1633" s="39" t="s">
        <v>432</v>
      </c>
      <c r="C1633" s="39" t="s">
        <v>1514</v>
      </c>
      <c r="D1633" s="40">
        <v>2.1798999999999999</v>
      </c>
      <c r="E1633" s="40">
        <v>2.2334000000000001</v>
      </c>
      <c r="F1633" s="40">
        <v>6.42</v>
      </c>
      <c r="G1633" s="41">
        <v>0.66045430944963701</v>
      </c>
      <c r="H1633" s="41">
        <v>0.65211838006230505</v>
      </c>
      <c r="I1633" s="41">
        <v>8.3359293873312996E-3</v>
      </c>
      <c r="J1633" s="42" t="s">
        <v>532</v>
      </c>
    </row>
    <row r="1634" spans="1:12" s="43" customFormat="1" ht="15" x14ac:dyDescent="0.25">
      <c r="A1634" s="38" t="s">
        <v>547</v>
      </c>
      <c r="B1634" s="39" t="s">
        <v>432</v>
      </c>
      <c r="C1634" s="39" t="s">
        <v>1518</v>
      </c>
      <c r="D1634" s="40">
        <v>2.1798999999999999</v>
      </c>
      <c r="E1634" s="40">
        <v>2.2833000000000001</v>
      </c>
      <c r="F1634" s="40">
        <v>6.42</v>
      </c>
      <c r="G1634" s="41">
        <v>0.66045430944963701</v>
      </c>
      <c r="H1634" s="41">
        <v>0.64434579439252304</v>
      </c>
      <c r="I1634" s="41">
        <v>1.6108515057113401E-2</v>
      </c>
      <c r="J1634" s="42" t="s">
        <v>532</v>
      </c>
    </row>
    <row r="1635" spans="1:12" s="43" customFormat="1" ht="15" x14ac:dyDescent="0.25">
      <c r="A1635" s="38" t="s">
        <v>548</v>
      </c>
      <c r="B1635" s="39" t="s">
        <v>432</v>
      </c>
      <c r="C1635" s="39" t="s">
        <v>1529</v>
      </c>
      <c r="D1635" s="40">
        <v>2.1798999999999999</v>
      </c>
      <c r="E1635" s="40">
        <v>2.2157</v>
      </c>
      <c r="F1635" s="40">
        <v>6.42</v>
      </c>
      <c r="G1635" s="41">
        <v>0.66045430944963701</v>
      </c>
      <c r="H1635" s="41">
        <v>0.65487538940809997</v>
      </c>
      <c r="I1635" s="41">
        <v>5.5789200415370397E-3</v>
      </c>
      <c r="J1635" s="42" t="s">
        <v>532</v>
      </c>
    </row>
    <row r="1636" spans="1:12" s="43" customFormat="1" ht="15" x14ac:dyDescent="0.25">
      <c r="A1636" s="38" t="s">
        <v>637</v>
      </c>
      <c r="B1636" s="39" t="s">
        <v>432</v>
      </c>
      <c r="C1636" s="39" t="s">
        <v>1733</v>
      </c>
      <c r="D1636" s="40">
        <v>2.1798999999999999</v>
      </c>
      <c r="E1636" s="40">
        <v>2.4117999999999999</v>
      </c>
      <c r="F1636" s="40">
        <v>6.42</v>
      </c>
      <c r="G1636" s="41">
        <v>0.66045430944963701</v>
      </c>
      <c r="H1636" s="41">
        <v>0.62433021806853595</v>
      </c>
      <c r="I1636" s="41">
        <v>3.6124091381100697E-2</v>
      </c>
      <c r="J1636" s="42" t="s">
        <v>532</v>
      </c>
    </row>
    <row r="1637" spans="1:12" x14ac:dyDescent="0.25">
      <c r="A1637" s="44">
        <v>2018</v>
      </c>
      <c r="B1637" s="44" t="s">
        <v>432</v>
      </c>
      <c r="C1637" s="44" t="s">
        <v>1956</v>
      </c>
      <c r="D1637" s="45">
        <v>2.1798999999999999</v>
      </c>
      <c r="E1637" s="45">
        <v>2.2856211466306471</v>
      </c>
      <c r="F1637" s="45">
        <v>6.42</v>
      </c>
      <c r="G1637" s="46">
        <v>0.66045430944963668</v>
      </c>
      <c r="H1637" s="46">
        <v>0.64398530991110536</v>
      </c>
      <c r="I1637" s="46">
        <v>1.6468999538531388E-2</v>
      </c>
      <c r="J1637" s="47" t="s">
        <v>533</v>
      </c>
      <c r="K1637" s="48"/>
      <c r="L1637" s="48"/>
    </row>
    <row r="1638" spans="1:12" s="43" customFormat="1" ht="15" x14ac:dyDescent="0.25">
      <c r="A1638" s="38" t="s">
        <v>615</v>
      </c>
      <c r="B1638" s="39" t="s">
        <v>487</v>
      </c>
      <c r="C1638" s="39" t="s">
        <v>1536</v>
      </c>
      <c r="D1638" s="40">
        <v>0</v>
      </c>
      <c r="E1638" s="40">
        <v>0.4783</v>
      </c>
      <c r="F1638" s="40">
        <v>1.46</v>
      </c>
      <c r="G1638" s="41">
        <v>1</v>
      </c>
      <c r="H1638" s="41">
        <v>0.67239726027397295</v>
      </c>
      <c r="I1638" s="41">
        <v>0.32760273972602699</v>
      </c>
      <c r="J1638" s="42" t="s">
        <v>532</v>
      </c>
    </row>
    <row r="1639" spans="1:12" s="43" customFormat="1" ht="15" x14ac:dyDescent="0.25">
      <c r="A1639" s="38" t="s">
        <v>550</v>
      </c>
      <c r="B1639" s="39" t="s">
        <v>487</v>
      </c>
      <c r="C1639" s="39" t="s">
        <v>1568</v>
      </c>
      <c r="D1639" s="40">
        <v>0</v>
      </c>
      <c r="E1639" s="40">
        <v>0.47349999999999998</v>
      </c>
      <c r="F1639" s="40">
        <v>1.46</v>
      </c>
      <c r="G1639" s="41">
        <v>1</v>
      </c>
      <c r="H1639" s="41">
        <v>0.67568493150684905</v>
      </c>
      <c r="I1639" s="41">
        <v>0.324315068493151</v>
      </c>
      <c r="J1639" s="42" t="s">
        <v>532</v>
      </c>
    </row>
    <row r="1640" spans="1:12" s="43" customFormat="1" ht="15" x14ac:dyDescent="0.25">
      <c r="A1640" s="38" t="s">
        <v>545</v>
      </c>
      <c r="B1640" s="39" t="s">
        <v>487</v>
      </c>
      <c r="C1640" s="39" t="s">
        <v>1573</v>
      </c>
      <c r="D1640" s="40">
        <v>0</v>
      </c>
      <c r="E1640" s="40">
        <v>0.47260000000000002</v>
      </c>
      <c r="F1640" s="40">
        <v>1.46</v>
      </c>
      <c r="G1640" s="41">
        <v>1</v>
      </c>
      <c r="H1640" s="41">
        <v>0.67630136986301403</v>
      </c>
      <c r="I1640" s="41">
        <v>0.32369863013698602</v>
      </c>
      <c r="J1640" s="42" t="s">
        <v>532</v>
      </c>
    </row>
    <row r="1641" spans="1:12" s="43" customFormat="1" ht="15" x14ac:dyDescent="0.25">
      <c r="A1641" s="38" t="s">
        <v>538</v>
      </c>
      <c r="B1641" s="39" t="s">
        <v>487</v>
      </c>
      <c r="C1641" s="39" t="s">
        <v>1568</v>
      </c>
      <c r="D1641" s="40">
        <v>0</v>
      </c>
      <c r="E1641" s="40">
        <v>0.41360000000000002</v>
      </c>
      <c r="F1641" s="40">
        <v>1.46</v>
      </c>
      <c r="G1641" s="41">
        <v>1</v>
      </c>
      <c r="H1641" s="41">
        <v>0.71671232876712299</v>
      </c>
      <c r="I1641" s="41">
        <v>0.28328767123287701</v>
      </c>
      <c r="J1641" s="42" t="s">
        <v>532</v>
      </c>
    </row>
    <row r="1642" spans="1:12" s="43" customFormat="1" ht="15" x14ac:dyDescent="0.25">
      <c r="A1642" s="38" t="s">
        <v>614</v>
      </c>
      <c r="B1642" s="39" t="s">
        <v>487</v>
      </c>
      <c r="C1642" s="39" t="s">
        <v>1186</v>
      </c>
      <c r="D1642" s="40">
        <v>0</v>
      </c>
      <c r="E1642" s="40">
        <v>0.41070000000000001</v>
      </c>
      <c r="F1642" s="40">
        <v>1.46</v>
      </c>
      <c r="G1642" s="41">
        <v>1</v>
      </c>
      <c r="H1642" s="41">
        <v>0.71869863013698598</v>
      </c>
      <c r="I1642" s="41">
        <v>0.28130136986301402</v>
      </c>
      <c r="J1642" s="42" t="s">
        <v>532</v>
      </c>
    </row>
    <row r="1643" spans="1:12" x14ac:dyDescent="0.25">
      <c r="A1643" s="44">
        <v>2018</v>
      </c>
      <c r="B1643" s="44" t="s">
        <v>487</v>
      </c>
      <c r="C1643" s="44" t="s">
        <v>1965</v>
      </c>
      <c r="D1643" s="45">
        <v>0</v>
      </c>
      <c r="E1643" s="45">
        <v>0.44562359911133054</v>
      </c>
      <c r="F1643" s="45">
        <v>1.46</v>
      </c>
      <c r="G1643" s="46">
        <v>1</v>
      </c>
      <c r="H1643" s="46">
        <v>0.69477835677306121</v>
      </c>
      <c r="I1643" s="46">
        <v>0.30522164322693873</v>
      </c>
      <c r="J1643" s="47" t="s">
        <v>533</v>
      </c>
      <c r="K1643" s="48"/>
      <c r="L1643" s="48"/>
    </row>
    <row r="1644" spans="1:12" s="43" customFormat="1" ht="15" x14ac:dyDescent="0.25">
      <c r="A1644" s="38" t="s">
        <v>599</v>
      </c>
      <c r="B1644" s="39" t="s">
        <v>488</v>
      </c>
      <c r="C1644" s="39" t="s">
        <v>800</v>
      </c>
      <c r="D1644" s="40">
        <v>1.7779</v>
      </c>
      <c r="E1644" s="40">
        <v>1.8580000000000001</v>
      </c>
      <c r="F1644" s="40">
        <v>6.09</v>
      </c>
      <c r="G1644" s="41">
        <v>0.70806239737274201</v>
      </c>
      <c r="H1644" s="41">
        <v>0.69490968801313602</v>
      </c>
      <c r="I1644" s="41">
        <v>1.3152709359606E-2</v>
      </c>
      <c r="J1644" s="42" t="s">
        <v>532</v>
      </c>
    </row>
    <row r="1645" spans="1:12" s="43" customFormat="1" ht="15" x14ac:dyDescent="0.25">
      <c r="A1645" s="38" t="s">
        <v>545</v>
      </c>
      <c r="B1645" s="39" t="s">
        <v>488</v>
      </c>
      <c r="C1645" s="39" t="s">
        <v>1574</v>
      </c>
      <c r="D1645" s="40">
        <v>1.7779</v>
      </c>
      <c r="E1645" s="40">
        <v>1.7849999999999999</v>
      </c>
      <c r="F1645" s="40">
        <v>6.09</v>
      </c>
      <c r="G1645" s="41">
        <v>0.70806239737274201</v>
      </c>
      <c r="H1645" s="41">
        <v>0.70689655172413801</v>
      </c>
      <c r="I1645" s="41">
        <v>1.1658456486043399E-3</v>
      </c>
      <c r="J1645" s="42" t="s">
        <v>532</v>
      </c>
    </row>
    <row r="1646" spans="1:12" s="43" customFormat="1" ht="15" x14ac:dyDescent="0.25">
      <c r="A1646" s="38" t="s">
        <v>617</v>
      </c>
      <c r="B1646" s="39" t="s">
        <v>488</v>
      </c>
      <c r="C1646" s="39" t="s">
        <v>1580</v>
      </c>
      <c r="D1646" s="40">
        <v>1.7779</v>
      </c>
      <c r="E1646" s="40">
        <v>1.831</v>
      </c>
      <c r="F1646" s="40">
        <v>6.09</v>
      </c>
      <c r="G1646" s="41">
        <v>0.70806239737274201</v>
      </c>
      <c r="H1646" s="41">
        <v>0.69934318555008201</v>
      </c>
      <c r="I1646" s="41">
        <v>8.7192118226601095E-3</v>
      </c>
      <c r="J1646" s="42" t="s">
        <v>532</v>
      </c>
    </row>
    <row r="1647" spans="1:12" s="43" customFormat="1" ht="15" x14ac:dyDescent="0.25">
      <c r="A1647" s="38" t="s">
        <v>561</v>
      </c>
      <c r="B1647" s="39" t="s">
        <v>488</v>
      </c>
      <c r="C1647" s="39" t="s">
        <v>1588</v>
      </c>
      <c r="D1647" s="40">
        <v>1.7779</v>
      </c>
      <c r="E1647" s="40">
        <v>1.8329</v>
      </c>
      <c r="F1647" s="40">
        <v>6.09</v>
      </c>
      <c r="G1647" s="41">
        <v>0.70806239737274201</v>
      </c>
      <c r="H1647" s="41">
        <v>0.69903119868637098</v>
      </c>
      <c r="I1647" s="41">
        <v>9.0311986863712591E-3</v>
      </c>
      <c r="J1647" s="42" t="s">
        <v>532</v>
      </c>
    </row>
    <row r="1648" spans="1:12" s="43" customFormat="1" ht="15" x14ac:dyDescent="0.25">
      <c r="A1648" s="38" t="s">
        <v>540</v>
      </c>
      <c r="B1648" s="39" t="s">
        <v>488</v>
      </c>
      <c r="C1648" s="39" t="s">
        <v>1596</v>
      </c>
      <c r="D1648" s="40">
        <v>1.7779</v>
      </c>
      <c r="E1648" s="40">
        <v>1.8504</v>
      </c>
      <c r="F1648" s="40">
        <v>6.09</v>
      </c>
      <c r="G1648" s="41">
        <v>0.70806239737274201</v>
      </c>
      <c r="H1648" s="41">
        <v>0.69615763546798004</v>
      </c>
      <c r="I1648" s="41">
        <v>1.1904761904762E-2</v>
      </c>
      <c r="J1648" s="42" t="s">
        <v>532</v>
      </c>
    </row>
    <row r="1649" spans="1:12" s="43" customFormat="1" ht="15" x14ac:dyDescent="0.25">
      <c r="A1649" s="38" t="s">
        <v>614</v>
      </c>
      <c r="B1649" s="39" t="s">
        <v>488</v>
      </c>
      <c r="C1649" s="39" t="s">
        <v>1610</v>
      </c>
      <c r="D1649" s="40">
        <v>1.7779</v>
      </c>
      <c r="E1649" s="40">
        <v>2.0112000000000001</v>
      </c>
      <c r="F1649" s="40">
        <v>6.09</v>
      </c>
      <c r="G1649" s="41">
        <v>0.70806239737274201</v>
      </c>
      <c r="H1649" s="41">
        <v>0.66975369458128098</v>
      </c>
      <c r="I1649" s="41">
        <v>3.8308702791461598E-2</v>
      </c>
      <c r="J1649" s="42" t="s">
        <v>532</v>
      </c>
    </row>
    <row r="1650" spans="1:12" s="43" customFormat="1" ht="15" x14ac:dyDescent="0.25">
      <c r="A1650" s="38" t="s">
        <v>640</v>
      </c>
      <c r="B1650" s="39" t="s">
        <v>488</v>
      </c>
      <c r="C1650" s="39" t="s">
        <v>945</v>
      </c>
      <c r="D1650" s="40">
        <v>1.7779</v>
      </c>
      <c r="E1650" s="40">
        <v>1.9186000000000001</v>
      </c>
      <c r="F1650" s="40">
        <v>6.09</v>
      </c>
      <c r="G1650" s="41">
        <v>0.70806239737274201</v>
      </c>
      <c r="H1650" s="41">
        <v>0.68495894909688004</v>
      </c>
      <c r="I1650" s="41">
        <v>2.3103448275862099E-2</v>
      </c>
      <c r="J1650" s="42" t="s">
        <v>532</v>
      </c>
    </row>
    <row r="1651" spans="1:12" s="43" customFormat="1" ht="15" x14ac:dyDescent="0.25">
      <c r="A1651" s="38" t="s">
        <v>641</v>
      </c>
      <c r="B1651" s="39" t="s">
        <v>488</v>
      </c>
      <c r="C1651" s="39" t="s">
        <v>1626</v>
      </c>
      <c r="D1651" s="40">
        <v>1.7779</v>
      </c>
      <c r="E1651" s="40">
        <v>1.9323999999999999</v>
      </c>
      <c r="F1651" s="40">
        <v>6.09</v>
      </c>
      <c r="G1651" s="41">
        <v>0.70806239737274201</v>
      </c>
      <c r="H1651" s="41">
        <v>0.68269293924466401</v>
      </c>
      <c r="I1651" s="41">
        <v>2.5369458128078799E-2</v>
      </c>
      <c r="J1651" s="42" t="s">
        <v>532</v>
      </c>
    </row>
    <row r="1652" spans="1:12" s="43" customFormat="1" ht="15" x14ac:dyDescent="0.25">
      <c r="A1652" s="38" t="s">
        <v>642</v>
      </c>
      <c r="B1652" s="39" t="s">
        <v>488</v>
      </c>
      <c r="C1652" s="39" t="s">
        <v>1587</v>
      </c>
      <c r="D1652" s="40">
        <v>1.7779</v>
      </c>
      <c r="E1652" s="40">
        <v>1.8768</v>
      </c>
      <c r="F1652" s="40">
        <v>6.09</v>
      </c>
      <c r="G1652" s="41">
        <v>0.70806239737274201</v>
      </c>
      <c r="H1652" s="41">
        <v>0.691822660098522</v>
      </c>
      <c r="I1652" s="41">
        <v>1.6239737274220099E-2</v>
      </c>
      <c r="J1652" s="42" t="s">
        <v>532</v>
      </c>
    </row>
    <row r="1653" spans="1:12" x14ac:dyDescent="0.25">
      <c r="A1653" s="44">
        <v>2018</v>
      </c>
      <c r="B1653" s="44" t="s">
        <v>488</v>
      </c>
      <c r="C1653" s="44" t="s">
        <v>1968</v>
      </c>
      <c r="D1653" s="45">
        <v>1.7779</v>
      </c>
      <c r="E1653" s="45">
        <v>1.8763138216493764</v>
      </c>
      <c r="F1653" s="45">
        <v>6.09</v>
      </c>
      <c r="G1653" s="46">
        <v>0.70806239737274224</v>
      </c>
      <c r="H1653" s="46">
        <v>0.69190249234000389</v>
      </c>
      <c r="I1653" s="46">
        <v>1.6159905032738391E-2</v>
      </c>
      <c r="J1653" s="47" t="s">
        <v>533</v>
      </c>
      <c r="K1653" s="48"/>
      <c r="L1653" s="48"/>
    </row>
    <row r="1654" spans="1:12" s="43" customFormat="1" ht="15" x14ac:dyDescent="0.25">
      <c r="A1654" s="38" t="s">
        <v>657</v>
      </c>
      <c r="B1654" s="39" t="s">
        <v>347</v>
      </c>
      <c r="C1654" s="39" t="s">
        <v>1770</v>
      </c>
      <c r="D1654" s="40">
        <v>7.7035999999999998</v>
      </c>
      <c r="E1654" s="40">
        <v>1.2744</v>
      </c>
      <c r="F1654" s="40"/>
      <c r="G1654" s="41"/>
      <c r="H1654" s="41"/>
      <c r="I1654" s="41"/>
      <c r="J1654" s="42" t="s">
        <v>532</v>
      </c>
    </row>
    <row r="1655" spans="1:12" x14ac:dyDescent="0.25">
      <c r="A1655" s="44">
        <v>2018</v>
      </c>
      <c r="B1655" s="44" t="s">
        <v>347</v>
      </c>
      <c r="C1655" s="44" t="s">
        <v>1770</v>
      </c>
      <c r="D1655" s="45">
        <v>7.7035999999999998</v>
      </c>
      <c r="E1655" s="45">
        <v>1.2744</v>
      </c>
      <c r="F1655" s="45"/>
      <c r="J1655" s="47" t="s">
        <v>533</v>
      </c>
      <c r="K1655" s="48"/>
      <c r="L1655" s="48"/>
    </row>
    <row r="1656" spans="1:12" s="43" customFormat="1" ht="15" x14ac:dyDescent="0.25">
      <c r="A1656" s="38" t="s">
        <v>657</v>
      </c>
      <c r="B1656" s="39" t="s">
        <v>348</v>
      </c>
      <c r="C1656" s="39" t="s">
        <v>1426</v>
      </c>
      <c r="D1656" s="40">
        <v>7.3361999999999998</v>
      </c>
      <c r="E1656" s="40">
        <v>1.9428000000000001</v>
      </c>
      <c r="F1656" s="40"/>
      <c r="G1656" s="41"/>
      <c r="H1656" s="41"/>
      <c r="I1656" s="41"/>
      <c r="J1656" s="42" t="s">
        <v>532</v>
      </c>
    </row>
    <row r="1657" spans="1:12" x14ac:dyDescent="0.25">
      <c r="A1657" s="44">
        <v>2018</v>
      </c>
      <c r="B1657" s="44" t="s">
        <v>348</v>
      </c>
      <c r="C1657" s="44" t="s">
        <v>1426</v>
      </c>
      <c r="D1657" s="45">
        <v>7.3361999999999998</v>
      </c>
      <c r="E1657" s="45">
        <v>1.9428000000000001</v>
      </c>
      <c r="F1657" s="45"/>
      <c r="J1657" s="47" t="s">
        <v>533</v>
      </c>
      <c r="K1657" s="48"/>
      <c r="L1657" s="48"/>
    </row>
    <row r="1658" spans="1:12" s="43" customFormat="1" ht="15" x14ac:dyDescent="0.25">
      <c r="A1658" s="38" t="s">
        <v>589</v>
      </c>
      <c r="B1658" s="39" t="s">
        <v>349</v>
      </c>
      <c r="C1658" s="39" t="s">
        <v>1763</v>
      </c>
      <c r="D1658" s="40">
        <v>8.1734000000000009</v>
      </c>
      <c r="E1658" s="40">
        <v>1.4357</v>
      </c>
      <c r="F1658" s="40"/>
      <c r="G1658" s="41"/>
      <c r="H1658" s="41"/>
      <c r="I1658" s="41"/>
      <c r="J1658" s="42" t="s">
        <v>532</v>
      </c>
    </row>
    <row r="1659" spans="1:12" x14ac:dyDescent="0.25">
      <c r="A1659" s="44">
        <v>2018</v>
      </c>
      <c r="B1659" s="44" t="s">
        <v>349</v>
      </c>
      <c r="C1659" s="44" t="s">
        <v>1763</v>
      </c>
      <c r="D1659" s="45">
        <v>8.1734000000000009</v>
      </c>
      <c r="E1659" s="45">
        <v>1.4357</v>
      </c>
      <c r="F1659" s="45"/>
      <c r="J1659" s="47" t="s">
        <v>533</v>
      </c>
      <c r="K1659" s="48"/>
      <c r="L1659" s="48"/>
    </row>
    <row r="1660" spans="1:12" s="43" customFormat="1" ht="15" x14ac:dyDescent="0.25">
      <c r="A1660" s="38" t="s">
        <v>589</v>
      </c>
      <c r="B1660" s="39" t="s">
        <v>350</v>
      </c>
      <c r="C1660" s="39" t="s">
        <v>1031</v>
      </c>
      <c r="D1660" s="40">
        <v>7.8975999999999997</v>
      </c>
      <c r="E1660" s="40">
        <v>2.0983000000000001</v>
      </c>
      <c r="F1660" s="40"/>
      <c r="G1660" s="41"/>
      <c r="H1660" s="41"/>
      <c r="I1660" s="41"/>
      <c r="J1660" s="42" t="s">
        <v>532</v>
      </c>
    </row>
    <row r="1661" spans="1:12" x14ac:dyDescent="0.25">
      <c r="A1661" s="44">
        <v>2018</v>
      </c>
      <c r="B1661" s="44" t="s">
        <v>350</v>
      </c>
      <c r="C1661" s="44" t="s">
        <v>1031</v>
      </c>
      <c r="D1661" s="45">
        <v>7.8975999999999997</v>
      </c>
      <c r="E1661" s="45">
        <v>2.0983000000000001</v>
      </c>
      <c r="F1661" s="45"/>
      <c r="J1661" s="47" t="s">
        <v>533</v>
      </c>
      <c r="K1661" s="48"/>
      <c r="L1661" s="48"/>
    </row>
    <row r="1662" spans="1:12" s="43" customFormat="1" ht="15" x14ac:dyDescent="0.25">
      <c r="A1662" s="38" t="s">
        <v>615</v>
      </c>
      <c r="B1662" s="39" t="s">
        <v>351</v>
      </c>
      <c r="C1662" s="39" t="s">
        <v>1532</v>
      </c>
      <c r="D1662" s="40">
        <v>7.3411</v>
      </c>
      <c r="E1662" s="40">
        <v>1.3526</v>
      </c>
      <c r="F1662" s="40"/>
      <c r="G1662" s="41"/>
      <c r="H1662" s="41"/>
      <c r="I1662" s="41"/>
      <c r="J1662" s="42" t="s">
        <v>532</v>
      </c>
    </row>
    <row r="1663" spans="1:12" x14ac:dyDescent="0.25">
      <c r="A1663" s="44">
        <v>2018</v>
      </c>
      <c r="B1663" s="44" t="s">
        <v>351</v>
      </c>
      <c r="C1663" s="44" t="s">
        <v>1532</v>
      </c>
      <c r="D1663" s="45">
        <v>7.3411</v>
      </c>
      <c r="E1663" s="45">
        <v>1.3525999999999998</v>
      </c>
      <c r="F1663" s="45"/>
      <c r="J1663" s="47" t="s">
        <v>533</v>
      </c>
      <c r="K1663" s="48"/>
      <c r="L1663" s="48"/>
    </row>
    <row r="1664" spans="1:12" s="43" customFormat="1" ht="15" x14ac:dyDescent="0.25">
      <c r="A1664" s="38" t="s">
        <v>589</v>
      </c>
      <c r="B1664" s="39" t="s">
        <v>352</v>
      </c>
      <c r="C1664" s="39" t="s">
        <v>1764</v>
      </c>
      <c r="D1664" s="40">
        <v>6.9335000000000004</v>
      </c>
      <c r="E1664" s="40">
        <v>0.73950000000000005</v>
      </c>
      <c r="F1664" s="40"/>
      <c r="G1664" s="41"/>
      <c r="H1664" s="41"/>
      <c r="I1664" s="41"/>
      <c r="J1664" s="42" t="s">
        <v>532</v>
      </c>
    </row>
    <row r="1665" spans="1:12" x14ac:dyDescent="0.25">
      <c r="A1665" s="44">
        <v>2018</v>
      </c>
      <c r="B1665" s="44" t="s">
        <v>352</v>
      </c>
      <c r="C1665" s="44" t="s">
        <v>1764</v>
      </c>
      <c r="D1665" s="45">
        <v>6.9335000000000004</v>
      </c>
      <c r="E1665" s="45">
        <v>0.73950000000000005</v>
      </c>
      <c r="F1665" s="45"/>
      <c r="J1665" s="47" t="s">
        <v>533</v>
      </c>
      <c r="K1665" s="48"/>
      <c r="L1665" s="48"/>
    </row>
    <row r="1666" spans="1:12" s="43" customFormat="1" ht="15" x14ac:dyDescent="0.25">
      <c r="A1666" s="38" t="s">
        <v>550</v>
      </c>
      <c r="B1666" s="39" t="s">
        <v>353</v>
      </c>
      <c r="C1666" s="39" t="s">
        <v>834</v>
      </c>
      <c r="D1666" s="40">
        <v>7.3522999999999996</v>
      </c>
      <c r="E1666" s="40">
        <v>1.3396999999999999</v>
      </c>
      <c r="F1666" s="40"/>
      <c r="G1666" s="41"/>
      <c r="H1666" s="41"/>
      <c r="I1666" s="41"/>
      <c r="J1666" s="42" t="s">
        <v>532</v>
      </c>
    </row>
    <row r="1667" spans="1:12" s="43" customFormat="1" ht="15" x14ac:dyDescent="0.25">
      <c r="A1667" s="38" t="s">
        <v>660</v>
      </c>
      <c r="B1667" s="39" t="s">
        <v>353</v>
      </c>
      <c r="C1667" s="39" t="s">
        <v>1774</v>
      </c>
      <c r="D1667" s="40">
        <v>7.3522999999999996</v>
      </c>
      <c r="E1667" s="40">
        <v>1.5757000000000001</v>
      </c>
      <c r="F1667" s="40"/>
      <c r="G1667" s="41"/>
      <c r="H1667" s="41"/>
      <c r="I1667" s="41"/>
      <c r="J1667" s="42" t="s">
        <v>532</v>
      </c>
    </row>
    <row r="1668" spans="1:12" s="43" customFormat="1" ht="15" x14ac:dyDescent="0.25">
      <c r="A1668" s="38" t="s">
        <v>644</v>
      </c>
      <c r="B1668" s="39" t="s">
        <v>353</v>
      </c>
      <c r="C1668" s="39" t="s">
        <v>889</v>
      </c>
      <c r="D1668" s="40">
        <v>7.3522999999999996</v>
      </c>
      <c r="E1668" s="40">
        <v>1.0792999999999999</v>
      </c>
      <c r="F1668" s="40"/>
      <c r="G1668" s="41"/>
      <c r="H1668" s="41"/>
      <c r="I1668" s="41"/>
      <c r="J1668" s="42" t="s">
        <v>532</v>
      </c>
    </row>
    <row r="1669" spans="1:12" x14ac:dyDescent="0.25">
      <c r="A1669" s="44">
        <v>2018</v>
      </c>
      <c r="B1669" s="44" t="s">
        <v>353</v>
      </c>
      <c r="C1669" s="44" t="s">
        <v>1970</v>
      </c>
      <c r="D1669" s="45">
        <v>7.3522999999999996</v>
      </c>
      <c r="E1669" s="45">
        <v>1.3884400202634246</v>
      </c>
      <c r="F1669" s="45"/>
      <c r="J1669" s="47" t="s">
        <v>533</v>
      </c>
      <c r="K1669" s="48"/>
      <c r="L1669" s="48"/>
    </row>
    <row r="1670" spans="1:12" s="43" customFormat="1" ht="15" x14ac:dyDescent="0.25">
      <c r="A1670" s="38" t="s">
        <v>644</v>
      </c>
      <c r="B1670" s="39" t="s">
        <v>354</v>
      </c>
      <c r="C1670" s="39" t="s">
        <v>1791</v>
      </c>
      <c r="D1670" s="40">
        <v>6.9640000000000004</v>
      </c>
      <c r="E1670" s="40">
        <v>2.2132000000000001</v>
      </c>
      <c r="F1670" s="40"/>
      <c r="G1670" s="41"/>
      <c r="H1670" s="41"/>
      <c r="I1670" s="41"/>
      <c r="J1670" s="42" t="s">
        <v>532</v>
      </c>
    </row>
    <row r="1671" spans="1:12" x14ac:dyDescent="0.25">
      <c r="A1671" s="44">
        <v>2018</v>
      </c>
      <c r="B1671" s="44" t="s">
        <v>354</v>
      </c>
      <c r="C1671" s="44" t="s">
        <v>1791</v>
      </c>
      <c r="D1671" s="45">
        <v>6.9640000000000013</v>
      </c>
      <c r="E1671" s="45">
        <v>2.2132000000000001</v>
      </c>
      <c r="F1671" s="45"/>
      <c r="J1671" s="47" t="s">
        <v>533</v>
      </c>
      <c r="K1671" s="48"/>
      <c r="L1671" s="48"/>
    </row>
    <row r="1672" spans="1:12" s="43" customFormat="1" ht="15" x14ac:dyDescent="0.25">
      <c r="A1672" s="38" t="s">
        <v>554</v>
      </c>
      <c r="B1672" s="39" t="s">
        <v>355</v>
      </c>
      <c r="C1672" s="39" t="s">
        <v>1726</v>
      </c>
      <c r="D1672" s="40">
        <v>8.8363999999999994</v>
      </c>
      <c r="E1672" s="40">
        <v>1.4353</v>
      </c>
      <c r="F1672" s="40">
        <v>3.95</v>
      </c>
      <c r="G1672" s="41">
        <v>-1.2370632911392401</v>
      </c>
      <c r="H1672" s="41">
        <v>0.63663291139240497</v>
      </c>
      <c r="I1672" s="41">
        <v>-1.8736962025316499</v>
      </c>
      <c r="J1672" s="42" t="s">
        <v>532</v>
      </c>
    </row>
    <row r="1673" spans="1:12" x14ac:dyDescent="0.25">
      <c r="A1673" s="44">
        <v>2018</v>
      </c>
      <c r="B1673" s="44" t="s">
        <v>355</v>
      </c>
      <c r="C1673" s="44" t="s">
        <v>1726</v>
      </c>
      <c r="D1673" s="45">
        <v>8.8363999999999994</v>
      </c>
      <c r="E1673" s="45">
        <v>1.4353</v>
      </c>
      <c r="F1673" s="45">
        <v>3.95</v>
      </c>
      <c r="G1673" s="46">
        <v>-1.2370632911392403</v>
      </c>
      <c r="H1673" s="46">
        <v>0.63663291139240508</v>
      </c>
      <c r="I1673" s="46">
        <v>-1.8736962025316457</v>
      </c>
      <c r="J1673" s="47" t="s">
        <v>533</v>
      </c>
      <c r="K1673" s="48"/>
      <c r="L1673" s="48"/>
    </row>
    <row r="1674" spans="1:12" s="43" customFormat="1" ht="15" x14ac:dyDescent="0.25">
      <c r="A1674" s="38" t="s">
        <v>554</v>
      </c>
      <c r="B1674" s="39" t="s">
        <v>356</v>
      </c>
      <c r="C1674" s="39" t="s">
        <v>1545</v>
      </c>
      <c r="D1674" s="40">
        <v>8.4245999999999999</v>
      </c>
      <c r="E1674" s="40">
        <v>2.5270000000000001</v>
      </c>
      <c r="F1674" s="40">
        <v>5.69</v>
      </c>
      <c r="G1674" s="41">
        <v>-0.48059753954305801</v>
      </c>
      <c r="H1674" s="41">
        <v>0.55588752196836599</v>
      </c>
      <c r="I1674" s="41">
        <v>-1.0364850615114201</v>
      </c>
      <c r="J1674" s="42" t="s">
        <v>532</v>
      </c>
    </row>
    <row r="1675" spans="1:12" x14ac:dyDescent="0.25">
      <c r="A1675" s="44">
        <v>2018</v>
      </c>
      <c r="B1675" s="44" t="s">
        <v>356</v>
      </c>
      <c r="C1675" s="44" t="s">
        <v>1545</v>
      </c>
      <c r="D1675" s="45">
        <v>8.4245999999999999</v>
      </c>
      <c r="E1675" s="45">
        <v>2.5270000000000001</v>
      </c>
      <c r="F1675" s="45">
        <v>5.69</v>
      </c>
      <c r="G1675" s="46">
        <v>-0.48059753954305789</v>
      </c>
      <c r="H1675" s="46">
        <v>0.55588752196836555</v>
      </c>
      <c r="I1675" s="46">
        <v>-1.0364850615114234</v>
      </c>
      <c r="J1675" s="47" t="s">
        <v>533</v>
      </c>
      <c r="K1675" s="48"/>
      <c r="L1675" s="48"/>
    </row>
    <row r="1676" spans="1:12" s="43" customFormat="1" ht="15" x14ac:dyDescent="0.25">
      <c r="A1676" s="38" t="s">
        <v>540</v>
      </c>
      <c r="B1676" s="39" t="s">
        <v>357</v>
      </c>
      <c r="C1676" s="39" t="s">
        <v>1591</v>
      </c>
      <c r="D1676" s="40">
        <v>7.2870999999999997</v>
      </c>
      <c r="E1676" s="40">
        <v>8.7795000000000005</v>
      </c>
      <c r="F1676" s="40"/>
      <c r="G1676" s="41"/>
      <c r="H1676" s="41"/>
      <c r="I1676" s="41"/>
      <c r="J1676" s="42" t="s">
        <v>532</v>
      </c>
    </row>
    <row r="1677" spans="1:12" x14ac:dyDescent="0.25">
      <c r="A1677" s="44">
        <v>2018</v>
      </c>
      <c r="B1677" s="44" t="s">
        <v>357</v>
      </c>
      <c r="C1677" s="44" t="s">
        <v>1591</v>
      </c>
      <c r="D1677" s="45">
        <v>7.2870999999999997</v>
      </c>
      <c r="E1677" s="45">
        <v>8.7795000000000005</v>
      </c>
      <c r="F1677" s="45"/>
      <c r="J1677" s="47" t="s">
        <v>533</v>
      </c>
      <c r="K1677" s="48"/>
      <c r="L1677" s="48"/>
    </row>
    <row r="1678" spans="1:12" s="43" customFormat="1" ht="15" x14ac:dyDescent="0.25">
      <c r="A1678" s="38" t="s">
        <v>540</v>
      </c>
      <c r="B1678" s="39" t="s">
        <v>358</v>
      </c>
      <c r="C1678" s="39" t="s">
        <v>1464</v>
      </c>
      <c r="D1678" s="40">
        <v>6.3707000000000003</v>
      </c>
      <c r="E1678" s="40">
        <v>7.9907000000000004</v>
      </c>
      <c r="F1678" s="40">
        <v>22.303999999999998</v>
      </c>
      <c r="G1678" s="41">
        <v>0.71436961979913904</v>
      </c>
      <c r="H1678" s="41">
        <v>0.64173690817790496</v>
      </c>
      <c r="I1678" s="41">
        <v>7.26327116212339E-2</v>
      </c>
      <c r="J1678" s="42" t="s">
        <v>532</v>
      </c>
    </row>
    <row r="1679" spans="1:12" s="43" customFormat="1" ht="15" x14ac:dyDescent="0.25">
      <c r="A1679" s="38" t="s">
        <v>641</v>
      </c>
      <c r="B1679" s="39" t="s">
        <v>358</v>
      </c>
      <c r="C1679" s="39" t="s">
        <v>1381</v>
      </c>
      <c r="D1679" s="40">
        <v>6.3707000000000003</v>
      </c>
      <c r="E1679" s="40">
        <v>9.1782000000000004</v>
      </c>
      <c r="F1679" s="40">
        <v>22.303999999999998</v>
      </c>
      <c r="G1679" s="41">
        <v>0.71436961979913904</v>
      </c>
      <c r="H1679" s="41">
        <v>0.58849533715925395</v>
      </c>
      <c r="I1679" s="41">
        <v>0.12587428263988501</v>
      </c>
      <c r="J1679" s="42" t="s">
        <v>532</v>
      </c>
    </row>
    <row r="1680" spans="1:12" x14ac:dyDescent="0.25">
      <c r="A1680" s="44">
        <v>2018</v>
      </c>
      <c r="B1680" s="44" t="s">
        <v>358</v>
      </c>
      <c r="C1680" s="44" t="s">
        <v>1975</v>
      </c>
      <c r="D1680" s="45">
        <v>6.3707000000000011</v>
      </c>
      <c r="E1680" s="45">
        <v>8.8459461139896369</v>
      </c>
      <c r="F1680" s="45">
        <v>22.304000000000002</v>
      </c>
      <c r="G1680" s="46">
        <v>0.71436961979913915</v>
      </c>
      <c r="H1680" s="46">
        <v>0.60339194252198547</v>
      </c>
      <c r="I1680" s="46">
        <v>0.11097767727715374</v>
      </c>
      <c r="J1680" s="47" t="s">
        <v>533</v>
      </c>
      <c r="K1680" s="48"/>
      <c r="L1680" s="48"/>
    </row>
    <row r="1681" spans="1:12" s="43" customFormat="1" ht="15" x14ac:dyDescent="0.25">
      <c r="A1681" s="38" t="s">
        <v>642</v>
      </c>
      <c r="B1681" s="39" t="s">
        <v>359</v>
      </c>
      <c r="C1681" s="39" t="s">
        <v>828</v>
      </c>
      <c r="D1681" s="40">
        <v>7.0697000000000001</v>
      </c>
      <c r="E1681" s="40">
        <v>8.1636000000000006</v>
      </c>
      <c r="F1681" s="40">
        <v>20.8</v>
      </c>
      <c r="G1681" s="41">
        <v>0.66011057692307695</v>
      </c>
      <c r="H1681" s="41">
        <v>0.60751923076923098</v>
      </c>
      <c r="I1681" s="41">
        <v>5.25913461538461E-2</v>
      </c>
      <c r="J1681" s="42" t="s">
        <v>532</v>
      </c>
    </row>
    <row r="1682" spans="1:12" x14ac:dyDescent="0.25">
      <c r="A1682" s="44">
        <v>2018</v>
      </c>
      <c r="B1682" s="44" t="s">
        <v>359</v>
      </c>
      <c r="C1682" s="44" t="s">
        <v>828</v>
      </c>
      <c r="D1682" s="45">
        <v>7.0696999999999992</v>
      </c>
      <c r="E1682" s="45">
        <v>8.1636000000000006</v>
      </c>
      <c r="F1682" s="45">
        <v>20.8</v>
      </c>
      <c r="G1682" s="46">
        <v>0.66011057692307684</v>
      </c>
      <c r="H1682" s="46">
        <v>0.60751923076923076</v>
      </c>
      <c r="I1682" s="46">
        <v>5.2591346153846086E-2</v>
      </c>
      <c r="J1682" s="47" t="s">
        <v>533</v>
      </c>
      <c r="K1682" s="48"/>
      <c r="L1682" s="48"/>
    </row>
    <row r="1683" spans="1:12" s="43" customFormat="1" ht="15" x14ac:dyDescent="0.25">
      <c r="A1683" s="38" t="s">
        <v>648</v>
      </c>
      <c r="B1683" s="39" t="s">
        <v>360</v>
      </c>
      <c r="C1683" s="39" t="s">
        <v>1633</v>
      </c>
      <c r="D1683" s="40">
        <v>5.8906999999999998</v>
      </c>
      <c r="E1683" s="40">
        <v>6.5513000000000003</v>
      </c>
      <c r="F1683" s="40">
        <v>20.16</v>
      </c>
      <c r="G1683" s="41">
        <v>0.70780257936507895</v>
      </c>
      <c r="H1683" s="41">
        <v>0.67503472222222205</v>
      </c>
      <c r="I1683" s="41">
        <v>3.2767857142857203E-2</v>
      </c>
      <c r="J1683" s="39" t="s">
        <v>532</v>
      </c>
    </row>
    <row r="1684" spans="1:12" x14ac:dyDescent="0.25">
      <c r="A1684" s="44">
        <v>2018</v>
      </c>
      <c r="B1684" s="44" t="s">
        <v>360</v>
      </c>
      <c r="C1684" s="44" t="s">
        <v>1633</v>
      </c>
      <c r="D1684" s="45">
        <v>5.8906999999999998</v>
      </c>
      <c r="E1684" s="45">
        <v>6.5513000000000003</v>
      </c>
      <c r="F1684" s="45">
        <v>20.16</v>
      </c>
      <c r="G1684" s="46">
        <v>0.7078025793650794</v>
      </c>
      <c r="H1684" s="46">
        <v>0.67503472222222216</v>
      </c>
      <c r="I1684" s="46">
        <v>3.2767857142857237E-2</v>
      </c>
      <c r="J1684" s="47" t="s">
        <v>533</v>
      </c>
      <c r="K1684" s="48"/>
      <c r="L1684" s="48"/>
    </row>
    <row r="1685" spans="1:12" s="43" customFormat="1" ht="15" x14ac:dyDescent="0.25">
      <c r="A1685" s="38" t="s">
        <v>641</v>
      </c>
      <c r="B1685" s="39" t="s">
        <v>361</v>
      </c>
      <c r="C1685" s="39" t="s">
        <v>1622</v>
      </c>
      <c r="D1685" s="40">
        <v>6.0183999999999997</v>
      </c>
      <c r="E1685" s="40">
        <v>8.4810999999999996</v>
      </c>
      <c r="F1685" s="40">
        <v>22.303999999999998</v>
      </c>
      <c r="G1685" s="41">
        <v>0.73016499282639902</v>
      </c>
      <c r="H1685" s="41">
        <v>0.61974982065997097</v>
      </c>
      <c r="I1685" s="41">
        <v>0.110415172166427</v>
      </c>
      <c r="J1685" s="42" t="s">
        <v>532</v>
      </c>
    </row>
    <row r="1686" spans="1:12" s="43" customFormat="1" ht="15" x14ac:dyDescent="0.25">
      <c r="A1686" s="38" t="s">
        <v>620</v>
      </c>
      <c r="B1686" s="39" t="s">
        <v>361</v>
      </c>
      <c r="C1686" s="39" t="s">
        <v>1641</v>
      </c>
      <c r="D1686" s="40">
        <v>6.0183999999999997</v>
      </c>
      <c r="E1686" s="40">
        <v>7.3939000000000004</v>
      </c>
      <c r="F1686" s="40">
        <v>22.303999999999998</v>
      </c>
      <c r="G1686" s="41">
        <v>0.73016499282639902</v>
      </c>
      <c r="H1686" s="41">
        <v>0.66849444045911</v>
      </c>
      <c r="I1686" s="41">
        <v>6.1670552367288398E-2</v>
      </c>
      <c r="J1686" s="42" t="s">
        <v>532</v>
      </c>
    </row>
    <row r="1687" spans="1:12" s="43" customFormat="1" ht="15" x14ac:dyDescent="0.25">
      <c r="A1687" s="38" t="s">
        <v>645</v>
      </c>
      <c r="B1687" s="39" t="s">
        <v>361</v>
      </c>
      <c r="C1687" s="39" t="s">
        <v>1667</v>
      </c>
      <c r="D1687" s="40">
        <v>6.0183999999999997</v>
      </c>
      <c r="E1687" s="40">
        <v>7.0995999999999997</v>
      </c>
      <c r="F1687" s="40">
        <v>22.303999999999998</v>
      </c>
      <c r="G1687" s="41">
        <v>0.73016499282639902</v>
      </c>
      <c r="H1687" s="41">
        <v>0.68168938307030102</v>
      </c>
      <c r="I1687" s="41">
        <v>4.8475609756097403E-2</v>
      </c>
      <c r="J1687" s="42" t="s">
        <v>532</v>
      </c>
    </row>
    <row r="1688" spans="1:12" x14ac:dyDescent="0.25">
      <c r="A1688" s="44">
        <v>2018</v>
      </c>
      <c r="B1688" s="44" t="s">
        <v>361</v>
      </c>
      <c r="C1688" s="44" t="s">
        <v>1981</v>
      </c>
      <c r="D1688" s="45">
        <v>6.0183999999999997</v>
      </c>
      <c r="E1688" s="45">
        <v>7.5335174850299396</v>
      </c>
      <c r="F1688" s="45">
        <v>22.304000000000002</v>
      </c>
      <c r="G1688" s="46">
        <v>0.73016499282639891</v>
      </c>
      <c r="H1688" s="46">
        <v>0.66223468951623299</v>
      </c>
      <c r="I1688" s="46">
        <v>6.7930303310165849E-2</v>
      </c>
      <c r="J1688" s="47" t="s">
        <v>533</v>
      </c>
      <c r="K1688" s="48"/>
      <c r="L1688" s="48"/>
    </row>
    <row r="1689" spans="1:12" s="43" customFormat="1" ht="15" x14ac:dyDescent="0.25">
      <c r="A1689" s="38" t="s">
        <v>702</v>
      </c>
      <c r="B1689" s="39" t="s">
        <v>158</v>
      </c>
      <c r="C1689" s="39" t="s">
        <v>1276</v>
      </c>
      <c r="D1689" s="40">
        <v>0.71789999999999998</v>
      </c>
      <c r="E1689" s="40">
        <v>0.94779999999999998</v>
      </c>
      <c r="F1689" s="40">
        <v>1.9259999999999999</v>
      </c>
      <c r="G1689" s="41">
        <v>0.62725856697819304</v>
      </c>
      <c r="H1689" s="41">
        <v>0.50786604361370702</v>
      </c>
      <c r="I1689" s="41">
        <v>0.119392523364486</v>
      </c>
      <c r="J1689" s="42" t="s">
        <v>532</v>
      </c>
    </row>
    <row r="1690" spans="1:12" s="43" customFormat="1" ht="15" x14ac:dyDescent="0.25">
      <c r="A1690" s="38" t="s">
        <v>570</v>
      </c>
      <c r="B1690" s="39" t="s">
        <v>158</v>
      </c>
      <c r="C1690" s="39" t="s">
        <v>872</v>
      </c>
      <c r="D1690" s="40">
        <v>0.71789999999999998</v>
      </c>
      <c r="E1690" s="40">
        <v>0.9405</v>
      </c>
      <c r="F1690" s="40">
        <v>1.9450000000000001</v>
      </c>
      <c r="G1690" s="41">
        <v>0.63089974293059103</v>
      </c>
      <c r="H1690" s="41">
        <v>0.51643958868894602</v>
      </c>
      <c r="I1690" s="41">
        <v>0.114460154241645</v>
      </c>
      <c r="J1690" s="42" t="s">
        <v>532</v>
      </c>
    </row>
    <row r="1691" spans="1:12" x14ac:dyDescent="0.25">
      <c r="A1691" s="44">
        <v>2018</v>
      </c>
      <c r="B1691" s="44" t="s">
        <v>158</v>
      </c>
      <c r="C1691" s="44" t="s">
        <v>1886</v>
      </c>
      <c r="D1691" s="45">
        <v>0.68019822419533849</v>
      </c>
      <c r="E1691" s="45">
        <v>0.92437436182019994</v>
      </c>
      <c r="F1691" s="45">
        <v>1.9304284128745837</v>
      </c>
      <c r="G1691" s="46">
        <v>0.64768240090087215</v>
      </c>
      <c r="H1691" s="46">
        <v>0.52114591496994289</v>
      </c>
      <c r="I1691" s="46">
        <v>0.12653648593092925</v>
      </c>
      <c r="J1691" s="47" t="s">
        <v>533</v>
      </c>
      <c r="K1691" s="48"/>
      <c r="L1691" s="48"/>
    </row>
    <row r="1692" spans="1:12" s="43" customFormat="1" ht="15" x14ac:dyDescent="0.25">
      <c r="A1692" s="38" t="s">
        <v>642</v>
      </c>
      <c r="B1692" s="39" t="s">
        <v>366</v>
      </c>
      <c r="C1692" s="39" t="s">
        <v>1628</v>
      </c>
      <c r="D1692" s="40">
        <v>6.2882999999999996</v>
      </c>
      <c r="E1692" s="40">
        <v>7.3244999999999996</v>
      </c>
      <c r="F1692" s="40">
        <v>20.16</v>
      </c>
      <c r="G1692" s="41">
        <v>0.68808035714285698</v>
      </c>
      <c r="H1692" s="41">
        <v>0.63668154761904805</v>
      </c>
      <c r="I1692" s="41">
        <v>5.1398809523809597E-2</v>
      </c>
      <c r="J1692" s="42" t="s">
        <v>532</v>
      </c>
    </row>
    <row r="1693" spans="1:12" x14ac:dyDescent="0.25">
      <c r="A1693" s="44">
        <v>2018</v>
      </c>
      <c r="B1693" s="44" t="s">
        <v>366</v>
      </c>
      <c r="C1693" s="44" t="s">
        <v>1628</v>
      </c>
      <c r="D1693" s="45">
        <v>6.2882999999999996</v>
      </c>
      <c r="E1693" s="45">
        <v>7.3244999999999996</v>
      </c>
      <c r="F1693" s="45">
        <v>20.16</v>
      </c>
      <c r="G1693" s="46">
        <v>0.6880803571428572</v>
      </c>
      <c r="H1693" s="46">
        <v>0.63668154761904761</v>
      </c>
      <c r="I1693" s="46">
        <v>5.1398809523809603E-2</v>
      </c>
      <c r="J1693" s="47" t="s">
        <v>533</v>
      </c>
      <c r="K1693" s="48"/>
      <c r="L1693" s="48"/>
    </row>
    <row r="1694" spans="1:12" s="43" customFormat="1" ht="15" x14ac:dyDescent="0.25">
      <c r="A1694" s="38" t="s">
        <v>640</v>
      </c>
      <c r="B1694" s="39" t="s">
        <v>367</v>
      </c>
      <c r="C1694" s="39" t="s">
        <v>1614</v>
      </c>
      <c r="D1694" s="40">
        <v>5.7281000000000004</v>
      </c>
      <c r="E1694" s="40">
        <v>6.4276</v>
      </c>
      <c r="F1694" s="40">
        <v>22.303999999999998</v>
      </c>
      <c r="G1694" s="41">
        <v>0.74318059540889503</v>
      </c>
      <c r="H1694" s="41">
        <v>0.71181850789096102</v>
      </c>
      <c r="I1694" s="41">
        <v>3.1362087517933901E-2</v>
      </c>
      <c r="J1694" s="42" t="s">
        <v>532</v>
      </c>
    </row>
    <row r="1695" spans="1:12" s="43" customFormat="1" ht="15" x14ac:dyDescent="0.25">
      <c r="A1695" s="38" t="s">
        <v>645</v>
      </c>
      <c r="B1695" s="39" t="s">
        <v>367</v>
      </c>
      <c r="C1695" s="39" t="s">
        <v>1668</v>
      </c>
      <c r="D1695" s="40">
        <v>5.7281000000000004</v>
      </c>
      <c r="E1695" s="40">
        <v>6.1952999999999996</v>
      </c>
      <c r="F1695" s="40">
        <v>22.303999999999998</v>
      </c>
      <c r="G1695" s="41">
        <v>0.74318059540889503</v>
      </c>
      <c r="H1695" s="41">
        <v>0.72223368005738897</v>
      </c>
      <c r="I1695" s="41">
        <v>2.09469153515063E-2</v>
      </c>
      <c r="J1695" s="42" t="s">
        <v>532</v>
      </c>
    </row>
    <row r="1696" spans="1:12" x14ac:dyDescent="0.25">
      <c r="A1696" s="44">
        <v>2018</v>
      </c>
      <c r="B1696" s="44" t="s">
        <v>367</v>
      </c>
      <c r="C1696" s="44" t="s">
        <v>1978</v>
      </c>
      <c r="D1696" s="45">
        <v>5.7281000000000013</v>
      </c>
      <c r="E1696" s="45">
        <v>6.341150456621004</v>
      </c>
      <c r="F1696" s="45">
        <v>22.303999999999998</v>
      </c>
      <c r="G1696" s="46">
        <v>0.74318059540889525</v>
      </c>
      <c r="H1696" s="46">
        <v>0.71569447378851314</v>
      </c>
      <c r="I1696" s="46">
        <v>2.7486121620382067E-2</v>
      </c>
      <c r="J1696" s="47" t="s">
        <v>533</v>
      </c>
      <c r="K1696" s="48"/>
      <c r="L1696" s="48"/>
    </row>
    <row r="1697" spans="1:12" s="43" customFormat="1" ht="15" x14ac:dyDescent="0.25">
      <c r="A1697" s="38" t="s">
        <v>610</v>
      </c>
      <c r="B1697" s="39" t="s">
        <v>368</v>
      </c>
      <c r="C1697" s="39" t="s">
        <v>936</v>
      </c>
      <c r="D1697" s="40">
        <v>7.484</v>
      </c>
      <c r="E1697" s="40">
        <v>1.4218999999999999</v>
      </c>
      <c r="F1697" s="40"/>
      <c r="G1697" s="41"/>
      <c r="H1697" s="41"/>
      <c r="I1697" s="41"/>
      <c r="J1697" s="42" t="s">
        <v>532</v>
      </c>
    </row>
    <row r="1698" spans="1:12" s="43" customFormat="1" ht="15" x14ac:dyDescent="0.25">
      <c r="A1698" s="38" t="s">
        <v>550</v>
      </c>
      <c r="B1698" s="39" t="s">
        <v>368</v>
      </c>
      <c r="C1698" s="39" t="s">
        <v>1380</v>
      </c>
      <c r="D1698" s="40">
        <v>7.484</v>
      </c>
      <c r="E1698" s="40">
        <v>1.2463</v>
      </c>
      <c r="F1698" s="40"/>
      <c r="G1698" s="41"/>
      <c r="H1698" s="41"/>
      <c r="I1698" s="41"/>
      <c r="J1698" s="42" t="s">
        <v>532</v>
      </c>
    </row>
    <row r="1699" spans="1:12" x14ac:dyDescent="0.25">
      <c r="A1699" s="44">
        <v>2018</v>
      </c>
      <c r="B1699" s="44" t="s">
        <v>368</v>
      </c>
      <c r="C1699" s="44" t="s">
        <v>1966</v>
      </c>
      <c r="D1699" s="45">
        <v>7.4839999999999991</v>
      </c>
      <c r="E1699" s="45">
        <v>1.2558819691577698</v>
      </c>
      <c r="F1699" s="45"/>
      <c r="J1699" s="47" t="s">
        <v>533</v>
      </c>
      <c r="K1699" s="48"/>
      <c r="L1699" s="48"/>
    </row>
    <row r="1700" spans="1:12" s="43" customFormat="1" ht="15" x14ac:dyDescent="0.25">
      <c r="A1700" s="38" t="s">
        <v>569</v>
      </c>
      <c r="B1700" s="39" t="s">
        <v>369</v>
      </c>
      <c r="C1700" s="39" t="s">
        <v>1165</v>
      </c>
      <c r="D1700" s="40">
        <v>7.0946999999999996</v>
      </c>
      <c r="E1700" s="40">
        <v>2.0042</v>
      </c>
      <c r="F1700" s="40"/>
      <c r="G1700" s="41"/>
      <c r="H1700" s="41"/>
      <c r="I1700" s="41"/>
      <c r="J1700" s="42" t="s">
        <v>532</v>
      </c>
    </row>
    <row r="1701" spans="1:12" x14ac:dyDescent="0.25">
      <c r="A1701" s="44">
        <v>2018</v>
      </c>
      <c r="B1701" s="44" t="s">
        <v>369</v>
      </c>
      <c r="C1701" s="44" t="s">
        <v>1165</v>
      </c>
      <c r="D1701" s="45">
        <v>7.0946999999999996</v>
      </c>
      <c r="E1701" s="45">
        <v>2.0042</v>
      </c>
      <c r="F1701" s="45"/>
      <c r="J1701" s="47" t="s">
        <v>533</v>
      </c>
      <c r="K1701" s="48"/>
      <c r="L1701" s="48"/>
    </row>
    <row r="1702" spans="1:12" s="43" customFormat="1" ht="15" x14ac:dyDescent="0.25">
      <c r="A1702" s="38" t="s">
        <v>661</v>
      </c>
      <c r="B1702" s="39" t="s">
        <v>370</v>
      </c>
      <c r="C1702" s="39" t="s">
        <v>1417</v>
      </c>
      <c r="D1702" s="40">
        <v>6.9974999999999996</v>
      </c>
      <c r="E1702" s="40">
        <v>1.3438000000000001</v>
      </c>
      <c r="F1702" s="40"/>
      <c r="G1702" s="41"/>
      <c r="H1702" s="41"/>
      <c r="I1702" s="41"/>
      <c r="J1702" s="42" t="s">
        <v>532</v>
      </c>
    </row>
    <row r="1703" spans="1:12" x14ac:dyDescent="0.25">
      <c r="A1703" s="44">
        <v>2018</v>
      </c>
      <c r="B1703" s="44" t="s">
        <v>370</v>
      </c>
      <c r="C1703" s="44" t="s">
        <v>1417</v>
      </c>
      <c r="D1703" s="45">
        <v>6.9974999999999987</v>
      </c>
      <c r="E1703" s="45">
        <v>1.3438000000000001</v>
      </c>
      <c r="F1703" s="45"/>
      <c r="J1703" s="47" t="s">
        <v>533</v>
      </c>
      <c r="K1703" s="48"/>
      <c r="L1703" s="48"/>
    </row>
    <row r="1704" spans="1:12" s="43" customFormat="1" ht="15" x14ac:dyDescent="0.25">
      <c r="A1704" s="38" t="s">
        <v>661</v>
      </c>
      <c r="B1704" s="39" t="s">
        <v>371</v>
      </c>
      <c r="C1704" s="39" t="s">
        <v>1786</v>
      </c>
      <c r="D1704" s="40">
        <v>6.4635999999999996</v>
      </c>
      <c r="E1704" s="40">
        <v>1.8614999999999999</v>
      </c>
      <c r="F1704" s="40">
        <v>9.6210000000000004</v>
      </c>
      <c r="G1704" s="41">
        <v>0.32817794408065698</v>
      </c>
      <c r="H1704" s="41">
        <v>0.80651699407545996</v>
      </c>
      <c r="I1704" s="41">
        <v>-0.47833904999480298</v>
      </c>
      <c r="J1704" s="42" t="s">
        <v>532</v>
      </c>
    </row>
    <row r="1705" spans="1:12" x14ac:dyDescent="0.25">
      <c r="A1705" s="44">
        <v>2018</v>
      </c>
      <c r="B1705" s="44" t="s">
        <v>371</v>
      </c>
      <c r="C1705" s="44" t="s">
        <v>1786</v>
      </c>
      <c r="D1705" s="45">
        <v>6.4635999999999987</v>
      </c>
      <c r="E1705" s="45">
        <v>1.8615000000000002</v>
      </c>
      <c r="F1705" s="45">
        <v>9.6210000000000004</v>
      </c>
      <c r="G1705" s="46">
        <v>0.32817794408065687</v>
      </c>
      <c r="H1705" s="46">
        <v>0.80651699407545996</v>
      </c>
      <c r="I1705" s="46">
        <v>-0.47833904999480314</v>
      </c>
      <c r="J1705" s="47" t="s">
        <v>533</v>
      </c>
      <c r="K1705" s="48"/>
      <c r="L1705" s="48"/>
    </row>
    <row r="1706" spans="1:12" s="43" customFormat="1" ht="15" x14ac:dyDescent="0.25">
      <c r="A1706" s="38" t="s">
        <v>540</v>
      </c>
      <c r="B1706" s="39" t="s">
        <v>372</v>
      </c>
      <c r="C1706" s="39" t="s">
        <v>1593</v>
      </c>
      <c r="D1706" s="40">
        <v>7.2013999999999996</v>
      </c>
      <c r="E1706" s="40">
        <v>0.58099999999999996</v>
      </c>
      <c r="F1706" s="40"/>
      <c r="G1706" s="41"/>
      <c r="H1706" s="41"/>
      <c r="I1706" s="41"/>
      <c r="J1706" s="42" t="s">
        <v>532</v>
      </c>
    </row>
    <row r="1707" spans="1:12" x14ac:dyDescent="0.25">
      <c r="A1707" s="44">
        <v>2018</v>
      </c>
      <c r="B1707" s="44" t="s">
        <v>372</v>
      </c>
      <c r="C1707" s="44" t="s">
        <v>1593</v>
      </c>
      <c r="D1707" s="45">
        <v>7.2013999999999996</v>
      </c>
      <c r="E1707" s="45">
        <v>0.58099999999999996</v>
      </c>
      <c r="F1707" s="45"/>
      <c r="J1707" s="47" t="s">
        <v>533</v>
      </c>
      <c r="K1707" s="48"/>
      <c r="L1707" s="48"/>
    </row>
    <row r="1708" spans="1:12" s="43" customFormat="1" ht="15" x14ac:dyDescent="0.25">
      <c r="A1708" s="38" t="s">
        <v>597</v>
      </c>
      <c r="B1708" s="39" t="s">
        <v>373</v>
      </c>
      <c r="C1708" s="39" t="s">
        <v>745</v>
      </c>
      <c r="D1708" s="40">
        <v>5.1951000000000001</v>
      </c>
      <c r="E1708" s="40">
        <v>0.13020000000000001</v>
      </c>
      <c r="F1708" s="40">
        <v>1.4</v>
      </c>
      <c r="G1708" s="41">
        <v>-2.7107857142857101</v>
      </c>
      <c r="H1708" s="41">
        <v>0.90700000000000003</v>
      </c>
      <c r="I1708" s="41">
        <v>-3.6177857142857102</v>
      </c>
      <c r="J1708" s="42" t="s">
        <v>532</v>
      </c>
    </row>
    <row r="1709" spans="1:12" s="43" customFormat="1" ht="15" x14ac:dyDescent="0.25">
      <c r="A1709" s="38" t="s">
        <v>540</v>
      </c>
      <c r="B1709" s="39" t="s">
        <v>373</v>
      </c>
      <c r="C1709" s="39" t="s">
        <v>1594</v>
      </c>
      <c r="D1709" s="40">
        <v>5.1951000000000001</v>
      </c>
      <c r="E1709" s="40">
        <v>0.52910000000000001</v>
      </c>
      <c r="F1709" s="40">
        <v>1.4</v>
      </c>
      <c r="G1709" s="41">
        <v>-2.7107857142857101</v>
      </c>
      <c r="H1709" s="41">
        <v>0.62207142857142805</v>
      </c>
      <c r="I1709" s="41">
        <v>-3.3328571428571401</v>
      </c>
      <c r="J1709" s="42" t="s">
        <v>532</v>
      </c>
    </row>
    <row r="1710" spans="1:12" s="43" customFormat="1" ht="15" x14ac:dyDescent="0.25">
      <c r="A1710" s="38" t="s">
        <v>641</v>
      </c>
      <c r="B1710" s="39" t="s">
        <v>373</v>
      </c>
      <c r="C1710" s="39" t="s">
        <v>1623</v>
      </c>
      <c r="D1710" s="40">
        <v>5.1951000000000001</v>
      </c>
      <c r="E1710" s="40">
        <v>0.49349999999999999</v>
      </c>
      <c r="F1710" s="40">
        <v>1.4</v>
      </c>
      <c r="G1710" s="41">
        <v>-2.7107857142857101</v>
      </c>
      <c r="H1710" s="41">
        <v>0.64749999999999996</v>
      </c>
      <c r="I1710" s="41">
        <v>-3.3582857142857101</v>
      </c>
      <c r="J1710" s="42" t="s">
        <v>532</v>
      </c>
    </row>
    <row r="1711" spans="1:12" x14ac:dyDescent="0.25">
      <c r="A1711" s="44">
        <v>2018</v>
      </c>
      <c r="B1711" s="44" t="s">
        <v>373</v>
      </c>
      <c r="C1711" s="44" t="s">
        <v>1967</v>
      </c>
      <c r="D1711" s="45">
        <v>5.1951000000000001</v>
      </c>
      <c r="E1711" s="45">
        <v>0.45786159520516367</v>
      </c>
      <c r="F1711" s="45">
        <v>1.4</v>
      </c>
      <c r="G1711" s="46">
        <v>-2.7107857142857146</v>
      </c>
      <c r="H1711" s="46">
        <v>0.67295600342488315</v>
      </c>
      <c r="I1711" s="46">
        <v>-3.3837417177105973</v>
      </c>
      <c r="J1711" s="47" t="s">
        <v>533</v>
      </c>
      <c r="K1711" s="48"/>
      <c r="L1711" s="48"/>
    </row>
    <row r="1712" spans="1:12" s="43" customFormat="1" ht="15" x14ac:dyDescent="0.25">
      <c r="A1712" s="38" t="s">
        <v>642</v>
      </c>
      <c r="B1712" s="39" t="s">
        <v>374</v>
      </c>
      <c r="C1712" s="39" t="s">
        <v>1629</v>
      </c>
      <c r="D1712" s="40">
        <v>5.7194000000000003</v>
      </c>
      <c r="E1712" s="40">
        <v>0.53949999999999998</v>
      </c>
      <c r="F1712" s="40">
        <v>1.44</v>
      </c>
      <c r="G1712" s="41">
        <v>-2.97180555555556</v>
      </c>
      <c r="H1712" s="41">
        <v>0.62534722222222205</v>
      </c>
      <c r="I1712" s="41">
        <v>-3.5971527777777799</v>
      </c>
      <c r="J1712" s="42" t="s">
        <v>532</v>
      </c>
    </row>
    <row r="1713" spans="1:12" x14ac:dyDescent="0.25">
      <c r="A1713" s="44">
        <v>2018</v>
      </c>
      <c r="B1713" s="44" t="s">
        <v>374</v>
      </c>
      <c r="C1713" s="44" t="s">
        <v>1629</v>
      </c>
      <c r="D1713" s="45">
        <v>5.7194000000000003</v>
      </c>
      <c r="E1713" s="45">
        <v>0.53949999999999998</v>
      </c>
      <c r="F1713" s="45">
        <v>1.44</v>
      </c>
      <c r="G1713" s="46">
        <v>-2.971805555555556</v>
      </c>
      <c r="H1713" s="46">
        <v>0.62534722222222228</v>
      </c>
      <c r="I1713" s="46">
        <v>-3.5971527777777785</v>
      </c>
      <c r="J1713" s="47" t="s">
        <v>533</v>
      </c>
      <c r="K1713" s="48"/>
      <c r="L1713" s="48"/>
    </row>
    <row r="1714" spans="1:12" s="43" customFormat="1" ht="15" x14ac:dyDescent="0.25">
      <c r="A1714" s="38" t="s">
        <v>648</v>
      </c>
      <c r="B1714" s="39" t="s">
        <v>375</v>
      </c>
      <c r="C1714" s="39" t="s">
        <v>1635</v>
      </c>
      <c r="D1714" s="40">
        <v>6.0655999999999999</v>
      </c>
      <c r="E1714" s="40">
        <v>0.54459999999999997</v>
      </c>
      <c r="F1714" s="40">
        <v>1.4</v>
      </c>
      <c r="G1714" s="41">
        <v>-3.3325714285714301</v>
      </c>
      <c r="H1714" s="41">
        <v>0.61099999999999999</v>
      </c>
      <c r="I1714" s="41">
        <v>-3.9435714285714298</v>
      </c>
      <c r="J1714" s="42" t="s">
        <v>532</v>
      </c>
    </row>
    <row r="1715" spans="1:12" x14ac:dyDescent="0.25">
      <c r="A1715" s="44">
        <v>2018</v>
      </c>
      <c r="B1715" s="44" t="s">
        <v>375</v>
      </c>
      <c r="C1715" s="44" t="s">
        <v>1635</v>
      </c>
      <c r="D1715" s="45">
        <v>6.0655999999999999</v>
      </c>
      <c r="E1715" s="45">
        <v>0.54459999999999997</v>
      </c>
      <c r="F1715" s="45">
        <v>1.4</v>
      </c>
      <c r="G1715" s="46">
        <v>-3.3325714285714279</v>
      </c>
      <c r="H1715" s="46">
        <v>0.61099999999999999</v>
      </c>
      <c r="I1715" s="46">
        <v>-3.9435714285714294</v>
      </c>
      <c r="J1715" s="47" t="s">
        <v>533</v>
      </c>
      <c r="K1715" s="48"/>
      <c r="L1715" s="48"/>
    </row>
    <row r="1716" spans="1:12" s="43" customFormat="1" ht="15" x14ac:dyDescent="0.25">
      <c r="A1716" s="38" t="s">
        <v>640</v>
      </c>
      <c r="B1716" s="39" t="s">
        <v>376</v>
      </c>
      <c r="C1716" s="39" t="s">
        <v>1615</v>
      </c>
      <c r="D1716" s="40">
        <v>6.1555</v>
      </c>
      <c r="E1716" s="40">
        <v>0.65680000000000005</v>
      </c>
      <c r="F1716" s="40">
        <v>1.4</v>
      </c>
      <c r="G1716" s="41">
        <v>-3.3967857142857101</v>
      </c>
      <c r="H1716" s="41">
        <v>0.53085714285714303</v>
      </c>
      <c r="I1716" s="41">
        <v>-3.9276428571428599</v>
      </c>
      <c r="J1716" s="42" t="s">
        <v>532</v>
      </c>
    </row>
    <row r="1717" spans="1:12" s="43" customFormat="1" ht="15" x14ac:dyDescent="0.25">
      <c r="A1717" s="38" t="s">
        <v>620</v>
      </c>
      <c r="B1717" s="39" t="s">
        <v>376</v>
      </c>
      <c r="C1717" s="39" t="s">
        <v>1643</v>
      </c>
      <c r="D1717" s="40">
        <v>6.1555</v>
      </c>
      <c r="E1717" s="40">
        <v>0.58109999999999995</v>
      </c>
      <c r="F1717" s="40">
        <v>1.4</v>
      </c>
      <c r="G1717" s="41">
        <v>-3.3967857142857101</v>
      </c>
      <c r="H1717" s="41">
        <v>0.58492857142857202</v>
      </c>
      <c r="I1717" s="41">
        <v>-3.9817142857142902</v>
      </c>
      <c r="J1717" s="42" t="s">
        <v>532</v>
      </c>
    </row>
    <row r="1718" spans="1:12" s="43" customFormat="1" ht="15" x14ac:dyDescent="0.25">
      <c r="A1718" s="38" t="s">
        <v>645</v>
      </c>
      <c r="B1718" s="39" t="s">
        <v>376</v>
      </c>
      <c r="C1718" s="39" t="s">
        <v>1669</v>
      </c>
      <c r="D1718" s="40">
        <v>6.1555</v>
      </c>
      <c r="E1718" s="40">
        <v>0.56740000000000002</v>
      </c>
      <c r="F1718" s="40">
        <v>1.4</v>
      </c>
      <c r="G1718" s="41">
        <v>-3.3967857142857101</v>
      </c>
      <c r="H1718" s="41">
        <v>0.59471428571428597</v>
      </c>
      <c r="I1718" s="41">
        <v>-3.9914999999999998</v>
      </c>
      <c r="J1718" s="42" t="s">
        <v>532</v>
      </c>
    </row>
    <row r="1719" spans="1:12" x14ac:dyDescent="0.25">
      <c r="A1719" s="44">
        <v>2018</v>
      </c>
      <c r="B1719" s="44" t="s">
        <v>376</v>
      </c>
      <c r="C1719" s="44" t="s">
        <v>1979</v>
      </c>
      <c r="D1719" s="45">
        <v>6.1555</v>
      </c>
      <c r="E1719" s="45">
        <v>0.59235309818875115</v>
      </c>
      <c r="F1719" s="45">
        <v>1.4</v>
      </c>
      <c r="G1719" s="46">
        <v>-3.3967857142857145</v>
      </c>
      <c r="H1719" s="46">
        <v>0.57689064415089197</v>
      </c>
      <c r="I1719" s="46">
        <v>-3.9736763584366064</v>
      </c>
      <c r="J1719" s="47" t="s">
        <v>533</v>
      </c>
      <c r="K1719" s="48"/>
      <c r="L1719" s="48"/>
    </row>
    <row r="1720" spans="1:12" s="43" customFormat="1" ht="15" x14ac:dyDescent="0.25">
      <c r="A1720" s="38" t="s">
        <v>642</v>
      </c>
      <c r="B1720" s="39" t="s">
        <v>377</v>
      </c>
      <c r="C1720" s="39" t="s">
        <v>1532</v>
      </c>
      <c r="D1720" s="40">
        <v>5.0387000000000004</v>
      </c>
      <c r="E1720" s="40">
        <v>0.51639999999999997</v>
      </c>
      <c r="F1720" s="40">
        <v>1.4</v>
      </c>
      <c r="G1720" s="41">
        <v>-2.5990714285714298</v>
      </c>
      <c r="H1720" s="41">
        <v>0.63114285714285701</v>
      </c>
      <c r="I1720" s="41">
        <v>-3.2302142857142901</v>
      </c>
      <c r="J1720" s="42" t="s">
        <v>532</v>
      </c>
    </row>
    <row r="1721" spans="1:12" s="43" customFormat="1" ht="15" x14ac:dyDescent="0.25">
      <c r="A1721" s="38" t="s">
        <v>648</v>
      </c>
      <c r="B1721" s="39" t="s">
        <v>377</v>
      </c>
      <c r="C1721" s="39" t="s">
        <v>1636</v>
      </c>
      <c r="D1721" s="40">
        <v>5.0387000000000004</v>
      </c>
      <c r="E1721" s="40">
        <v>0.47660000000000002</v>
      </c>
      <c r="F1721" s="40">
        <v>1.4</v>
      </c>
      <c r="G1721" s="41">
        <v>-2.5990714285714298</v>
      </c>
      <c r="H1721" s="41">
        <v>0.65957142857142903</v>
      </c>
      <c r="I1721" s="41">
        <v>-3.2586428571428598</v>
      </c>
      <c r="J1721" s="42" t="s">
        <v>532</v>
      </c>
    </row>
    <row r="1722" spans="1:12" x14ac:dyDescent="0.25">
      <c r="A1722" s="44">
        <v>2018</v>
      </c>
      <c r="B1722" s="44" t="s">
        <v>377</v>
      </c>
      <c r="C1722" s="44" t="s">
        <v>1576</v>
      </c>
      <c r="D1722" s="45">
        <v>5.0387000000000004</v>
      </c>
      <c r="E1722" s="45">
        <v>0.49968653234358429</v>
      </c>
      <c r="F1722" s="45">
        <v>1.4</v>
      </c>
      <c r="G1722" s="46">
        <v>-2.5990714285714289</v>
      </c>
      <c r="H1722" s="46">
        <v>0.64308104832601121</v>
      </c>
      <c r="I1722" s="46">
        <v>-3.2421524768974397</v>
      </c>
      <c r="J1722" s="47" t="s">
        <v>533</v>
      </c>
      <c r="K1722" s="48"/>
      <c r="L1722" s="48"/>
    </row>
    <row r="1723" spans="1:12" s="43" customFormat="1" ht="15" x14ac:dyDescent="0.25">
      <c r="A1723" s="38" t="s">
        <v>640</v>
      </c>
      <c r="B1723" s="39" t="s">
        <v>378</v>
      </c>
      <c r="C1723" s="39" t="s">
        <v>1616</v>
      </c>
      <c r="D1723" s="40">
        <v>5.9436</v>
      </c>
      <c r="E1723" s="40">
        <v>0.53390000000000004</v>
      </c>
      <c r="F1723" s="40">
        <v>1.4</v>
      </c>
      <c r="G1723" s="41">
        <v>-3.2454285714285702</v>
      </c>
      <c r="H1723" s="41">
        <v>0.61864285714285705</v>
      </c>
      <c r="I1723" s="41">
        <v>-3.8640714285714299</v>
      </c>
      <c r="J1723" s="42" t="s">
        <v>532</v>
      </c>
    </row>
    <row r="1724" spans="1:12" s="43" customFormat="1" ht="15" x14ac:dyDescent="0.25">
      <c r="A1724" s="38" t="s">
        <v>645</v>
      </c>
      <c r="B1724" s="39" t="s">
        <v>378</v>
      </c>
      <c r="C1724" s="39" t="s">
        <v>1670</v>
      </c>
      <c r="D1724" s="40">
        <v>5.9436</v>
      </c>
      <c r="E1724" s="40">
        <v>0.52600000000000002</v>
      </c>
      <c r="F1724" s="40">
        <v>1.4</v>
      </c>
      <c r="G1724" s="41">
        <v>-3.2454285714285702</v>
      </c>
      <c r="H1724" s="41">
        <v>0.624285714285714</v>
      </c>
      <c r="I1724" s="41">
        <v>-3.8697142857142901</v>
      </c>
      <c r="J1724" s="42" t="s">
        <v>532</v>
      </c>
    </row>
    <row r="1725" spans="1:12" x14ac:dyDescent="0.25">
      <c r="A1725" s="44">
        <v>2018</v>
      </c>
      <c r="B1725" s="44" t="s">
        <v>378</v>
      </c>
      <c r="C1725" s="44" t="s">
        <v>1980</v>
      </c>
      <c r="D1725" s="45">
        <v>5.9436</v>
      </c>
      <c r="E1725" s="45">
        <v>0.53036324222431674</v>
      </c>
      <c r="F1725" s="45">
        <v>1.4</v>
      </c>
      <c r="G1725" s="46">
        <v>-3.2454285714285716</v>
      </c>
      <c r="H1725" s="46">
        <v>0.62116911269691655</v>
      </c>
      <c r="I1725" s="46">
        <v>-3.8665976841254879</v>
      </c>
      <c r="J1725" s="47" t="s">
        <v>533</v>
      </c>
      <c r="K1725" s="48"/>
      <c r="L1725" s="48"/>
    </row>
    <row r="1726" spans="1:12" s="43" customFormat="1" ht="15" x14ac:dyDescent="0.25">
      <c r="A1726" s="38" t="s">
        <v>632</v>
      </c>
      <c r="B1726" s="39" t="s">
        <v>168</v>
      </c>
      <c r="C1726" s="39" t="s">
        <v>1270</v>
      </c>
      <c r="D1726" s="40">
        <v>5.0103</v>
      </c>
      <c r="E1726" s="40">
        <v>2.1930000000000001</v>
      </c>
      <c r="F1726" s="40">
        <v>8.5459999999999994</v>
      </c>
      <c r="G1726" s="41">
        <v>0.413719868944535</v>
      </c>
      <c r="H1726" s="41">
        <v>0.74338871986894495</v>
      </c>
      <c r="I1726" s="41">
        <v>-0.32966885092440901</v>
      </c>
      <c r="J1726" s="42" t="s">
        <v>532</v>
      </c>
    </row>
    <row r="1727" spans="1:12" x14ac:dyDescent="0.25">
      <c r="A1727" s="44">
        <v>2018</v>
      </c>
      <c r="B1727" s="44" t="s">
        <v>168</v>
      </c>
      <c r="C1727" s="44" t="s">
        <v>1270</v>
      </c>
      <c r="D1727" s="45">
        <v>5.0103</v>
      </c>
      <c r="E1727" s="45">
        <v>2.1930000000000001</v>
      </c>
      <c r="F1727" s="45">
        <v>8.5459999999999994</v>
      </c>
      <c r="G1727" s="46">
        <v>0.41371986894453544</v>
      </c>
      <c r="H1727" s="46">
        <v>0.74338871986894461</v>
      </c>
      <c r="I1727" s="46">
        <v>-0.32966885092440917</v>
      </c>
      <c r="J1727" s="47" t="s">
        <v>533</v>
      </c>
      <c r="K1727" s="48"/>
      <c r="L1727" s="48"/>
    </row>
    <row r="1728" spans="1:12" s="43" customFormat="1" ht="15" x14ac:dyDescent="0.25">
      <c r="A1728" s="38" t="s">
        <v>632</v>
      </c>
      <c r="B1728" s="39" t="s">
        <v>169</v>
      </c>
      <c r="C1728" s="39" t="s">
        <v>1271</v>
      </c>
      <c r="D1728" s="40">
        <v>4.4057000000000004</v>
      </c>
      <c r="E1728" s="40">
        <v>7.5408999999999997</v>
      </c>
      <c r="F1728" s="40">
        <v>9.3160000000000007</v>
      </c>
      <c r="G1728" s="41">
        <v>0.52707975525976802</v>
      </c>
      <c r="H1728" s="41">
        <v>0.19054315156719601</v>
      </c>
      <c r="I1728" s="41">
        <v>0.33653660369257199</v>
      </c>
      <c r="J1728" s="42" t="s">
        <v>532</v>
      </c>
    </row>
    <row r="1729" spans="1:12" x14ac:dyDescent="0.25">
      <c r="A1729" s="44">
        <v>2018</v>
      </c>
      <c r="B1729" s="44" t="s">
        <v>169</v>
      </c>
      <c r="C1729" s="44" t="s">
        <v>1271</v>
      </c>
      <c r="D1729" s="45">
        <v>4.4057000000000004</v>
      </c>
      <c r="E1729" s="45">
        <v>7.5408999999999997</v>
      </c>
      <c r="F1729" s="45">
        <v>9.3160000000000007</v>
      </c>
      <c r="G1729" s="46">
        <v>0.52707975525976813</v>
      </c>
      <c r="H1729" s="46">
        <v>0.19054315156719631</v>
      </c>
      <c r="I1729" s="46">
        <v>0.33653660369257182</v>
      </c>
      <c r="J1729" s="47" t="s">
        <v>533</v>
      </c>
      <c r="K1729" s="48"/>
      <c r="L1729" s="48"/>
    </row>
    <row r="1730" spans="1:12" s="43" customFormat="1" ht="15" x14ac:dyDescent="0.25">
      <c r="A1730" s="38" t="s">
        <v>666</v>
      </c>
      <c r="B1730" s="39" t="s">
        <v>172</v>
      </c>
      <c r="C1730" s="39" t="s">
        <v>721</v>
      </c>
      <c r="D1730" s="40">
        <v>2.23</v>
      </c>
      <c r="E1730" s="40">
        <v>2.9331999999999998</v>
      </c>
      <c r="F1730" s="40">
        <v>6.32</v>
      </c>
      <c r="G1730" s="41">
        <v>0.64715585443038004</v>
      </c>
      <c r="H1730" s="41">
        <v>0.53588607594936699</v>
      </c>
      <c r="I1730" s="41">
        <v>0.11126977848101299</v>
      </c>
      <c r="J1730" s="42" t="s">
        <v>532</v>
      </c>
    </row>
    <row r="1731" spans="1:12" s="43" customFormat="1" ht="15" x14ac:dyDescent="0.25">
      <c r="A1731" s="38" t="s">
        <v>674</v>
      </c>
      <c r="B1731" s="39" t="s">
        <v>172</v>
      </c>
      <c r="C1731" s="39" t="s">
        <v>858</v>
      </c>
      <c r="D1731" s="40">
        <v>2.23</v>
      </c>
      <c r="E1731" s="40">
        <v>2.5211999999999999</v>
      </c>
      <c r="F1731" s="40">
        <v>6.32</v>
      </c>
      <c r="G1731" s="41">
        <v>0.64715585443038004</v>
      </c>
      <c r="H1731" s="41">
        <v>0.60107199367088604</v>
      </c>
      <c r="I1731" s="41">
        <v>4.6083860759493701E-2</v>
      </c>
      <c r="J1731" s="42" t="s">
        <v>532</v>
      </c>
    </row>
    <row r="1732" spans="1:12" s="43" customFormat="1" ht="15" x14ac:dyDescent="0.25">
      <c r="A1732" s="38" t="s">
        <v>590</v>
      </c>
      <c r="B1732" s="39" t="s">
        <v>172</v>
      </c>
      <c r="C1732" s="39" t="s">
        <v>1109</v>
      </c>
      <c r="D1732" s="40">
        <v>2.3115000000000001</v>
      </c>
      <c r="E1732" s="40">
        <v>2.7269999999999999</v>
      </c>
      <c r="F1732" s="40">
        <v>6.5003000000000002</v>
      </c>
      <c r="G1732" s="41">
        <v>0.64440213837929305</v>
      </c>
      <c r="H1732" s="41">
        <v>0.580477673935618</v>
      </c>
      <c r="I1732" s="41">
        <v>6.3924464443675194E-2</v>
      </c>
      <c r="J1732" s="42" t="s">
        <v>532</v>
      </c>
    </row>
    <row r="1733" spans="1:12" s="43" customFormat="1" ht="15" x14ac:dyDescent="0.25">
      <c r="A1733" s="38" t="s">
        <v>540</v>
      </c>
      <c r="B1733" s="39" t="s">
        <v>172</v>
      </c>
      <c r="C1733" s="39" t="s">
        <v>1295</v>
      </c>
      <c r="D1733" s="40">
        <v>2.3115000000000001</v>
      </c>
      <c r="E1733" s="40">
        <v>2.3955000000000002</v>
      </c>
      <c r="F1733" s="40">
        <v>26.001000000000001</v>
      </c>
      <c r="G1733" s="41">
        <v>0.91110053459482299</v>
      </c>
      <c r="H1733" s="41">
        <v>0.90786892811814901</v>
      </c>
      <c r="I1733" s="41">
        <v>3.23160647667398E-3</v>
      </c>
      <c r="J1733" s="42" t="s">
        <v>532</v>
      </c>
    </row>
    <row r="1734" spans="1:12" x14ac:dyDescent="0.25">
      <c r="A1734" s="44">
        <v>2018</v>
      </c>
      <c r="B1734" s="44" t="s">
        <v>172</v>
      </c>
      <c r="C1734" s="44" t="s">
        <v>1813</v>
      </c>
      <c r="D1734" s="45">
        <v>2.2714431512981199</v>
      </c>
      <c r="E1734" s="45">
        <v>2.6265736794986569</v>
      </c>
      <c r="F1734" s="45">
        <v>11.858599820948971</v>
      </c>
      <c r="G1734" s="46">
        <v>0.72024966723452311</v>
      </c>
      <c r="H1734" s="46">
        <v>0.66728189565098739</v>
      </c>
      <c r="I1734" s="46">
        <v>5.2967771583535779E-2</v>
      </c>
      <c r="J1734" s="47" t="s">
        <v>533</v>
      </c>
      <c r="K1734" s="48"/>
      <c r="L1734" s="48"/>
    </row>
    <row r="1735" spans="1:12" s="43" customFormat="1" ht="15" x14ac:dyDescent="0.25">
      <c r="A1735" s="38" t="s">
        <v>671</v>
      </c>
      <c r="B1735" s="39" t="s">
        <v>173</v>
      </c>
      <c r="C1735" s="39" t="s">
        <v>782</v>
      </c>
      <c r="D1735" s="40">
        <v>5.5087000000000002</v>
      </c>
      <c r="E1735" s="40">
        <v>6.4730999999999996</v>
      </c>
      <c r="F1735" s="40">
        <v>15.074999999999999</v>
      </c>
      <c r="G1735" s="41">
        <v>0.634580431177446</v>
      </c>
      <c r="H1735" s="41">
        <v>0.57060696517413001</v>
      </c>
      <c r="I1735" s="41">
        <v>6.3973466003316604E-2</v>
      </c>
      <c r="J1735" s="42" t="s">
        <v>532</v>
      </c>
    </row>
    <row r="1736" spans="1:12" s="43" customFormat="1" ht="15" x14ac:dyDescent="0.25">
      <c r="A1736" s="38" t="s">
        <v>684</v>
      </c>
      <c r="B1736" s="39" t="s">
        <v>173</v>
      </c>
      <c r="C1736" s="39" t="s">
        <v>1069</v>
      </c>
      <c r="D1736" s="40">
        <v>5.5087000000000002</v>
      </c>
      <c r="E1736" s="40">
        <v>6.8582999999999998</v>
      </c>
      <c r="F1736" s="40">
        <v>15.074999999999999</v>
      </c>
      <c r="G1736" s="41">
        <v>0.634580431177446</v>
      </c>
      <c r="H1736" s="41">
        <v>0.54505472636815899</v>
      </c>
      <c r="I1736" s="41">
        <v>8.9525704809286802E-2</v>
      </c>
      <c r="J1736" s="42" t="s">
        <v>532</v>
      </c>
    </row>
    <row r="1737" spans="1:12" s="43" customFormat="1" ht="15" x14ac:dyDescent="0.25">
      <c r="A1737" s="38" t="s">
        <v>689</v>
      </c>
      <c r="B1737" s="39" t="s">
        <v>173</v>
      </c>
      <c r="C1737" s="39" t="s">
        <v>1119</v>
      </c>
      <c r="D1737" s="40">
        <v>5.5087000000000002</v>
      </c>
      <c r="E1737" s="40">
        <v>5.96</v>
      </c>
      <c r="F1737" s="40">
        <v>15.074999999999999</v>
      </c>
      <c r="G1737" s="41">
        <v>0.634580431177446</v>
      </c>
      <c r="H1737" s="41">
        <v>0.60464344941956905</v>
      </c>
      <c r="I1737" s="41">
        <v>2.9936981757877301E-2</v>
      </c>
      <c r="J1737" s="42" t="s">
        <v>532</v>
      </c>
    </row>
    <row r="1738" spans="1:12" s="43" customFormat="1" ht="15" x14ac:dyDescent="0.25">
      <c r="A1738" s="38" t="s">
        <v>568</v>
      </c>
      <c r="B1738" s="39" t="s">
        <v>173</v>
      </c>
      <c r="C1738" s="39" t="s">
        <v>942</v>
      </c>
      <c r="D1738" s="40">
        <v>5.4530000000000003</v>
      </c>
      <c r="E1738" s="40">
        <v>6.3067000000000002</v>
      </c>
      <c r="F1738" s="40">
        <v>15.074999999999999</v>
      </c>
      <c r="G1738" s="41">
        <v>0.63827529021558904</v>
      </c>
      <c r="H1738" s="41">
        <v>0.58164510779436196</v>
      </c>
      <c r="I1738" s="41">
        <v>5.66301824212272E-2</v>
      </c>
      <c r="J1738" s="42" t="s">
        <v>532</v>
      </c>
    </row>
    <row r="1739" spans="1:12" s="43" customFormat="1" ht="15" x14ac:dyDescent="0.25">
      <c r="A1739" s="38" t="s">
        <v>709</v>
      </c>
      <c r="B1739" s="39" t="s">
        <v>173</v>
      </c>
      <c r="C1739" s="39" t="s">
        <v>1331</v>
      </c>
      <c r="D1739" s="40">
        <v>5.4530000000000003</v>
      </c>
      <c r="E1739" s="40">
        <v>7.2172999999999998</v>
      </c>
      <c r="F1739" s="40">
        <v>15.074999999999999</v>
      </c>
      <c r="G1739" s="41">
        <v>0.63827529021558904</v>
      </c>
      <c r="H1739" s="41">
        <v>0.52124046434494198</v>
      </c>
      <c r="I1739" s="41">
        <v>0.11703482587064699</v>
      </c>
      <c r="J1739" s="42" t="s">
        <v>532</v>
      </c>
    </row>
    <row r="1740" spans="1:12" s="43" customFormat="1" ht="15" x14ac:dyDescent="0.25">
      <c r="A1740" s="38" t="s">
        <v>567</v>
      </c>
      <c r="B1740" s="39" t="s">
        <v>173</v>
      </c>
      <c r="C1740" s="39" t="s">
        <v>1357</v>
      </c>
      <c r="D1740" s="40">
        <v>5.5087000000000002</v>
      </c>
      <c r="E1740" s="40">
        <v>7.1856</v>
      </c>
      <c r="F1740" s="40">
        <v>15.353</v>
      </c>
      <c r="G1740" s="41">
        <v>0.64119716016413697</v>
      </c>
      <c r="H1740" s="41">
        <v>0.53197420699537601</v>
      </c>
      <c r="I1740" s="41">
        <v>0.109222953168762</v>
      </c>
      <c r="J1740" s="42" t="s">
        <v>532</v>
      </c>
    </row>
    <row r="1741" spans="1:12" x14ac:dyDescent="0.25">
      <c r="A1741" s="44">
        <v>2018</v>
      </c>
      <c r="B1741" s="44" t="s">
        <v>173</v>
      </c>
      <c r="C1741" s="44" t="s">
        <v>1843</v>
      </c>
      <c r="D1741" s="45">
        <v>5.4764486115872471</v>
      </c>
      <c r="E1741" s="45">
        <v>6.8391677751114157</v>
      </c>
      <c r="F1741" s="45">
        <v>15.07986047308879</v>
      </c>
      <c r="G1741" s="46">
        <v>0.63683551177180475</v>
      </c>
      <c r="H1741" s="46">
        <v>0.54647476296254349</v>
      </c>
      <c r="I1741" s="46">
        <v>9.0360748809261204E-2</v>
      </c>
      <c r="J1741" s="47" t="s">
        <v>533</v>
      </c>
      <c r="K1741" s="48"/>
      <c r="L1741" s="48"/>
    </row>
    <row r="1742" spans="1:12" s="43" customFormat="1" ht="15" x14ac:dyDescent="0.25">
      <c r="A1742" s="38" t="s">
        <v>588</v>
      </c>
      <c r="B1742" s="39" t="s">
        <v>174</v>
      </c>
      <c r="C1742" s="39" t="s">
        <v>849</v>
      </c>
      <c r="D1742" s="40">
        <v>10.506500000000001</v>
      </c>
      <c r="E1742" s="40">
        <v>11.6896</v>
      </c>
      <c r="F1742" s="40">
        <v>6.7809999999999997</v>
      </c>
      <c r="G1742" s="41">
        <v>-0.54940274295826597</v>
      </c>
      <c r="H1742" s="41">
        <v>-0.72387553458192</v>
      </c>
      <c r="I1742" s="41">
        <v>0.174472791623655</v>
      </c>
      <c r="J1742" s="42" t="s">
        <v>532</v>
      </c>
    </row>
    <row r="1743" spans="1:12" x14ac:dyDescent="0.25">
      <c r="A1743" s="44">
        <v>2018</v>
      </c>
      <c r="B1743" s="44" t="s">
        <v>174</v>
      </c>
      <c r="C1743" s="44" t="s">
        <v>849</v>
      </c>
      <c r="D1743" s="45">
        <v>10.506500000000001</v>
      </c>
      <c r="E1743" s="45">
        <v>11.6896</v>
      </c>
      <c r="F1743" s="45">
        <v>6.7809999999999997</v>
      </c>
      <c r="G1743" s="46">
        <v>-0.54940274295826563</v>
      </c>
      <c r="H1743" s="46">
        <v>-0.72387553458192011</v>
      </c>
      <c r="I1743" s="46">
        <v>0.17447279162365459</v>
      </c>
      <c r="J1743" s="47" t="s">
        <v>533</v>
      </c>
      <c r="K1743" s="48"/>
      <c r="L1743" s="48"/>
    </row>
    <row r="1744" spans="1:12" s="43" customFormat="1" ht="15" x14ac:dyDescent="0.25">
      <c r="A1744" s="38" t="s">
        <v>588</v>
      </c>
      <c r="B1744" s="39" t="s">
        <v>175</v>
      </c>
      <c r="C1744" s="39" t="s">
        <v>850</v>
      </c>
      <c r="D1744" s="40">
        <v>9.8437999999999999</v>
      </c>
      <c r="E1744" s="40">
        <v>8.6166</v>
      </c>
      <c r="F1744" s="40">
        <v>24.484999999999999</v>
      </c>
      <c r="G1744" s="41">
        <v>0.59796610169491504</v>
      </c>
      <c r="H1744" s="41">
        <v>0.64808658362262594</v>
      </c>
      <c r="I1744" s="41">
        <v>-5.0120481927710799E-2</v>
      </c>
      <c r="J1744" s="42" t="s">
        <v>532</v>
      </c>
    </row>
    <row r="1745" spans="1:12" x14ac:dyDescent="0.25">
      <c r="A1745" s="44">
        <v>2018</v>
      </c>
      <c r="B1745" s="44" t="s">
        <v>175</v>
      </c>
      <c r="C1745" s="44" t="s">
        <v>850</v>
      </c>
      <c r="D1745" s="45">
        <v>9.8437999999999999</v>
      </c>
      <c r="E1745" s="45">
        <v>8.6166</v>
      </c>
      <c r="F1745" s="45">
        <v>24.484999999999999</v>
      </c>
      <c r="G1745" s="46">
        <v>0.59796610169491526</v>
      </c>
      <c r="H1745" s="46">
        <v>0.64808658362262606</v>
      </c>
      <c r="I1745" s="46">
        <v>-5.0120481927710792E-2</v>
      </c>
      <c r="J1745" s="47" t="s">
        <v>533</v>
      </c>
      <c r="K1745" s="48"/>
      <c r="L1745" s="48"/>
    </row>
    <row r="1746" spans="1:12" s="43" customFormat="1" ht="15" x14ac:dyDescent="0.25">
      <c r="A1746" s="38" t="s">
        <v>588</v>
      </c>
      <c r="B1746" s="39" t="s">
        <v>176</v>
      </c>
      <c r="C1746" s="39" t="s">
        <v>851</v>
      </c>
      <c r="D1746" s="40">
        <v>10.964499999999999</v>
      </c>
      <c r="E1746" s="40">
        <v>11.776300000000001</v>
      </c>
      <c r="F1746" s="40">
        <v>25.591000000000001</v>
      </c>
      <c r="G1746" s="41">
        <v>0.57154859130163005</v>
      </c>
      <c r="H1746" s="41">
        <v>0.53982650150443501</v>
      </c>
      <c r="I1746" s="41">
        <v>3.1722089797194403E-2</v>
      </c>
      <c r="J1746" s="42" t="s">
        <v>532</v>
      </c>
    </row>
    <row r="1747" spans="1:12" x14ac:dyDescent="0.25">
      <c r="A1747" s="44">
        <v>2018</v>
      </c>
      <c r="B1747" s="44" t="s">
        <v>176</v>
      </c>
      <c r="C1747" s="44" t="s">
        <v>851</v>
      </c>
      <c r="D1747" s="45">
        <v>10.964499999999999</v>
      </c>
      <c r="E1747" s="45">
        <v>11.776300000000001</v>
      </c>
      <c r="F1747" s="45">
        <v>25.591000000000001</v>
      </c>
      <c r="G1747" s="46">
        <v>0.57154859130162949</v>
      </c>
      <c r="H1747" s="46">
        <v>0.53982650150443512</v>
      </c>
      <c r="I1747" s="46">
        <v>3.1722089797194375E-2</v>
      </c>
      <c r="J1747" s="47" t="s">
        <v>533</v>
      </c>
      <c r="K1747" s="48"/>
      <c r="L1747" s="48"/>
    </row>
    <row r="1748" spans="1:12" s="43" customFormat="1" ht="15" x14ac:dyDescent="0.25">
      <c r="A1748" s="38" t="s">
        <v>642</v>
      </c>
      <c r="B1748" s="39" t="s">
        <v>396</v>
      </c>
      <c r="C1748" s="39" t="s">
        <v>1421</v>
      </c>
      <c r="D1748" s="40">
        <v>14.1099</v>
      </c>
      <c r="E1748" s="40">
        <v>6.0526</v>
      </c>
      <c r="F1748" s="40">
        <v>12.2</v>
      </c>
      <c r="G1748" s="41">
        <v>-0.15654918032786899</v>
      </c>
      <c r="H1748" s="41">
        <v>0.50388524590163897</v>
      </c>
      <c r="I1748" s="41">
        <v>-0.66043442622950799</v>
      </c>
      <c r="J1748" s="42" t="s">
        <v>532</v>
      </c>
    </row>
    <row r="1749" spans="1:12" x14ac:dyDescent="0.25">
      <c r="A1749" s="44">
        <v>2018</v>
      </c>
      <c r="B1749" s="44" t="s">
        <v>396</v>
      </c>
      <c r="C1749" s="44" t="s">
        <v>1421</v>
      </c>
      <c r="D1749" s="45">
        <v>14.109900000000001</v>
      </c>
      <c r="E1749" s="45">
        <v>6.0526</v>
      </c>
      <c r="F1749" s="45">
        <v>12.2</v>
      </c>
      <c r="G1749" s="46">
        <v>-0.15654918032786888</v>
      </c>
      <c r="H1749" s="46">
        <v>0.5038852459016393</v>
      </c>
      <c r="I1749" s="46">
        <v>-0.66043442622950821</v>
      </c>
      <c r="J1749" s="47" t="s">
        <v>533</v>
      </c>
      <c r="K1749" s="48"/>
      <c r="L1749" s="48"/>
    </row>
    <row r="1750" spans="1:12" s="43" customFormat="1" ht="15" x14ac:dyDescent="0.25">
      <c r="A1750" s="38" t="s">
        <v>548</v>
      </c>
      <c r="B1750" s="39" t="s">
        <v>397</v>
      </c>
      <c r="C1750" s="39" t="s">
        <v>1527</v>
      </c>
      <c r="D1750" s="40">
        <v>15.315099999999999</v>
      </c>
      <c r="E1750" s="40">
        <v>5.4154999999999998</v>
      </c>
      <c r="F1750" s="40">
        <v>16.45</v>
      </c>
      <c r="G1750" s="41">
        <v>6.8990881458966605E-2</v>
      </c>
      <c r="H1750" s="41">
        <v>0.670790273556231</v>
      </c>
      <c r="I1750" s="41">
        <v>-0.60179939209726396</v>
      </c>
      <c r="J1750" s="42" t="s">
        <v>532</v>
      </c>
    </row>
    <row r="1751" spans="1:12" s="43" customFormat="1" ht="15" x14ac:dyDescent="0.25">
      <c r="A1751" s="38" t="s">
        <v>640</v>
      </c>
      <c r="B1751" s="39" t="s">
        <v>397</v>
      </c>
      <c r="C1751" s="39" t="s">
        <v>1617</v>
      </c>
      <c r="D1751" s="40">
        <v>15.315099999999999</v>
      </c>
      <c r="E1751" s="40">
        <v>6.2736000000000001</v>
      </c>
      <c r="F1751" s="40">
        <v>16.45</v>
      </c>
      <c r="G1751" s="41">
        <v>6.8990881458966605E-2</v>
      </c>
      <c r="H1751" s="41">
        <v>0.61862613981762904</v>
      </c>
      <c r="I1751" s="41">
        <v>-0.549635258358663</v>
      </c>
      <c r="J1751" s="42" t="s">
        <v>532</v>
      </c>
    </row>
    <row r="1752" spans="1:12" x14ac:dyDescent="0.25">
      <c r="A1752" s="44">
        <v>2018</v>
      </c>
      <c r="B1752" s="44" t="s">
        <v>397</v>
      </c>
      <c r="C1752" s="44" t="s">
        <v>1585</v>
      </c>
      <c r="D1752" s="45">
        <v>15.315100000000001</v>
      </c>
      <c r="E1752" s="45">
        <v>5.9222228448275853</v>
      </c>
      <c r="F1752" s="45">
        <v>16.45</v>
      </c>
      <c r="G1752" s="46">
        <v>6.8990881458966563E-2</v>
      </c>
      <c r="H1752" s="46">
        <v>0.63998645320197034</v>
      </c>
      <c r="I1752" s="46">
        <v>-0.57099557174300386</v>
      </c>
      <c r="J1752" s="47" t="s">
        <v>533</v>
      </c>
      <c r="K1752" s="48"/>
      <c r="L1752" s="48"/>
    </row>
    <row r="1753" spans="1:12" s="43" customFormat="1" ht="15" x14ac:dyDescent="0.25">
      <c r="A1753" s="38" t="s">
        <v>641</v>
      </c>
      <c r="B1753" s="39" t="s">
        <v>398</v>
      </c>
      <c r="C1753" s="39" t="s">
        <v>1246</v>
      </c>
      <c r="D1753" s="40">
        <v>13.3391</v>
      </c>
      <c r="E1753" s="40">
        <v>1.9392</v>
      </c>
      <c r="F1753" s="40"/>
      <c r="G1753" s="41"/>
      <c r="H1753" s="41"/>
      <c r="I1753" s="41"/>
      <c r="J1753" s="42" t="s">
        <v>532</v>
      </c>
    </row>
    <row r="1754" spans="1:12" x14ac:dyDescent="0.25">
      <c r="A1754" s="44">
        <v>2018</v>
      </c>
      <c r="B1754" s="44" t="s">
        <v>398</v>
      </c>
      <c r="C1754" s="44" t="s">
        <v>1246</v>
      </c>
      <c r="D1754" s="45">
        <v>13.339100000000002</v>
      </c>
      <c r="E1754" s="45">
        <v>1.9392</v>
      </c>
      <c r="F1754" s="45"/>
      <c r="J1754" s="47" t="s">
        <v>533</v>
      </c>
      <c r="K1754" s="48"/>
      <c r="L1754" s="48"/>
    </row>
    <row r="1755" spans="1:12" s="43" customFormat="1" ht="15" x14ac:dyDescent="0.25">
      <c r="A1755" s="38" t="s">
        <v>642</v>
      </c>
      <c r="B1755" s="39" t="s">
        <v>399</v>
      </c>
      <c r="C1755" s="39" t="s">
        <v>1630</v>
      </c>
      <c r="D1755" s="40">
        <v>14.5457</v>
      </c>
      <c r="E1755" s="40">
        <v>9.0337999999999994</v>
      </c>
      <c r="F1755" s="40">
        <v>12.26</v>
      </c>
      <c r="G1755" s="41">
        <v>-0.18643556280587301</v>
      </c>
      <c r="H1755" s="41">
        <v>0.26314845024469802</v>
      </c>
      <c r="I1755" s="41">
        <v>-0.449584013050571</v>
      </c>
      <c r="J1755" s="42" t="s">
        <v>532</v>
      </c>
    </row>
    <row r="1756" spans="1:12" x14ac:dyDescent="0.25">
      <c r="A1756" s="44">
        <v>2018</v>
      </c>
      <c r="B1756" s="44" t="s">
        <v>399</v>
      </c>
      <c r="C1756" s="44" t="s">
        <v>1630</v>
      </c>
      <c r="D1756" s="45">
        <v>14.5457</v>
      </c>
      <c r="E1756" s="45">
        <v>9.0337999999999994</v>
      </c>
      <c r="F1756" s="45">
        <v>12.26</v>
      </c>
      <c r="G1756" s="46">
        <v>-0.18643556280587281</v>
      </c>
      <c r="H1756" s="46">
        <v>0.26314845024469824</v>
      </c>
      <c r="I1756" s="46">
        <v>-0.44958401305057111</v>
      </c>
      <c r="J1756" s="47" t="s">
        <v>533</v>
      </c>
      <c r="K1756" s="48"/>
      <c r="L1756" s="48"/>
    </row>
    <row r="1757" spans="1:12" s="43" customFormat="1" ht="15" x14ac:dyDescent="0.25">
      <c r="A1757" s="38" t="s">
        <v>620</v>
      </c>
      <c r="B1757" s="39" t="s">
        <v>400</v>
      </c>
      <c r="C1757" s="39" t="s">
        <v>1645</v>
      </c>
      <c r="D1757" s="40">
        <v>11.474299999999999</v>
      </c>
      <c r="E1757" s="40">
        <v>1.7665</v>
      </c>
      <c r="F1757" s="40">
        <v>5.41</v>
      </c>
      <c r="G1757" s="41">
        <v>-1.1209426987061</v>
      </c>
      <c r="H1757" s="41">
        <v>0.67347504621072096</v>
      </c>
      <c r="I1757" s="41">
        <v>-1.7944177449168199</v>
      </c>
      <c r="J1757" s="42" t="s">
        <v>532</v>
      </c>
    </row>
    <row r="1758" spans="1:12" s="43" customFormat="1" ht="15" x14ac:dyDescent="0.25">
      <c r="A1758" s="38" t="s">
        <v>645</v>
      </c>
      <c r="B1758" s="39" t="s">
        <v>400</v>
      </c>
      <c r="C1758" s="39" t="s">
        <v>1386</v>
      </c>
      <c r="D1758" s="40">
        <v>11.474299999999999</v>
      </c>
      <c r="E1758" s="40">
        <v>2.0287000000000002</v>
      </c>
      <c r="F1758" s="40">
        <v>5.41</v>
      </c>
      <c r="G1758" s="41">
        <v>-1.1209426987061</v>
      </c>
      <c r="H1758" s="41">
        <v>0.62500924214417697</v>
      </c>
      <c r="I1758" s="41">
        <v>-1.7459519408502799</v>
      </c>
      <c r="J1758" s="42" t="s">
        <v>532</v>
      </c>
    </row>
    <row r="1759" spans="1:12" x14ac:dyDescent="0.25">
      <c r="A1759" s="44">
        <v>2018</v>
      </c>
      <c r="B1759" s="44" t="s">
        <v>400</v>
      </c>
      <c r="C1759" s="44" t="s">
        <v>1683</v>
      </c>
      <c r="D1759" s="45">
        <v>11.474299999999999</v>
      </c>
      <c r="E1759" s="45">
        <v>1.7953691709844559</v>
      </c>
      <c r="F1759" s="45">
        <v>5.41</v>
      </c>
      <c r="G1759" s="46">
        <v>-1.1209426987060995</v>
      </c>
      <c r="H1759" s="46">
        <v>0.66813878540028548</v>
      </c>
      <c r="I1759" s="46">
        <v>-1.7890814841063853</v>
      </c>
      <c r="J1759" s="47" t="s">
        <v>533</v>
      </c>
      <c r="K1759" s="48"/>
      <c r="L1759" s="48"/>
    </row>
    <row r="1760" spans="1:12" s="43" customFormat="1" ht="15" x14ac:dyDescent="0.25">
      <c r="A1760" s="38" t="s">
        <v>641</v>
      </c>
      <c r="B1760" s="39" t="s">
        <v>401</v>
      </c>
      <c r="C1760" s="39" t="s">
        <v>1624</v>
      </c>
      <c r="D1760" s="40">
        <v>12.406000000000001</v>
      </c>
      <c r="E1760" s="40">
        <v>2.3532000000000002</v>
      </c>
      <c r="F1760" s="40">
        <v>5.79</v>
      </c>
      <c r="G1760" s="41">
        <v>-1.1426597582038001</v>
      </c>
      <c r="H1760" s="41">
        <v>0.59357512953367897</v>
      </c>
      <c r="I1760" s="41">
        <v>-1.73623488773748</v>
      </c>
      <c r="J1760" s="42" t="s">
        <v>532</v>
      </c>
    </row>
    <row r="1761" spans="1:12" x14ac:dyDescent="0.25">
      <c r="A1761" s="44">
        <v>2018</v>
      </c>
      <c r="B1761" s="44" t="s">
        <v>401</v>
      </c>
      <c r="C1761" s="44" t="s">
        <v>1624</v>
      </c>
      <c r="D1761" s="45">
        <v>12.406000000000001</v>
      </c>
      <c r="E1761" s="45">
        <v>2.3532000000000002</v>
      </c>
      <c r="F1761" s="45">
        <v>5.79</v>
      </c>
      <c r="G1761" s="46">
        <v>-1.1426597582037994</v>
      </c>
      <c r="H1761" s="46">
        <v>0.59357512953367875</v>
      </c>
      <c r="I1761" s="46">
        <v>-1.7362348877374782</v>
      </c>
      <c r="J1761" s="47" t="s">
        <v>533</v>
      </c>
      <c r="K1761" s="48"/>
      <c r="L1761" s="48"/>
    </row>
    <row r="1762" spans="1:12" s="43" customFormat="1" ht="15" x14ac:dyDescent="0.25">
      <c r="A1762" s="38" t="s">
        <v>642</v>
      </c>
      <c r="B1762" s="39" t="s">
        <v>402</v>
      </c>
      <c r="C1762" s="39" t="s">
        <v>1238</v>
      </c>
      <c r="D1762" s="40">
        <v>11.414899999999999</v>
      </c>
      <c r="E1762" s="40">
        <v>2.0636000000000001</v>
      </c>
      <c r="F1762" s="40">
        <v>13.02</v>
      </c>
      <c r="G1762" s="41">
        <v>0.123279569892473</v>
      </c>
      <c r="H1762" s="41">
        <v>0.84150537634408595</v>
      </c>
      <c r="I1762" s="41">
        <v>-0.71822580645161305</v>
      </c>
      <c r="J1762" s="42" t="s">
        <v>532</v>
      </c>
    </row>
    <row r="1763" spans="1:12" x14ac:dyDescent="0.25">
      <c r="A1763" s="44">
        <v>2018</v>
      </c>
      <c r="B1763" s="44" t="s">
        <v>402</v>
      </c>
      <c r="C1763" s="44" t="s">
        <v>1238</v>
      </c>
      <c r="D1763" s="45">
        <v>11.414899999999999</v>
      </c>
      <c r="E1763" s="45">
        <v>2.0636000000000001</v>
      </c>
      <c r="F1763" s="45">
        <v>13.02</v>
      </c>
      <c r="G1763" s="46">
        <v>0.12327956989247314</v>
      </c>
      <c r="H1763" s="46">
        <v>0.84150537634408595</v>
      </c>
      <c r="I1763" s="46">
        <v>-0.71822580645161282</v>
      </c>
      <c r="J1763" s="47" t="s">
        <v>533</v>
      </c>
      <c r="K1763" s="48"/>
      <c r="L1763" s="48"/>
    </row>
    <row r="1764" spans="1:12" s="43" customFormat="1" ht="15" x14ac:dyDescent="0.25">
      <c r="A1764" s="38" t="s">
        <v>648</v>
      </c>
      <c r="B1764" s="39" t="s">
        <v>403</v>
      </c>
      <c r="C1764" s="39" t="s">
        <v>1637</v>
      </c>
      <c r="D1764" s="40">
        <v>12.6158</v>
      </c>
      <c r="E1764" s="40">
        <v>2.1029</v>
      </c>
      <c r="F1764" s="40">
        <v>5.81</v>
      </c>
      <c r="G1764" s="41">
        <v>-1.17139414802065</v>
      </c>
      <c r="H1764" s="41">
        <v>0.63805507745266798</v>
      </c>
      <c r="I1764" s="41">
        <v>-1.8094492254733201</v>
      </c>
      <c r="J1764" s="42" t="s">
        <v>532</v>
      </c>
    </row>
    <row r="1765" spans="1:12" x14ac:dyDescent="0.25">
      <c r="A1765" s="44">
        <v>2018</v>
      </c>
      <c r="B1765" s="44" t="s">
        <v>403</v>
      </c>
      <c r="C1765" s="44" t="s">
        <v>1637</v>
      </c>
      <c r="D1765" s="45">
        <v>12.6158</v>
      </c>
      <c r="E1765" s="45">
        <v>2.1029</v>
      </c>
      <c r="F1765" s="45">
        <v>5.81</v>
      </c>
      <c r="G1765" s="46">
        <v>-1.1713941480206542</v>
      </c>
      <c r="H1765" s="46">
        <v>0.63805507745266776</v>
      </c>
      <c r="I1765" s="46">
        <v>-1.8094492254733221</v>
      </c>
      <c r="J1765" s="47" t="s">
        <v>533</v>
      </c>
      <c r="K1765" s="48"/>
      <c r="L1765" s="48"/>
    </row>
    <row r="1766" spans="1:12" s="43" customFormat="1" ht="15" x14ac:dyDescent="0.25">
      <c r="A1766" s="38" t="s">
        <v>645</v>
      </c>
      <c r="B1766" s="39" t="s">
        <v>404</v>
      </c>
      <c r="C1766" s="39" t="s">
        <v>1672</v>
      </c>
      <c r="D1766" s="40">
        <v>7.3152999999999997</v>
      </c>
      <c r="E1766" s="40">
        <v>0.68289999999999995</v>
      </c>
      <c r="F1766" s="40">
        <v>2.06</v>
      </c>
      <c r="G1766" s="41">
        <v>-2.5511165048543698</v>
      </c>
      <c r="H1766" s="41">
        <v>0.66849514563106804</v>
      </c>
      <c r="I1766" s="41">
        <v>-3.2196116504854402</v>
      </c>
      <c r="J1766" s="42" t="s">
        <v>532</v>
      </c>
    </row>
    <row r="1767" spans="1:12" x14ac:dyDescent="0.25">
      <c r="A1767" s="44">
        <v>2018</v>
      </c>
      <c r="B1767" s="44" t="s">
        <v>404</v>
      </c>
      <c r="C1767" s="44" t="s">
        <v>1672</v>
      </c>
      <c r="D1767" s="45">
        <v>7.3152999999999988</v>
      </c>
      <c r="E1767" s="45">
        <v>0.68289999999999995</v>
      </c>
      <c r="F1767" s="45">
        <v>2.06</v>
      </c>
      <c r="G1767" s="46">
        <v>-2.5511165048543689</v>
      </c>
      <c r="H1767" s="46">
        <v>0.66849514563106793</v>
      </c>
      <c r="I1767" s="46">
        <v>-3.2196116504854366</v>
      </c>
      <c r="J1767" s="47" t="s">
        <v>533</v>
      </c>
      <c r="K1767" s="48"/>
      <c r="L1767" s="48"/>
    </row>
    <row r="1768" spans="1:12" s="43" customFormat="1" ht="15" x14ac:dyDescent="0.25">
      <c r="A1768" s="38" t="s">
        <v>651</v>
      </c>
      <c r="B1768" s="39" t="s">
        <v>405</v>
      </c>
      <c r="C1768" s="39" t="s">
        <v>1661</v>
      </c>
      <c r="D1768" s="40">
        <v>8.7340999999999998</v>
      </c>
      <c r="E1768" s="40">
        <v>0.78110000000000002</v>
      </c>
      <c r="F1768" s="40">
        <v>1.98</v>
      </c>
      <c r="G1768" s="41">
        <v>-3.4111616161616198</v>
      </c>
      <c r="H1768" s="41">
        <v>0.60550505050504999</v>
      </c>
      <c r="I1768" s="41">
        <v>-4.0166666666666702</v>
      </c>
      <c r="J1768" s="42" t="s">
        <v>532</v>
      </c>
    </row>
    <row r="1769" spans="1:12" x14ac:dyDescent="0.25">
      <c r="A1769" s="44">
        <v>2018</v>
      </c>
      <c r="B1769" s="44" t="s">
        <v>405</v>
      </c>
      <c r="C1769" s="44" t="s">
        <v>1661</v>
      </c>
      <c r="D1769" s="45">
        <v>8.7340999999999998</v>
      </c>
      <c r="E1769" s="45">
        <v>0.78110000000000002</v>
      </c>
      <c r="F1769" s="45">
        <v>1.98</v>
      </c>
      <c r="G1769" s="46">
        <v>-3.4111616161616158</v>
      </c>
      <c r="H1769" s="46">
        <v>0.60550505050505055</v>
      </c>
      <c r="I1769" s="46">
        <v>-4.0166666666666666</v>
      </c>
      <c r="J1769" s="47" t="s">
        <v>533</v>
      </c>
      <c r="K1769" s="48"/>
      <c r="L1769" s="48"/>
    </row>
    <row r="1770" spans="1:12" s="43" customFormat="1" ht="15" x14ac:dyDescent="0.25">
      <c r="A1770" s="38" t="s">
        <v>620</v>
      </c>
      <c r="B1770" s="39" t="s">
        <v>406</v>
      </c>
      <c r="C1770" s="39" t="s">
        <v>1646</v>
      </c>
      <c r="D1770" s="40">
        <v>9.0152000000000001</v>
      </c>
      <c r="E1770" s="40">
        <v>0.80430000000000001</v>
      </c>
      <c r="F1770" s="40">
        <v>1.95</v>
      </c>
      <c r="G1770" s="41">
        <v>-3.62317948717949</v>
      </c>
      <c r="H1770" s="41">
        <v>0.58753846153846201</v>
      </c>
      <c r="I1770" s="41">
        <v>-4.2107179487179502</v>
      </c>
      <c r="J1770" s="42" t="s">
        <v>532</v>
      </c>
    </row>
    <row r="1771" spans="1:12" x14ac:dyDescent="0.25">
      <c r="A1771" s="44">
        <v>2018</v>
      </c>
      <c r="B1771" s="44" t="s">
        <v>406</v>
      </c>
      <c r="C1771" s="44" t="s">
        <v>1646</v>
      </c>
      <c r="D1771" s="45">
        <v>9.0152000000000001</v>
      </c>
      <c r="E1771" s="45">
        <v>0.80430000000000001</v>
      </c>
      <c r="F1771" s="45">
        <v>1.95</v>
      </c>
      <c r="G1771" s="46">
        <v>-3.6231794871794873</v>
      </c>
      <c r="H1771" s="46">
        <v>0.58753846153846156</v>
      </c>
      <c r="I1771" s="46">
        <v>-4.2107179487179494</v>
      </c>
      <c r="J1771" s="47" t="s">
        <v>533</v>
      </c>
      <c r="K1771" s="48"/>
      <c r="L1771" s="48"/>
    </row>
    <row r="1772" spans="1:12" s="43" customFormat="1" ht="15" x14ac:dyDescent="0.25">
      <c r="A1772" s="38" t="s">
        <v>547</v>
      </c>
      <c r="B1772" s="39" t="s">
        <v>407</v>
      </c>
      <c r="C1772" s="39" t="s">
        <v>941</v>
      </c>
      <c r="D1772" s="40">
        <v>8.2751000000000001</v>
      </c>
      <c r="E1772" s="40">
        <v>0.8609</v>
      </c>
      <c r="F1772" s="40">
        <v>2.09</v>
      </c>
      <c r="G1772" s="41">
        <v>-2.9593779904306201</v>
      </c>
      <c r="H1772" s="41">
        <v>0.58808612440191399</v>
      </c>
      <c r="I1772" s="41">
        <v>-3.5474641148325401</v>
      </c>
      <c r="J1772" s="42" t="s">
        <v>532</v>
      </c>
    </row>
    <row r="1773" spans="1:12" s="43" customFormat="1" ht="15" x14ac:dyDescent="0.25">
      <c r="A1773" s="38" t="s">
        <v>543</v>
      </c>
      <c r="B1773" s="39" t="s">
        <v>407</v>
      </c>
      <c r="C1773" s="39" t="s">
        <v>1655</v>
      </c>
      <c r="D1773" s="40">
        <v>8.2751000000000001</v>
      </c>
      <c r="E1773" s="40">
        <v>0.88160000000000005</v>
      </c>
      <c r="F1773" s="40">
        <v>2.09</v>
      </c>
      <c r="G1773" s="41">
        <v>-2.9593779904306201</v>
      </c>
      <c r="H1773" s="41">
        <v>0.57818181818181802</v>
      </c>
      <c r="I1773" s="41">
        <v>-3.53755980861244</v>
      </c>
      <c r="J1773" s="42" t="s">
        <v>532</v>
      </c>
    </row>
    <row r="1774" spans="1:12" x14ac:dyDescent="0.25">
      <c r="A1774" s="44">
        <v>2018</v>
      </c>
      <c r="B1774" s="44" t="s">
        <v>407</v>
      </c>
      <c r="C1774" s="44" t="s">
        <v>1804</v>
      </c>
      <c r="D1774" s="45">
        <v>8.2751000000000001</v>
      </c>
      <c r="E1774" s="45">
        <v>0.87463490566037749</v>
      </c>
      <c r="F1774" s="45">
        <v>2.09</v>
      </c>
      <c r="G1774" s="46">
        <v>-2.9593779904306223</v>
      </c>
      <c r="H1774" s="46">
        <v>0.58151439920556103</v>
      </c>
      <c r="I1774" s="46">
        <v>-3.5408923896361832</v>
      </c>
      <c r="J1774" s="47" t="s">
        <v>533</v>
      </c>
      <c r="K1774" s="48"/>
      <c r="L1774" s="48"/>
    </row>
    <row r="1775" spans="1:12" s="43" customFormat="1" ht="15" x14ac:dyDescent="0.25">
      <c r="A1775" s="38" t="s">
        <v>543</v>
      </c>
      <c r="B1775" s="39" t="s">
        <v>408</v>
      </c>
      <c r="C1775" s="39" t="s">
        <v>1628</v>
      </c>
      <c r="D1775" s="40">
        <v>10.4665</v>
      </c>
      <c r="E1775" s="40">
        <v>2.2791000000000001</v>
      </c>
      <c r="F1775" s="40">
        <v>7.29</v>
      </c>
      <c r="G1775" s="41">
        <v>-0.43573388203017799</v>
      </c>
      <c r="H1775" s="41">
        <v>0.68736625514403304</v>
      </c>
      <c r="I1775" s="41">
        <v>-1.12310013717421</v>
      </c>
      <c r="J1775" s="42" t="s">
        <v>532</v>
      </c>
    </row>
    <row r="1776" spans="1:12" x14ac:dyDescent="0.25">
      <c r="A1776" s="44">
        <v>2018</v>
      </c>
      <c r="B1776" s="44" t="s">
        <v>408</v>
      </c>
      <c r="C1776" s="44" t="s">
        <v>1628</v>
      </c>
      <c r="D1776" s="45">
        <v>10.4665</v>
      </c>
      <c r="E1776" s="45">
        <v>2.2791000000000001</v>
      </c>
      <c r="F1776" s="45">
        <v>7.29</v>
      </c>
      <c r="G1776" s="46">
        <v>-0.43573388203017832</v>
      </c>
      <c r="H1776" s="46">
        <v>0.68736625514403282</v>
      </c>
      <c r="I1776" s="46">
        <v>-1.1231001371742113</v>
      </c>
      <c r="J1776" s="47" t="s">
        <v>533</v>
      </c>
      <c r="K1776" s="48"/>
      <c r="L1776" s="48"/>
    </row>
    <row r="1777" spans="1:12" s="43" customFormat="1" ht="15" x14ac:dyDescent="0.25">
      <c r="A1777" s="38" t="s">
        <v>620</v>
      </c>
      <c r="B1777" s="39" t="s">
        <v>409</v>
      </c>
      <c r="C1777" s="39" t="s">
        <v>1306</v>
      </c>
      <c r="D1777" s="40">
        <v>5.1158000000000001</v>
      </c>
      <c r="E1777" s="40">
        <v>1.2313000000000001</v>
      </c>
      <c r="F1777" s="40">
        <v>3.37</v>
      </c>
      <c r="G1777" s="41">
        <v>-0.51804154302670602</v>
      </c>
      <c r="H1777" s="41">
        <v>0.63462908011869401</v>
      </c>
      <c r="I1777" s="41">
        <v>-1.1526706231454</v>
      </c>
      <c r="J1777" s="42" t="s">
        <v>532</v>
      </c>
    </row>
    <row r="1778" spans="1:12" x14ac:dyDescent="0.25">
      <c r="A1778" s="44">
        <v>2018</v>
      </c>
      <c r="B1778" s="44" t="s">
        <v>409</v>
      </c>
      <c r="C1778" s="44" t="s">
        <v>1306</v>
      </c>
      <c r="D1778" s="45">
        <v>5.1158000000000001</v>
      </c>
      <c r="E1778" s="45">
        <v>1.2313000000000001</v>
      </c>
      <c r="F1778" s="45">
        <v>3.37</v>
      </c>
      <c r="G1778" s="46">
        <v>-0.51804154302670624</v>
      </c>
      <c r="H1778" s="46">
        <v>0.63462908011869434</v>
      </c>
      <c r="I1778" s="46">
        <v>-1.1526706231454007</v>
      </c>
      <c r="J1778" s="47" t="s">
        <v>533</v>
      </c>
      <c r="K1778" s="48"/>
      <c r="L1778" s="48"/>
    </row>
    <row r="1779" spans="1:12" s="43" customFormat="1" ht="15" x14ac:dyDescent="0.25">
      <c r="A1779" s="38" t="s">
        <v>645</v>
      </c>
      <c r="B1779" s="39" t="s">
        <v>410</v>
      </c>
      <c r="C1779" s="39" t="s">
        <v>1673</v>
      </c>
      <c r="D1779" s="40">
        <v>0.29980000000000001</v>
      </c>
      <c r="E1779" s="40">
        <v>0.32650000000000001</v>
      </c>
      <c r="F1779" s="40">
        <v>1.05</v>
      </c>
      <c r="G1779" s="41">
        <v>0.71447619047619004</v>
      </c>
      <c r="H1779" s="41">
        <v>0.68904761904761902</v>
      </c>
      <c r="I1779" s="41">
        <v>2.5428571428571401E-2</v>
      </c>
      <c r="J1779" s="42" t="s">
        <v>532</v>
      </c>
    </row>
    <row r="1780" spans="1:12" x14ac:dyDescent="0.25">
      <c r="A1780" s="44">
        <v>2018</v>
      </c>
      <c r="B1780" s="44" t="s">
        <v>410</v>
      </c>
      <c r="C1780" s="44" t="s">
        <v>1673</v>
      </c>
      <c r="D1780" s="45">
        <v>0.29980000000000001</v>
      </c>
      <c r="E1780" s="45">
        <v>0.32650000000000001</v>
      </c>
      <c r="F1780" s="45">
        <v>1.05</v>
      </c>
      <c r="G1780" s="46">
        <v>0.71447619047619038</v>
      </c>
      <c r="H1780" s="46">
        <v>0.68904761904761902</v>
      </c>
      <c r="I1780" s="46">
        <v>2.5428571428571356E-2</v>
      </c>
      <c r="J1780" s="47" t="s">
        <v>533</v>
      </c>
      <c r="K1780" s="48"/>
      <c r="L1780" s="48"/>
    </row>
    <row r="1781" spans="1:12" s="43" customFormat="1" ht="15" x14ac:dyDescent="0.25">
      <c r="A1781" s="38" t="s">
        <v>651</v>
      </c>
      <c r="B1781" s="39" t="s">
        <v>411</v>
      </c>
      <c r="C1781" s="39" t="s">
        <v>1662</v>
      </c>
      <c r="D1781" s="40">
        <v>0.3589</v>
      </c>
      <c r="E1781" s="40">
        <v>0.41020000000000001</v>
      </c>
      <c r="F1781" s="40">
        <v>1.1000000000000001</v>
      </c>
      <c r="G1781" s="41">
        <v>0.67372727272727295</v>
      </c>
      <c r="H1781" s="41">
        <v>0.62709090909090903</v>
      </c>
      <c r="I1781" s="41">
        <v>4.6636363636363601E-2</v>
      </c>
      <c r="J1781" s="42" t="s">
        <v>532</v>
      </c>
    </row>
    <row r="1782" spans="1:12" x14ac:dyDescent="0.25">
      <c r="A1782" s="44">
        <v>2018</v>
      </c>
      <c r="B1782" s="44" t="s">
        <v>411</v>
      </c>
      <c r="C1782" s="44" t="s">
        <v>1662</v>
      </c>
      <c r="D1782" s="45">
        <v>0.3589</v>
      </c>
      <c r="E1782" s="45">
        <v>0.41020000000000001</v>
      </c>
      <c r="F1782" s="45">
        <v>1.1000000000000001</v>
      </c>
      <c r="G1782" s="46">
        <v>0.67372727272727273</v>
      </c>
      <c r="H1782" s="46">
        <v>0.62709090909090914</v>
      </c>
      <c r="I1782" s="46">
        <v>4.6636363636363587E-2</v>
      </c>
      <c r="J1782" s="47" t="s">
        <v>533</v>
      </c>
      <c r="K1782" s="48"/>
      <c r="L1782" s="48"/>
    </row>
    <row r="1783" spans="1:12" s="43" customFormat="1" ht="15" x14ac:dyDescent="0.25">
      <c r="A1783" s="38" t="s">
        <v>620</v>
      </c>
      <c r="B1783" s="39" t="s">
        <v>412</v>
      </c>
      <c r="C1783" s="39" t="s">
        <v>1647</v>
      </c>
      <c r="D1783" s="40">
        <v>10.3794</v>
      </c>
      <c r="E1783" s="40">
        <v>0.4113</v>
      </c>
      <c r="F1783" s="40">
        <v>1.02</v>
      </c>
      <c r="G1783" s="41">
        <v>-9.1758823529411799</v>
      </c>
      <c r="H1783" s="41">
        <v>0.59676470588235297</v>
      </c>
      <c r="I1783" s="41">
        <v>-9.7726470588235301</v>
      </c>
      <c r="J1783" s="42" t="s">
        <v>532</v>
      </c>
    </row>
    <row r="1784" spans="1:12" x14ac:dyDescent="0.25">
      <c r="A1784" s="44">
        <v>2018</v>
      </c>
      <c r="B1784" s="44" t="s">
        <v>412</v>
      </c>
      <c r="C1784" s="44" t="s">
        <v>1647</v>
      </c>
      <c r="D1784" s="45">
        <v>10.3794</v>
      </c>
      <c r="E1784" s="45">
        <v>0.41129999999999994</v>
      </c>
      <c r="F1784" s="45">
        <v>1.02</v>
      </c>
      <c r="G1784" s="46">
        <v>-9.1758823529411764</v>
      </c>
      <c r="H1784" s="46">
        <v>0.59676470588235297</v>
      </c>
      <c r="I1784" s="46">
        <v>-9.7726470588235301</v>
      </c>
      <c r="J1784" s="47" t="s">
        <v>533</v>
      </c>
      <c r="K1784" s="48"/>
      <c r="L1784" s="48"/>
    </row>
    <row r="1785" spans="1:12" s="43" customFormat="1" ht="15" x14ac:dyDescent="0.25">
      <c r="A1785" s="38" t="s">
        <v>543</v>
      </c>
      <c r="B1785" s="39" t="s">
        <v>413</v>
      </c>
      <c r="C1785" s="39" t="s">
        <v>1656</v>
      </c>
      <c r="D1785" s="40">
        <v>9.6760000000000002</v>
      </c>
      <c r="E1785" s="40">
        <v>0.44390000000000002</v>
      </c>
      <c r="F1785" s="40">
        <v>1.1100000000000001</v>
      </c>
      <c r="G1785" s="41">
        <v>-7.7171171171171196</v>
      </c>
      <c r="H1785" s="41">
        <v>0.60009009009008996</v>
      </c>
      <c r="I1785" s="41">
        <v>-8.3172072072072094</v>
      </c>
      <c r="J1785" s="42" t="s">
        <v>532</v>
      </c>
    </row>
    <row r="1786" spans="1:12" x14ac:dyDescent="0.25">
      <c r="A1786" s="44">
        <v>2018</v>
      </c>
      <c r="B1786" s="44" t="s">
        <v>413</v>
      </c>
      <c r="C1786" s="44" t="s">
        <v>1656</v>
      </c>
      <c r="D1786" s="45">
        <v>9.6760000000000002</v>
      </c>
      <c r="E1786" s="45">
        <v>0.44389999999999996</v>
      </c>
      <c r="F1786" s="45">
        <v>1.1100000000000001</v>
      </c>
      <c r="G1786" s="46">
        <v>-7.7171171171171169</v>
      </c>
      <c r="H1786" s="46">
        <v>0.60009009009009018</v>
      </c>
      <c r="I1786" s="46">
        <v>-8.3172072072072076</v>
      </c>
      <c r="J1786" s="47" t="s">
        <v>533</v>
      </c>
      <c r="K1786" s="48"/>
      <c r="L1786" s="48"/>
    </row>
    <row r="1787" spans="1:12" s="43" customFormat="1" ht="15" x14ac:dyDescent="0.25">
      <c r="A1787" s="38" t="s">
        <v>548</v>
      </c>
      <c r="B1787" s="39" t="s">
        <v>414</v>
      </c>
      <c r="C1787" s="39" t="s">
        <v>1528</v>
      </c>
      <c r="D1787" s="40">
        <v>12.569000000000001</v>
      </c>
      <c r="E1787" s="40">
        <v>1.7574000000000001</v>
      </c>
      <c r="F1787" s="40"/>
      <c r="G1787" s="41"/>
      <c r="H1787" s="41"/>
      <c r="I1787" s="41"/>
      <c r="J1787" s="42" t="s">
        <v>532</v>
      </c>
    </row>
    <row r="1788" spans="1:12" x14ac:dyDescent="0.25">
      <c r="A1788" s="44">
        <v>2018</v>
      </c>
      <c r="B1788" s="44" t="s">
        <v>414</v>
      </c>
      <c r="C1788" s="44" t="s">
        <v>1528</v>
      </c>
      <c r="D1788" s="45">
        <v>12.569000000000001</v>
      </c>
      <c r="E1788" s="45">
        <v>1.7574000000000001</v>
      </c>
      <c r="F1788" s="45"/>
      <c r="J1788" s="47" t="s">
        <v>533</v>
      </c>
      <c r="K1788" s="48"/>
      <c r="L1788" s="48"/>
    </row>
    <row r="1789" spans="1:12" s="43" customFormat="1" ht="15" x14ac:dyDescent="0.25">
      <c r="A1789" s="38" t="s">
        <v>618</v>
      </c>
      <c r="B1789" s="39" t="s">
        <v>465</v>
      </c>
      <c r="C1789" s="39" t="s">
        <v>1084</v>
      </c>
      <c r="D1789" s="40">
        <v>2.2504</v>
      </c>
      <c r="E1789" s="40">
        <v>2.3199000000000001</v>
      </c>
      <c r="F1789" s="40">
        <v>6.65</v>
      </c>
      <c r="G1789" s="41">
        <v>0.66159398496240596</v>
      </c>
      <c r="H1789" s="41">
        <v>0.65114285714285702</v>
      </c>
      <c r="I1789" s="41">
        <v>1.04511278195489E-2</v>
      </c>
      <c r="J1789" s="42" t="s">
        <v>532</v>
      </c>
    </row>
    <row r="1790" spans="1:12" s="43" customFormat="1" ht="15" x14ac:dyDescent="0.25">
      <c r="A1790" s="38" t="s">
        <v>623</v>
      </c>
      <c r="B1790" s="39" t="s">
        <v>465</v>
      </c>
      <c r="C1790" s="39" t="s">
        <v>718</v>
      </c>
      <c r="D1790" s="40">
        <v>2.2504</v>
      </c>
      <c r="E1790" s="40">
        <v>2.4001000000000001</v>
      </c>
      <c r="F1790" s="40">
        <v>6.65</v>
      </c>
      <c r="G1790" s="41">
        <v>0.66159398496240596</v>
      </c>
      <c r="H1790" s="41">
        <v>0.63907969924812003</v>
      </c>
      <c r="I1790" s="41">
        <v>2.2514285714285601E-2</v>
      </c>
      <c r="J1790" s="42" t="s">
        <v>532</v>
      </c>
    </row>
    <row r="1791" spans="1:12" s="43" customFormat="1" ht="15" x14ac:dyDescent="0.25">
      <c r="A1791" s="38" t="s">
        <v>578</v>
      </c>
      <c r="B1791" s="39" t="s">
        <v>465</v>
      </c>
      <c r="C1791" s="39" t="s">
        <v>800</v>
      </c>
      <c r="D1791" s="40">
        <v>2.3965000000000001</v>
      </c>
      <c r="E1791" s="40">
        <v>2.0659000000000001</v>
      </c>
      <c r="F1791" s="40">
        <v>6.65</v>
      </c>
      <c r="G1791" s="41">
        <v>0.63962406015037598</v>
      </c>
      <c r="H1791" s="41">
        <v>0.68933834586466203</v>
      </c>
      <c r="I1791" s="41">
        <v>-4.9714285714285697E-2</v>
      </c>
      <c r="J1791" s="42" t="s">
        <v>532</v>
      </c>
    </row>
    <row r="1792" spans="1:12" s="43" customFormat="1" ht="15" x14ac:dyDescent="0.25">
      <c r="A1792" s="38" t="s">
        <v>699</v>
      </c>
      <c r="B1792" s="39" t="s">
        <v>465</v>
      </c>
      <c r="C1792" s="39" t="s">
        <v>1225</v>
      </c>
      <c r="D1792" s="40">
        <v>2.3965000000000001</v>
      </c>
      <c r="E1792" s="40">
        <v>2.4195000000000002</v>
      </c>
      <c r="F1792" s="40">
        <v>6.65</v>
      </c>
      <c r="G1792" s="41">
        <v>0.63962406015037598</v>
      </c>
      <c r="H1792" s="41">
        <v>0.63616541353383504</v>
      </c>
      <c r="I1792" s="41">
        <v>3.4586466165413801E-3</v>
      </c>
      <c r="J1792" s="42" t="s">
        <v>532</v>
      </c>
    </row>
    <row r="1793" spans="1:12" s="43" customFormat="1" ht="15" x14ac:dyDescent="0.25">
      <c r="A1793" s="38" t="s">
        <v>603</v>
      </c>
      <c r="B1793" s="39" t="s">
        <v>465</v>
      </c>
      <c r="C1793" s="39" t="s">
        <v>1426</v>
      </c>
      <c r="D1793" s="40">
        <v>2.3965000000000001</v>
      </c>
      <c r="E1793" s="40">
        <v>2.3780000000000001</v>
      </c>
      <c r="F1793" s="40">
        <v>6.65</v>
      </c>
      <c r="G1793" s="41">
        <v>0.63962406015037598</v>
      </c>
      <c r="H1793" s="41">
        <v>0.64240601503759398</v>
      </c>
      <c r="I1793" s="41">
        <v>-2.7819548872180001E-3</v>
      </c>
      <c r="J1793" s="42" t="s">
        <v>532</v>
      </c>
    </row>
    <row r="1794" spans="1:12" s="43" customFormat="1" ht="15" x14ac:dyDescent="0.25">
      <c r="A1794" s="38" t="s">
        <v>619</v>
      </c>
      <c r="B1794" s="39" t="s">
        <v>465</v>
      </c>
      <c r="C1794" s="39" t="s">
        <v>1431</v>
      </c>
      <c r="D1794" s="40">
        <v>2.3965000000000001</v>
      </c>
      <c r="E1794" s="40">
        <v>2.6608999999999998</v>
      </c>
      <c r="F1794" s="40">
        <v>6.65</v>
      </c>
      <c r="G1794" s="41">
        <v>0.63962406015037598</v>
      </c>
      <c r="H1794" s="41">
        <v>0.59986466165413599</v>
      </c>
      <c r="I1794" s="41">
        <v>3.9759398496240599E-2</v>
      </c>
      <c r="J1794" s="42" t="s">
        <v>532</v>
      </c>
    </row>
    <row r="1795" spans="1:12" x14ac:dyDescent="0.25">
      <c r="A1795" s="44">
        <v>2018</v>
      </c>
      <c r="B1795" s="44" t="s">
        <v>465</v>
      </c>
      <c r="C1795" s="44" t="s">
        <v>1062</v>
      </c>
      <c r="D1795" s="45">
        <v>2.3550787365177195</v>
      </c>
      <c r="E1795" s="45">
        <v>2.385631124807396</v>
      </c>
      <c r="F1795" s="45">
        <v>6.65</v>
      </c>
      <c r="G1795" s="46">
        <v>0.64585282157628277</v>
      </c>
      <c r="H1795" s="46">
        <v>0.64125802333259962</v>
      </c>
      <c r="I1795" s="46">
        <v>4.5947982436831758E-3</v>
      </c>
      <c r="J1795" s="47" t="s">
        <v>533</v>
      </c>
      <c r="K1795" s="48"/>
      <c r="L1795" s="48"/>
    </row>
    <row r="1796" spans="1:12" s="43" customFormat="1" ht="15" x14ac:dyDescent="0.25">
      <c r="A1796" s="38" t="s">
        <v>618</v>
      </c>
      <c r="B1796" s="39" t="s">
        <v>466</v>
      </c>
      <c r="C1796" s="39" t="s">
        <v>1085</v>
      </c>
      <c r="D1796" s="40">
        <v>2.0291000000000001</v>
      </c>
      <c r="E1796" s="40">
        <v>2.1038999999999999</v>
      </c>
      <c r="F1796" s="40">
        <v>6</v>
      </c>
      <c r="G1796" s="41">
        <v>0.66181666666666705</v>
      </c>
      <c r="H1796" s="41">
        <v>0.64934999999999998</v>
      </c>
      <c r="I1796" s="41">
        <v>1.24666666666666E-2</v>
      </c>
      <c r="J1796" s="42" t="s">
        <v>532</v>
      </c>
    </row>
    <row r="1797" spans="1:12" s="43" customFormat="1" ht="15" x14ac:dyDescent="0.25">
      <c r="A1797" s="38" t="s">
        <v>623</v>
      </c>
      <c r="B1797" s="39" t="s">
        <v>466</v>
      </c>
      <c r="C1797" s="39" t="s">
        <v>1038</v>
      </c>
      <c r="D1797" s="40">
        <v>2.0291000000000001</v>
      </c>
      <c r="E1797" s="40">
        <v>2.4028</v>
      </c>
      <c r="F1797" s="40">
        <v>6</v>
      </c>
      <c r="G1797" s="41">
        <v>0.66181666666666705</v>
      </c>
      <c r="H1797" s="41">
        <v>0.59953333333333303</v>
      </c>
      <c r="I1797" s="41">
        <v>6.2283333333333198E-2</v>
      </c>
      <c r="J1797" s="42" t="s">
        <v>532</v>
      </c>
    </row>
    <row r="1798" spans="1:12" s="43" customFormat="1" ht="15" x14ac:dyDescent="0.25">
      <c r="A1798" s="38" t="s">
        <v>578</v>
      </c>
      <c r="B1798" s="39" t="s">
        <v>466</v>
      </c>
      <c r="C1798" s="39" t="s">
        <v>1078</v>
      </c>
      <c r="D1798" s="40">
        <v>2.1654</v>
      </c>
      <c r="E1798" s="40">
        <v>2.0655000000000001</v>
      </c>
      <c r="F1798" s="40">
        <v>6</v>
      </c>
      <c r="G1798" s="41">
        <v>0.6391</v>
      </c>
      <c r="H1798" s="41">
        <v>0.65575000000000006</v>
      </c>
      <c r="I1798" s="41">
        <v>-1.6649999999999901E-2</v>
      </c>
      <c r="J1798" s="42" t="s">
        <v>532</v>
      </c>
    </row>
    <row r="1799" spans="1:12" s="43" customFormat="1" ht="15" x14ac:dyDescent="0.25">
      <c r="A1799" s="38" t="s">
        <v>699</v>
      </c>
      <c r="B1799" s="39" t="s">
        <v>466</v>
      </c>
      <c r="C1799" s="39" t="s">
        <v>860</v>
      </c>
      <c r="D1799" s="40">
        <v>2.1654</v>
      </c>
      <c r="E1799" s="40">
        <v>2.1657000000000002</v>
      </c>
      <c r="F1799" s="40">
        <v>6</v>
      </c>
      <c r="G1799" s="41">
        <v>0.6391</v>
      </c>
      <c r="H1799" s="41">
        <v>0.63905000000000001</v>
      </c>
      <c r="I1799" s="41">
        <v>4.99999999999945E-5</v>
      </c>
      <c r="J1799" s="42" t="s">
        <v>532</v>
      </c>
    </row>
    <row r="1800" spans="1:12" s="43" customFormat="1" ht="15" x14ac:dyDescent="0.25">
      <c r="A1800" s="38" t="s">
        <v>603</v>
      </c>
      <c r="B1800" s="39" t="s">
        <v>466</v>
      </c>
      <c r="C1800" s="39" t="s">
        <v>1427</v>
      </c>
      <c r="D1800" s="40">
        <v>2.1654</v>
      </c>
      <c r="E1800" s="40">
        <v>2.2789999999999999</v>
      </c>
      <c r="F1800" s="40">
        <v>6</v>
      </c>
      <c r="G1800" s="41">
        <v>0.6391</v>
      </c>
      <c r="H1800" s="41">
        <v>0.62016666666666698</v>
      </c>
      <c r="I1800" s="41">
        <v>1.8933333333333399E-2</v>
      </c>
      <c r="J1800" s="42" t="s">
        <v>532</v>
      </c>
    </row>
    <row r="1801" spans="1:12" x14ac:dyDescent="0.25">
      <c r="A1801" s="44">
        <v>2018</v>
      </c>
      <c r="B1801" s="44" t="s">
        <v>466</v>
      </c>
      <c r="C1801" s="44" t="s">
        <v>1934</v>
      </c>
      <c r="D1801" s="45">
        <v>2.1422408999328408</v>
      </c>
      <c r="E1801" s="45">
        <v>2.212450033579584</v>
      </c>
      <c r="F1801" s="45">
        <v>6</v>
      </c>
      <c r="G1801" s="46">
        <v>0.64295985001119316</v>
      </c>
      <c r="H1801" s="46">
        <v>0.63125832773673607</v>
      </c>
      <c r="I1801" s="46">
        <v>1.1701522274457138E-2</v>
      </c>
      <c r="J1801" s="47" t="s">
        <v>533</v>
      </c>
      <c r="K1801" s="48"/>
      <c r="L1801" s="48"/>
    </row>
    <row r="1802" spans="1:12" s="43" customFormat="1" ht="15" x14ac:dyDescent="0.25">
      <c r="A1802" s="38" t="s">
        <v>618</v>
      </c>
      <c r="B1802" s="39" t="s">
        <v>467</v>
      </c>
      <c r="C1802" s="39" t="s">
        <v>1086</v>
      </c>
      <c r="D1802" s="40">
        <v>2.0070000000000001</v>
      </c>
      <c r="E1802" s="40">
        <v>2.2930000000000001</v>
      </c>
      <c r="F1802" s="40">
        <v>6</v>
      </c>
      <c r="G1802" s="41">
        <v>0.66549999999999998</v>
      </c>
      <c r="H1802" s="41">
        <v>0.61783333333333301</v>
      </c>
      <c r="I1802" s="41">
        <v>4.76666666666666E-2</v>
      </c>
      <c r="J1802" s="42" t="s">
        <v>532</v>
      </c>
    </row>
    <row r="1803" spans="1:12" s="43" customFormat="1" ht="15" x14ac:dyDescent="0.25">
      <c r="A1803" s="38" t="s">
        <v>623</v>
      </c>
      <c r="B1803" s="39" t="s">
        <v>467</v>
      </c>
      <c r="C1803" s="39" t="s">
        <v>1141</v>
      </c>
      <c r="D1803" s="40">
        <v>2.0070000000000001</v>
      </c>
      <c r="E1803" s="40">
        <v>2.2347000000000001</v>
      </c>
      <c r="F1803" s="40">
        <v>6</v>
      </c>
      <c r="G1803" s="41">
        <v>0.66549999999999998</v>
      </c>
      <c r="H1803" s="41">
        <v>0.62755000000000005</v>
      </c>
      <c r="I1803" s="41">
        <v>3.7949999999999998E-2</v>
      </c>
      <c r="J1803" s="42" t="s">
        <v>532</v>
      </c>
    </row>
    <row r="1804" spans="1:12" s="43" customFormat="1" ht="15" x14ac:dyDescent="0.25">
      <c r="A1804" s="38" t="s">
        <v>700</v>
      </c>
      <c r="B1804" s="39" t="s">
        <v>467</v>
      </c>
      <c r="C1804" s="39" t="s">
        <v>1236</v>
      </c>
      <c r="D1804" s="40">
        <v>2.1463999999999999</v>
      </c>
      <c r="E1804" s="40">
        <v>2.1246</v>
      </c>
      <c r="F1804" s="40">
        <v>6</v>
      </c>
      <c r="G1804" s="41">
        <v>0.64226666666666699</v>
      </c>
      <c r="H1804" s="41">
        <v>0.64590000000000003</v>
      </c>
      <c r="I1804" s="41">
        <v>-3.6333333333333799E-3</v>
      </c>
      <c r="J1804" s="42" t="s">
        <v>532</v>
      </c>
    </row>
    <row r="1805" spans="1:12" s="43" customFormat="1" ht="15" x14ac:dyDescent="0.25">
      <c r="A1805" s="38" t="s">
        <v>619</v>
      </c>
      <c r="B1805" s="39" t="s">
        <v>467</v>
      </c>
      <c r="C1805" s="39" t="s">
        <v>1432</v>
      </c>
      <c r="D1805" s="40">
        <v>2.1463999999999999</v>
      </c>
      <c r="E1805" s="40">
        <v>2.1652</v>
      </c>
      <c r="F1805" s="40">
        <v>6</v>
      </c>
      <c r="G1805" s="41">
        <v>0.64226666666666699</v>
      </c>
      <c r="H1805" s="41">
        <v>0.639133333333333</v>
      </c>
      <c r="I1805" s="41">
        <v>3.13333333333332E-3</v>
      </c>
      <c r="J1805" s="42" t="s">
        <v>532</v>
      </c>
    </row>
    <row r="1806" spans="1:12" x14ac:dyDescent="0.25">
      <c r="A1806" s="44">
        <v>2018</v>
      </c>
      <c r="B1806" s="44" t="s">
        <v>467</v>
      </c>
      <c r="C1806" s="44" t="s">
        <v>1935</v>
      </c>
      <c r="D1806" s="45">
        <v>2.1107031775700937</v>
      </c>
      <c r="E1806" s="45">
        <v>2.1684619626168224</v>
      </c>
      <c r="F1806" s="45">
        <v>6</v>
      </c>
      <c r="G1806" s="46">
        <v>0.64821613707165104</v>
      </c>
      <c r="H1806" s="46">
        <v>0.63858967289719626</v>
      </c>
      <c r="I1806" s="46">
        <v>9.6264641744548077E-3</v>
      </c>
      <c r="J1806" s="47" t="s">
        <v>533</v>
      </c>
      <c r="K1806" s="48"/>
      <c r="L1806" s="48"/>
    </row>
    <row r="1807" spans="1:12" s="43" customFormat="1" ht="15" x14ac:dyDescent="0.25">
      <c r="A1807" s="38" t="s">
        <v>618</v>
      </c>
      <c r="B1807" s="39" t="s">
        <v>468</v>
      </c>
      <c r="C1807" s="39" t="s">
        <v>1087</v>
      </c>
      <c r="D1807" s="40">
        <v>1.9870000000000001</v>
      </c>
      <c r="E1807" s="40">
        <v>2.2890000000000001</v>
      </c>
      <c r="F1807" s="40">
        <v>6</v>
      </c>
      <c r="G1807" s="41">
        <v>0.66883333333333295</v>
      </c>
      <c r="H1807" s="41">
        <v>0.61850000000000005</v>
      </c>
      <c r="I1807" s="41">
        <v>5.0333333333333299E-2</v>
      </c>
      <c r="J1807" s="42" t="s">
        <v>532</v>
      </c>
    </row>
    <row r="1808" spans="1:12" s="43" customFormat="1" ht="15" x14ac:dyDescent="0.25">
      <c r="A1808" s="38" t="s">
        <v>578</v>
      </c>
      <c r="B1808" s="39" t="s">
        <v>468</v>
      </c>
      <c r="C1808" s="39" t="s">
        <v>903</v>
      </c>
      <c r="D1808" s="40">
        <v>2.1231</v>
      </c>
      <c r="E1808" s="40">
        <v>2.2507000000000001</v>
      </c>
      <c r="F1808" s="40">
        <v>6</v>
      </c>
      <c r="G1808" s="41">
        <v>0.64615</v>
      </c>
      <c r="H1808" s="41">
        <v>0.62488333333333301</v>
      </c>
      <c r="I1808" s="41">
        <v>2.1266666666666701E-2</v>
      </c>
      <c r="J1808" s="42" t="s">
        <v>532</v>
      </c>
    </row>
    <row r="1809" spans="1:12" s="43" customFormat="1" ht="15" x14ac:dyDescent="0.25">
      <c r="A1809" s="38" t="s">
        <v>700</v>
      </c>
      <c r="B1809" s="39" t="s">
        <v>468</v>
      </c>
      <c r="C1809" s="39" t="s">
        <v>1237</v>
      </c>
      <c r="D1809" s="40">
        <v>2.1231</v>
      </c>
      <c r="E1809" s="40">
        <v>2.1492</v>
      </c>
      <c r="F1809" s="40">
        <v>6</v>
      </c>
      <c r="G1809" s="41">
        <v>0.64615</v>
      </c>
      <c r="H1809" s="41">
        <v>0.64180000000000004</v>
      </c>
      <c r="I1809" s="41">
        <v>4.3499999999999598E-3</v>
      </c>
      <c r="J1809" s="42" t="s">
        <v>532</v>
      </c>
    </row>
    <row r="1810" spans="1:12" s="43" customFormat="1" ht="15" x14ac:dyDescent="0.25">
      <c r="A1810" s="38" t="s">
        <v>619</v>
      </c>
      <c r="B1810" s="39" t="s">
        <v>468</v>
      </c>
      <c r="C1810" s="39" t="s">
        <v>1433</v>
      </c>
      <c r="D1810" s="40">
        <v>2.1231</v>
      </c>
      <c r="E1810" s="40">
        <v>2.1977000000000002</v>
      </c>
      <c r="F1810" s="40">
        <v>6</v>
      </c>
      <c r="G1810" s="41">
        <v>0.64615</v>
      </c>
      <c r="H1810" s="41">
        <v>0.63371666666666604</v>
      </c>
      <c r="I1810" s="41">
        <v>1.24333333333334E-2</v>
      </c>
      <c r="J1810" s="42" t="s">
        <v>532</v>
      </c>
    </row>
    <row r="1811" spans="1:12" x14ac:dyDescent="0.25">
      <c r="A1811" s="44">
        <v>2018</v>
      </c>
      <c r="B1811" s="44" t="s">
        <v>468</v>
      </c>
      <c r="C1811" s="44" t="s">
        <v>1936</v>
      </c>
      <c r="D1811" s="45">
        <v>2.1074491260349584</v>
      </c>
      <c r="E1811" s="45">
        <v>2.195203219871205</v>
      </c>
      <c r="F1811" s="45">
        <v>6</v>
      </c>
      <c r="G1811" s="46">
        <v>0.6487584789941736</v>
      </c>
      <c r="H1811" s="46">
        <v>0.63413279668813249</v>
      </c>
      <c r="I1811" s="46">
        <v>1.4625682306041103E-2</v>
      </c>
      <c r="J1811" s="47" t="s">
        <v>533</v>
      </c>
      <c r="K1811" s="48"/>
      <c r="L1811" s="48"/>
    </row>
    <row r="1812" spans="1:12" s="43" customFormat="1" ht="15" x14ac:dyDescent="0.25">
      <c r="A1812" s="38" t="s">
        <v>618</v>
      </c>
      <c r="B1812" s="39" t="s">
        <v>469</v>
      </c>
      <c r="C1812" s="39" t="s">
        <v>1088</v>
      </c>
      <c r="D1812" s="40">
        <v>1.9912000000000001</v>
      </c>
      <c r="E1812" s="40">
        <v>2.1692</v>
      </c>
      <c r="F1812" s="40">
        <v>6</v>
      </c>
      <c r="G1812" s="41">
        <v>0.66813333333333302</v>
      </c>
      <c r="H1812" s="41">
        <v>0.63846666666666696</v>
      </c>
      <c r="I1812" s="41">
        <v>2.9666666666666699E-2</v>
      </c>
      <c r="J1812" s="42" t="s">
        <v>532</v>
      </c>
    </row>
    <row r="1813" spans="1:12" s="43" customFormat="1" ht="15" x14ac:dyDescent="0.25">
      <c r="A1813" s="38" t="s">
        <v>578</v>
      </c>
      <c r="B1813" s="39" t="s">
        <v>469</v>
      </c>
      <c r="C1813" s="39" t="s">
        <v>1167</v>
      </c>
      <c r="D1813" s="40">
        <v>2.1320999999999999</v>
      </c>
      <c r="E1813" s="40">
        <v>2.1753999999999998</v>
      </c>
      <c r="F1813" s="40">
        <v>6</v>
      </c>
      <c r="G1813" s="41">
        <v>0.64464999999999995</v>
      </c>
      <c r="H1813" s="41">
        <v>0.63743333333333396</v>
      </c>
      <c r="I1813" s="41">
        <v>7.2166666666666499E-3</v>
      </c>
      <c r="J1813" s="42" t="s">
        <v>532</v>
      </c>
    </row>
    <row r="1814" spans="1:12" s="43" customFormat="1" ht="15" x14ac:dyDescent="0.25">
      <c r="A1814" s="38" t="s">
        <v>700</v>
      </c>
      <c r="B1814" s="39" t="s">
        <v>469</v>
      </c>
      <c r="C1814" s="39" t="s">
        <v>1238</v>
      </c>
      <c r="D1814" s="40">
        <v>2.1320999999999999</v>
      </c>
      <c r="E1814" s="40">
        <v>2.2662</v>
      </c>
      <c r="F1814" s="40">
        <v>6</v>
      </c>
      <c r="G1814" s="41">
        <v>0.64464999999999995</v>
      </c>
      <c r="H1814" s="41">
        <v>0.62229999999999996</v>
      </c>
      <c r="I1814" s="41">
        <v>2.2350000000000099E-2</v>
      </c>
      <c r="J1814" s="42" t="s">
        <v>532</v>
      </c>
    </row>
    <row r="1815" spans="1:12" s="43" customFormat="1" ht="15" x14ac:dyDescent="0.25">
      <c r="A1815" s="38" t="s">
        <v>619</v>
      </c>
      <c r="B1815" s="39" t="s">
        <v>469</v>
      </c>
      <c r="C1815" s="39" t="s">
        <v>1434</v>
      </c>
      <c r="D1815" s="40">
        <v>2.1320999999999999</v>
      </c>
      <c r="E1815" s="40">
        <v>2.0078</v>
      </c>
      <c r="F1815" s="40">
        <v>6</v>
      </c>
      <c r="G1815" s="41">
        <v>0.64464999999999995</v>
      </c>
      <c r="H1815" s="41">
        <v>0.66536666666666699</v>
      </c>
      <c r="I1815" s="41">
        <v>-2.0716666666666599E-2</v>
      </c>
      <c r="J1815" s="42" t="s">
        <v>532</v>
      </c>
    </row>
    <row r="1816" spans="1:12" x14ac:dyDescent="0.25">
      <c r="A1816" s="44">
        <v>2018</v>
      </c>
      <c r="B1816" s="44" t="s">
        <v>469</v>
      </c>
      <c r="C1816" s="44" t="s">
        <v>1937</v>
      </c>
      <c r="D1816" s="45">
        <v>2.1088433397683395</v>
      </c>
      <c r="E1816" s="45">
        <v>2.1469882239382239</v>
      </c>
      <c r="F1816" s="45">
        <v>6</v>
      </c>
      <c r="G1816" s="46">
        <v>0.64852611003861005</v>
      </c>
      <c r="H1816" s="46">
        <v>0.64216862934362928</v>
      </c>
      <c r="I1816" s="46">
        <v>6.3574806949807531E-3</v>
      </c>
      <c r="J1816" s="47" t="s">
        <v>533</v>
      </c>
      <c r="K1816" s="48"/>
      <c r="L1816" s="48"/>
    </row>
    <row r="1817" spans="1:12" s="43" customFormat="1" ht="15" x14ac:dyDescent="0.25">
      <c r="A1817" s="38" t="s">
        <v>648</v>
      </c>
      <c r="B1817" s="39" t="s">
        <v>365</v>
      </c>
      <c r="C1817" s="39" t="s">
        <v>1634</v>
      </c>
      <c r="D1817" s="40">
        <v>6.5252999999999997</v>
      </c>
      <c r="E1817" s="40">
        <v>3.6892999999999998</v>
      </c>
      <c r="F1817" s="40"/>
      <c r="G1817" s="41"/>
      <c r="H1817" s="41"/>
      <c r="I1817" s="41"/>
      <c r="J1817" s="42" t="s">
        <v>532</v>
      </c>
    </row>
    <row r="1818" spans="1:12" x14ac:dyDescent="0.25">
      <c r="A1818" s="44">
        <v>2018</v>
      </c>
      <c r="B1818" s="44" t="s">
        <v>365</v>
      </c>
      <c r="C1818" s="44" t="s">
        <v>1634</v>
      </c>
      <c r="D1818" s="45">
        <v>6.5252999999999988</v>
      </c>
      <c r="E1818" s="45">
        <v>3.6892999999999998</v>
      </c>
      <c r="F1818" s="45"/>
      <c r="J1818" s="47" t="s">
        <v>533</v>
      </c>
      <c r="K1818" s="48"/>
      <c r="L1818" s="48"/>
    </row>
    <row r="1819" spans="1:12" s="43" customFormat="1" ht="15" x14ac:dyDescent="0.25">
      <c r="A1819" s="38" t="s">
        <v>669</v>
      </c>
      <c r="B1819" s="39" t="s">
        <v>111</v>
      </c>
      <c r="C1819" s="39" t="s">
        <v>746</v>
      </c>
      <c r="D1819" s="40">
        <v>1.2275</v>
      </c>
      <c r="E1819" s="40">
        <v>1.4059999999999999</v>
      </c>
      <c r="F1819" s="40">
        <v>2.8380000000000001</v>
      </c>
      <c r="G1819" s="41">
        <v>0.567463002114165</v>
      </c>
      <c r="H1819" s="41">
        <v>0.50458069062720201</v>
      </c>
      <c r="I1819" s="41">
        <v>6.2882311486962703E-2</v>
      </c>
      <c r="J1819" s="42" t="s">
        <v>532</v>
      </c>
    </row>
    <row r="1820" spans="1:12" s="43" customFormat="1" ht="15" x14ac:dyDescent="0.25">
      <c r="A1820" s="38" t="s">
        <v>695</v>
      </c>
      <c r="B1820" s="39" t="s">
        <v>111</v>
      </c>
      <c r="C1820" s="39" t="s">
        <v>1180</v>
      </c>
      <c r="D1820" s="40">
        <v>1.2641</v>
      </c>
      <c r="E1820" s="40">
        <v>1.22</v>
      </c>
      <c r="F1820" s="40">
        <v>2.8380000000000001</v>
      </c>
      <c r="G1820" s="41">
        <v>0.55457011980267801</v>
      </c>
      <c r="H1820" s="41">
        <v>0.57011980267794204</v>
      </c>
      <c r="I1820" s="41">
        <v>-1.5549682875264301E-2</v>
      </c>
      <c r="J1820" s="42" t="s">
        <v>532</v>
      </c>
    </row>
    <row r="1821" spans="1:12" s="43" customFormat="1" ht="15" x14ac:dyDescent="0.25">
      <c r="A1821" s="38" t="s">
        <v>697</v>
      </c>
      <c r="B1821" s="39" t="s">
        <v>111</v>
      </c>
      <c r="C1821" s="39" t="s">
        <v>1186</v>
      </c>
      <c r="D1821" s="40">
        <v>1.2641</v>
      </c>
      <c r="E1821" s="40">
        <v>1.3365</v>
      </c>
      <c r="F1821" s="40">
        <v>2.8380000000000001</v>
      </c>
      <c r="G1821" s="41">
        <v>0.55457011980267801</v>
      </c>
      <c r="H1821" s="41">
        <v>0.52906976744186096</v>
      </c>
      <c r="I1821" s="41">
        <v>2.5500352360817501E-2</v>
      </c>
      <c r="J1821" s="42" t="s">
        <v>532</v>
      </c>
    </row>
    <row r="1822" spans="1:12" s="43" customFormat="1" ht="15" x14ac:dyDescent="0.25">
      <c r="A1822" s="38" t="s">
        <v>709</v>
      </c>
      <c r="B1822" s="39" t="s">
        <v>111</v>
      </c>
      <c r="C1822" s="39" t="s">
        <v>1330</v>
      </c>
      <c r="D1822" s="40">
        <v>1.2641</v>
      </c>
      <c r="E1822" s="40">
        <v>1.3236000000000001</v>
      </c>
      <c r="F1822" s="40">
        <v>2.8380000000000001</v>
      </c>
      <c r="G1822" s="41">
        <v>0.55457011980267801</v>
      </c>
      <c r="H1822" s="41">
        <v>0.53360465116279099</v>
      </c>
      <c r="I1822" s="41">
        <v>2.0965468639887401E-2</v>
      </c>
      <c r="J1822" s="42" t="s">
        <v>532</v>
      </c>
    </row>
    <row r="1823" spans="1:12" s="43" customFormat="1" ht="15" x14ac:dyDescent="0.25">
      <c r="A1823" s="38" t="s">
        <v>550</v>
      </c>
      <c r="B1823" s="39" t="s">
        <v>111</v>
      </c>
      <c r="C1823" s="39" t="s">
        <v>1567</v>
      </c>
      <c r="D1823" s="40">
        <v>1.2641</v>
      </c>
      <c r="E1823" s="40">
        <v>1.5062</v>
      </c>
      <c r="F1823" s="40">
        <v>2.911</v>
      </c>
      <c r="G1823" s="41">
        <v>0.56574029543112303</v>
      </c>
      <c r="H1823" s="41">
        <v>0.48258330470628702</v>
      </c>
      <c r="I1823" s="41">
        <v>8.3156990724836802E-2</v>
      </c>
      <c r="J1823" s="42" t="s">
        <v>532</v>
      </c>
    </row>
    <row r="1824" spans="1:12" x14ac:dyDescent="0.25">
      <c r="A1824" s="44">
        <v>2018</v>
      </c>
      <c r="B1824" s="44" t="s">
        <v>111</v>
      </c>
      <c r="C1824" s="44" t="s">
        <v>1825</v>
      </c>
      <c r="D1824" s="45">
        <v>1.2590771122038444</v>
      </c>
      <c r="E1824" s="45">
        <v>1.3558393383996423</v>
      </c>
      <c r="F1824" s="45">
        <v>2.8533048725972288</v>
      </c>
      <c r="G1824" s="46">
        <v>0.55868139706658826</v>
      </c>
      <c r="H1824" s="46">
        <v>0.52504252987140343</v>
      </c>
      <c r="I1824" s="46">
        <v>3.3638867195184899E-2</v>
      </c>
      <c r="J1824" s="47" t="s">
        <v>533</v>
      </c>
      <c r="K1824" s="48"/>
      <c r="L1824" s="48"/>
    </row>
    <row r="1825" spans="1:12" s="43" customFormat="1" ht="15" x14ac:dyDescent="0.25">
      <c r="A1825" s="38" t="s">
        <v>565</v>
      </c>
      <c r="B1825" s="39" t="s">
        <v>143</v>
      </c>
      <c r="C1825" s="39" t="s">
        <v>794</v>
      </c>
      <c r="D1825" s="40">
        <v>2.1779999999999999</v>
      </c>
      <c r="E1825" s="40">
        <v>2.1208999999999998</v>
      </c>
      <c r="F1825" s="40">
        <v>5.2279999999999998</v>
      </c>
      <c r="G1825" s="41">
        <v>0.58339709257842398</v>
      </c>
      <c r="H1825" s="41">
        <v>0.59431905126243301</v>
      </c>
      <c r="I1825" s="41">
        <v>-1.0921958684009201E-2</v>
      </c>
      <c r="J1825" s="42" t="s">
        <v>532</v>
      </c>
    </row>
    <row r="1826" spans="1:12" s="43" customFormat="1" ht="15" x14ac:dyDescent="0.25">
      <c r="A1826" s="38" t="s">
        <v>691</v>
      </c>
      <c r="B1826" s="39" t="s">
        <v>143</v>
      </c>
      <c r="C1826" s="39" t="s">
        <v>1134</v>
      </c>
      <c r="D1826" s="40">
        <v>2.1779999999999999</v>
      </c>
      <c r="E1826" s="40">
        <v>2.0286</v>
      </c>
      <c r="F1826" s="40">
        <v>5.2279999999999998</v>
      </c>
      <c r="G1826" s="41">
        <v>0.58339709257842398</v>
      </c>
      <c r="H1826" s="41">
        <v>0.61197398622800303</v>
      </c>
      <c r="I1826" s="41">
        <v>-2.8576893649579199E-2</v>
      </c>
      <c r="J1826" s="42" t="s">
        <v>532</v>
      </c>
    </row>
    <row r="1827" spans="1:12" s="43" customFormat="1" ht="15" x14ac:dyDescent="0.25">
      <c r="A1827" s="38" t="s">
        <v>564</v>
      </c>
      <c r="B1827" s="39" t="s">
        <v>143</v>
      </c>
      <c r="C1827" s="39" t="s">
        <v>1453</v>
      </c>
      <c r="D1827" s="40">
        <v>2.0066999999999999</v>
      </c>
      <c r="E1827" s="40">
        <v>2.0758999999999999</v>
      </c>
      <c r="F1827" s="40">
        <v>5.2930000000000001</v>
      </c>
      <c r="G1827" s="41">
        <v>0.62087662951067402</v>
      </c>
      <c r="H1827" s="41">
        <v>0.60780275836009801</v>
      </c>
      <c r="I1827" s="41">
        <v>1.30738711505762E-2</v>
      </c>
      <c r="J1827" s="42" t="s">
        <v>532</v>
      </c>
    </row>
    <row r="1828" spans="1:12" x14ac:dyDescent="0.25">
      <c r="A1828" s="44">
        <v>2018</v>
      </c>
      <c r="B1828" s="44" t="s">
        <v>143</v>
      </c>
      <c r="C1828" s="44" t="s">
        <v>1849</v>
      </c>
      <c r="D1828" s="45">
        <v>2.1243835543766578</v>
      </c>
      <c r="E1828" s="45">
        <v>2.0735185676392573</v>
      </c>
      <c r="F1828" s="45">
        <v>5.248344827586207</v>
      </c>
      <c r="G1828" s="46">
        <v>0.59512808822300101</v>
      </c>
      <c r="H1828" s="46">
        <v>0.60490830482434821</v>
      </c>
      <c r="I1828" s="46">
        <v>-9.7802166013472372E-3</v>
      </c>
      <c r="J1828" s="47" t="s">
        <v>533</v>
      </c>
      <c r="K1828" s="48"/>
      <c r="L1828" s="48"/>
    </row>
    <row r="1829" spans="1:12" s="43" customFormat="1" ht="15" x14ac:dyDescent="0.25">
      <c r="A1829" s="38" t="s">
        <v>671</v>
      </c>
      <c r="B1829" s="39" t="s">
        <v>180</v>
      </c>
      <c r="C1829" s="39" t="s">
        <v>783</v>
      </c>
      <c r="D1829" s="40">
        <v>0.81730000000000003</v>
      </c>
      <c r="E1829" s="40">
        <v>1.3017000000000001</v>
      </c>
      <c r="F1829" s="40">
        <v>2.496</v>
      </c>
      <c r="G1829" s="41">
        <v>0.67254607371794894</v>
      </c>
      <c r="H1829" s="41">
        <v>0.47848557692307703</v>
      </c>
      <c r="I1829" s="41">
        <v>0.194060496794872</v>
      </c>
      <c r="J1829" s="42" t="s">
        <v>532</v>
      </c>
    </row>
    <row r="1830" spans="1:12" s="43" customFormat="1" ht="15" x14ac:dyDescent="0.25">
      <c r="A1830" s="38" t="s">
        <v>565</v>
      </c>
      <c r="B1830" s="39" t="s">
        <v>180</v>
      </c>
      <c r="C1830" s="39" t="s">
        <v>795</v>
      </c>
      <c r="D1830" s="40">
        <v>0.81730000000000003</v>
      </c>
      <c r="E1830" s="40">
        <v>0.85719999999999996</v>
      </c>
      <c r="F1830" s="40">
        <v>2.496</v>
      </c>
      <c r="G1830" s="41">
        <v>0.67254607371794894</v>
      </c>
      <c r="H1830" s="41">
        <v>0.65657051282051304</v>
      </c>
      <c r="I1830" s="41">
        <v>1.59755608974359E-2</v>
      </c>
      <c r="J1830" s="42" t="s">
        <v>532</v>
      </c>
    </row>
    <row r="1831" spans="1:12" s="43" customFormat="1" ht="15" x14ac:dyDescent="0.25">
      <c r="A1831" s="38" t="s">
        <v>684</v>
      </c>
      <c r="B1831" s="39" t="s">
        <v>180</v>
      </c>
      <c r="C1831" s="39" t="s">
        <v>1070</v>
      </c>
      <c r="D1831" s="40">
        <v>0.81730000000000003</v>
      </c>
      <c r="E1831" s="40">
        <v>0.9264</v>
      </c>
      <c r="F1831" s="40">
        <v>2.496</v>
      </c>
      <c r="G1831" s="41">
        <v>0.67254607371794894</v>
      </c>
      <c r="H1831" s="41">
        <v>0.62884615384615405</v>
      </c>
      <c r="I1831" s="41">
        <v>4.3699919871794897E-2</v>
      </c>
      <c r="J1831" s="42" t="s">
        <v>532</v>
      </c>
    </row>
    <row r="1832" spans="1:12" s="43" customFormat="1" ht="15" x14ac:dyDescent="0.25">
      <c r="A1832" s="38" t="s">
        <v>688</v>
      </c>
      <c r="B1832" s="39" t="s">
        <v>180</v>
      </c>
      <c r="C1832" s="39" t="s">
        <v>1109</v>
      </c>
      <c r="D1832" s="40">
        <v>0.81730000000000003</v>
      </c>
      <c r="E1832" s="40">
        <v>1.0789</v>
      </c>
      <c r="F1832" s="40">
        <v>2.496</v>
      </c>
      <c r="G1832" s="41">
        <v>0.67254607371794894</v>
      </c>
      <c r="H1832" s="41">
        <v>0.567748397435897</v>
      </c>
      <c r="I1832" s="41">
        <v>0.104797676282051</v>
      </c>
      <c r="J1832" s="42" t="s">
        <v>532</v>
      </c>
    </row>
    <row r="1833" spans="1:12" s="43" customFormat="1" ht="15" x14ac:dyDescent="0.25">
      <c r="A1833" s="38" t="s">
        <v>696</v>
      </c>
      <c r="B1833" s="39" t="s">
        <v>180</v>
      </c>
      <c r="C1833" s="39" t="s">
        <v>1045</v>
      </c>
      <c r="D1833" s="40">
        <v>0.8145</v>
      </c>
      <c r="E1833" s="40">
        <v>0.89810000000000001</v>
      </c>
      <c r="F1833" s="40">
        <v>2.496</v>
      </c>
      <c r="G1833" s="41">
        <v>0.67367788461538503</v>
      </c>
      <c r="H1833" s="41">
        <v>0.64018429487179496</v>
      </c>
      <c r="I1833" s="41">
        <v>3.3493589743589597E-2</v>
      </c>
      <c r="J1833" s="42" t="s">
        <v>532</v>
      </c>
    </row>
    <row r="1834" spans="1:12" s="43" customFormat="1" ht="15" x14ac:dyDescent="0.25">
      <c r="A1834" s="38" t="s">
        <v>568</v>
      </c>
      <c r="B1834" s="39" t="s">
        <v>180</v>
      </c>
      <c r="C1834" s="39" t="s">
        <v>1326</v>
      </c>
      <c r="D1834" s="40">
        <v>0.8145</v>
      </c>
      <c r="E1834" s="40">
        <v>1.0713999999999999</v>
      </c>
      <c r="F1834" s="40">
        <v>2.496</v>
      </c>
      <c r="G1834" s="41">
        <v>0.67367788461538503</v>
      </c>
      <c r="H1834" s="41">
        <v>0.57074819711538505</v>
      </c>
      <c r="I1834" s="41">
        <v>0.10292968750000001</v>
      </c>
      <c r="J1834" s="42" t="s">
        <v>532</v>
      </c>
    </row>
    <row r="1835" spans="1:12" x14ac:dyDescent="0.25">
      <c r="A1835" s="44">
        <v>2018</v>
      </c>
      <c r="B1835" s="44" t="s">
        <v>180</v>
      </c>
      <c r="C1835" s="44" t="s">
        <v>1844</v>
      </c>
      <c r="D1835" s="45">
        <v>0.81550873866446827</v>
      </c>
      <c r="E1835" s="45">
        <v>1.0437021022258863</v>
      </c>
      <c r="F1835" s="45">
        <v>2.496</v>
      </c>
      <c r="G1835" s="46">
        <v>0.67327013411070236</v>
      </c>
      <c r="H1835" s="46">
        <v>0.58184815407867752</v>
      </c>
      <c r="I1835" s="46">
        <v>9.1421980032024827E-2</v>
      </c>
      <c r="J1835" s="47" t="s">
        <v>533</v>
      </c>
      <c r="K1835" s="48"/>
      <c r="L1835" s="48"/>
    </row>
    <row r="1836" spans="1:12" s="43" customFormat="1" ht="15" x14ac:dyDescent="0.25">
      <c r="A1836" s="38" t="s">
        <v>669</v>
      </c>
      <c r="B1836" s="39" t="s">
        <v>189</v>
      </c>
      <c r="C1836" s="39" t="s">
        <v>747</v>
      </c>
      <c r="D1836" s="40">
        <v>1.1616</v>
      </c>
      <c r="E1836" s="40">
        <v>1.2677</v>
      </c>
      <c r="F1836" s="40">
        <v>3.4129999999999998</v>
      </c>
      <c r="G1836" s="41">
        <v>0.659654263111632</v>
      </c>
      <c r="H1836" s="41">
        <v>0.62856724289481403</v>
      </c>
      <c r="I1836" s="41">
        <v>3.1087020216818102E-2</v>
      </c>
      <c r="J1836" s="42" t="s">
        <v>532</v>
      </c>
    </row>
    <row r="1837" spans="1:12" s="43" customFormat="1" ht="15" x14ac:dyDescent="0.25">
      <c r="A1837" s="38" t="s">
        <v>584</v>
      </c>
      <c r="B1837" s="39" t="s">
        <v>189</v>
      </c>
      <c r="C1837" s="39" t="s">
        <v>1157</v>
      </c>
      <c r="D1837" s="40">
        <v>1.3354999999999999</v>
      </c>
      <c r="E1837" s="40">
        <v>1.3509</v>
      </c>
      <c r="F1837" s="40">
        <v>3.4129999999999998</v>
      </c>
      <c r="G1837" s="41">
        <v>0.60870202168180498</v>
      </c>
      <c r="H1837" s="41">
        <v>0.60418986229123905</v>
      </c>
      <c r="I1837" s="41">
        <v>4.5121593905653699E-3</v>
      </c>
      <c r="J1837" s="42" t="s">
        <v>532</v>
      </c>
    </row>
    <row r="1838" spans="1:12" s="43" customFormat="1" ht="15" x14ac:dyDescent="0.25">
      <c r="A1838" s="38" t="s">
        <v>538</v>
      </c>
      <c r="B1838" s="39" t="s">
        <v>189</v>
      </c>
      <c r="C1838" s="39" t="s">
        <v>1603</v>
      </c>
      <c r="D1838" s="40">
        <v>1.3354999999999999</v>
      </c>
      <c r="E1838" s="40">
        <v>1.4842</v>
      </c>
      <c r="F1838" s="40">
        <v>3.51</v>
      </c>
      <c r="G1838" s="41">
        <v>0.61951566951567005</v>
      </c>
      <c r="H1838" s="41">
        <v>0.57715099715099705</v>
      </c>
      <c r="I1838" s="41">
        <v>4.2364672364672402E-2</v>
      </c>
      <c r="J1838" s="42" t="s">
        <v>532</v>
      </c>
    </row>
    <row r="1839" spans="1:12" x14ac:dyDescent="0.25">
      <c r="A1839" s="44">
        <v>2018</v>
      </c>
      <c r="B1839" s="44" t="s">
        <v>189</v>
      </c>
      <c r="C1839" s="44" t="s">
        <v>1826</v>
      </c>
      <c r="D1839" s="45">
        <v>1.2933221366698748</v>
      </c>
      <c r="E1839" s="45">
        <v>1.3824240615976899</v>
      </c>
      <c r="F1839" s="45">
        <v>3.450623676612127</v>
      </c>
      <c r="G1839" s="46">
        <v>0.62525434595260743</v>
      </c>
      <c r="H1839" s="46">
        <v>0.59961472972202201</v>
      </c>
      <c r="I1839" s="46">
        <v>2.5639616230585426E-2</v>
      </c>
      <c r="J1839" s="47" t="s">
        <v>533</v>
      </c>
      <c r="K1839" s="48"/>
      <c r="L1839" s="48"/>
    </row>
    <row r="1840" spans="1:12" s="43" customFormat="1" ht="15" x14ac:dyDescent="0.25">
      <c r="A1840" s="38" t="s">
        <v>576</v>
      </c>
      <c r="B1840" s="39" t="s">
        <v>197</v>
      </c>
      <c r="C1840" s="39" t="s">
        <v>813</v>
      </c>
      <c r="D1840" s="40">
        <v>1.3582000000000001</v>
      </c>
      <c r="E1840" s="40">
        <v>1.5958000000000001</v>
      </c>
      <c r="F1840" s="40">
        <v>4.41</v>
      </c>
      <c r="G1840" s="41">
        <v>0.69202947845804996</v>
      </c>
      <c r="H1840" s="41">
        <v>0.63814058956916098</v>
      </c>
      <c r="I1840" s="41">
        <v>5.3888888888888903E-2</v>
      </c>
      <c r="J1840" s="42" t="s">
        <v>532</v>
      </c>
    </row>
    <row r="1841" spans="1:12" x14ac:dyDescent="0.25">
      <c r="A1841" s="44">
        <v>2018</v>
      </c>
      <c r="B1841" s="44" t="s">
        <v>197</v>
      </c>
      <c r="C1841" s="44" t="s">
        <v>1853</v>
      </c>
      <c r="D1841" s="45">
        <v>1.3582000000000001</v>
      </c>
      <c r="E1841" s="45">
        <v>1.5785720465890183</v>
      </c>
      <c r="F1841" s="45">
        <v>4.5075324459234611</v>
      </c>
      <c r="G1841" s="46">
        <v>0.69833847199686738</v>
      </c>
      <c r="H1841" s="46">
        <v>0.649172092780823</v>
      </c>
      <c r="I1841" s="46">
        <v>4.9166379216044373E-2</v>
      </c>
      <c r="J1841" s="47" t="s">
        <v>533</v>
      </c>
      <c r="K1841" s="48"/>
      <c r="L1841" s="48"/>
    </row>
    <row r="1842" spans="1:12" s="43" customFormat="1" ht="15" x14ac:dyDescent="0.25">
      <c r="A1842" s="38" t="s">
        <v>684</v>
      </c>
      <c r="B1842" s="39" t="s">
        <v>198</v>
      </c>
      <c r="C1842" s="39" t="s">
        <v>1071</v>
      </c>
      <c r="D1842" s="40">
        <v>0.72089999999999999</v>
      </c>
      <c r="E1842" s="40">
        <v>0.8296</v>
      </c>
      <c r="F1842" s="40">
        <v>2.5129999999999999</v>
      </c>
      <c r="G1842" s="41">
        <v>0.71312508290224197</v>
      </c>
      <c r="H1842" s="41">
        <v>0.66987664146438497</v>
      </c>
      <c r="I1842" s="41">
        <v>4.3248441437856402E-2</v>
      </c>
      <c r="J1842" s="42" t="s">
        <v>532</v>
      </c>
    </row>
    <row r="1843" spans="1:12" s="43" customFormat="1" ht="15" x14ac:dyDescent="0.25">
      <c r="A1843" s="38" t="s">
        <v>545</v>
      </c>
      <c r="B1843" s="39" t="s">
        <v>198</v>
      </c>
      <c r="C1843" s="39" t="s">
        <v>1571</v>
      </c>
      <c r="D1843" s="40">
        <v>0.81259999999999999</v>
      </c>
      <c r="E1843" s="40">
        <v>0.9536</v>
      </c>
      <c r="F1843" s="40">
        <v>2.6070000000000002</v>
      </c>
      <c r="G1843" s="41">
        <v>0.68831351489579395</v>
      </c>
      <c r="H1843" s="41">
        <v>0.63421557345608004</v>
      </c>
      <c r="I1843" s="41">
        <v>5.4097941439713602E-2</v>
      </c>
      <c r="J1843" s="42" t="s">
        <v>532</v>
      </c>
    </row>
    <row r="1844" spans="1:12" s="43" customFormat="1" ht="15" x14ac:dyDescent="0.25">
      <c r="A1844" s="38" t="s">
        <v>617</v>
      </c>
      <c r="B1844" s="39" t="s">
        <v>198</v>
      </c>
      <c r="C1844" s="39" t="s">
        <v>1578</v>
      </c>
      <c r="D1844" s="40">
        <v>0.81259999999999999</v>
      </c>
      <c r="E1844" s="40">
        <v>1.1086</v>
      </c>
      <c r="F1844" s="40">
        <v>2.6070000000000002</v>
      </c>
      <c r="G1844" s="41">
        <v>0.68831351489579395</v>
      </c>
      <c r="H1844" s="41">
        <v>0.57476026083621001</v>
      </c>
      <c r="I1844" s="41">
        <v>0.113553254059583</v>
      </c>
      <c r="J1844" s="42" t="s">
        <v>532</v>
      </c>
    </row>
    <row r="1845" spans="1:12" x14ac:dyDescent="0.25">
      <c r="A1845" s="44">
        <v>2018</v>
      </c>
      <c r="B1845" s="44" t="s">
        <v>198</v>
      </c>
      <c r="C1845" s="44" t="s">
        <v>1929</v>
      </c>
      <c r="D1845" s="45">
        <v>0.76130345572354208</v>
      </c>
      <c r="E1845" s="45">
        <v>0.91997203023758112</v>
      </c>
      <c r="F1845" s="45">
        <v>2.5544168466522676</v>
      </c>
      <c r="G1845" s="46">
        <v>0.70219298814346098</v>
      </c>
      <c r="H1845" s="46">
        <v>0.64045609611694376</v>
      </c>
      <c r="I1845" s="46">
        <v>6.1736892026517207E-2</v>
      </c>
      <c r="J1845" s="47" t="s">
        <v>533</v>
      </c>
      <c r="K1845" s="48"/>
      <c r="L1845" s="48"/>
    </row>
    <row r="1846" spans="1:12" s="43" customFormat="1" ht="15" x14ac:dyDescent="0.25">
      <c r="A1846" s="38" t="s">
        <v>616</v>
      </c>
      <c r="B1846" s="39" t="s">
        <v>446</v>
      </c>
      <c r="C1846" s="39" t="s">
        <v>1199</v>
      </c>
      <c r="D1846" s="40">
        <v>2.2050999999999998</v>
      </c>
      <c r="E1846" s="40">
        <v>2.3334999999999999</v>
      </c>
      <c r="F1846" s="40">
        <v>6.57</v>
      </c>
      <c r="G1846" s="41">
        <v>0.664370243531203</v>
      </c>
      <c r="H1846" s="41">
        <v>0.64482686453576898</v>
      </c>
      <c r="I1846" s="41">
        <v>1.9543378995433899E-2</v>
      </c>
      <c r="J1846" s="42" t="s">
        <v>532</v>
      </c>
    </row>
    <row r="1847" spans="1:12" s="43" customFormat="1" ht="15" x14ac:dyDescent="0.25">
      <c r="A1847" s="38" t="s">
        <v>626</v>
      </c>
      <c r="B1847" s="39" t="s">
        <v>446</v>
      </c>
      <c r="C1847" s="39" t="s">
        <v>1204</v>
      </c>
      <c r="D1847" s="40">
        <v>2.2050999999999998</v>
      </c>
      <c r="E1847" s="40">
        <v>2.3727999999999998</v>
      </c>
      <c r="F1847" s="40">
        <v>6.57</v>
      </c>
      <c r="G1847" s="41">
        <v>0.664370243531203</v>
      </c>
      <c r="H1847" s="41">
        <v>0.638841324200913</v>
      </c>
      <c r="I1847" s="41">
        <v>2.55289193302893E-2</v>
      </c>
      <c r="J1847" s="42" t="s">
        <v>532</v>
      </c>
    </row>
    <row r="1848" spans="1:12" s="43" customFormat="1" ht="15" x14ac:dyDescent="0.25">
      <c r="A1848" s="38" t="s">
        <v>571</v>
      </c>
      <c r="B1848" s="39" t="s">
        <v>446</v>
      </c>
      <c r="C1848" s="39" t="s">
        <v>1245</v>
      </c>
      <c r="D1848" s="40">
        <v>2.2050999999999998</v>
      </c>
      <c r="E1848" s="40">
        <v>2.4342999999999999</v>
      </c>
      <c r="F1848" s="40">
        <v>6.57</v>
      </c>
      <c r="G1848" s="41">
        <v>0.664370243531203</v>
      </c>
      <c r="H1848" s="41">
        <v>0.62947678843226795</v>
      </c>
      <c r="I1848" s="41">
        <v>3.48934550989346E-2</v>
      </c>
      <c r="J1848" s="42" t="s">
        <v>532</v>
      </c>
    </row>
    <row r="1849" spans="1:12" x14ac:dyDescent="0.25">
      <c r="A1849" s="44">
        <v>2018</v>
      </c>
      <c r="B1849" s="44" t="s">
        <v>446</v>
      </c>
      <c r="C1849" s="44" t="s">
        <v>1945</v>
      </c>
      <c r="D1849" s="45">
        <v>2.2050999999999998</v>
      </c>
      <c r="E1849" s="45">
        <v>2.3517390563564868</v>
      </c>
      <c r="F1849" s="45">
        <v>6.57</v>
      </c>
      <c r="G1849" s="46">
        <v>0.66437024353120244</v>
      </c>
      <c r="H1849" s="46">
        <v>0.64204918650045584</v>
      </c>
      <c r="I1849" s="46">
        <v>2.232105703074673E-2</v>
      </c>
      <c r="J1849" s="47" t="s">
        <v>533</v>
      </c>
      <c r="K1849" s="48"/>
      <c r="L1849" s="48"/>
    </row>
    <row r="1850" spans="1:12" s="43" customFormat="1" ht="15" x14ac:dyDescent="0.25">
      <c r="A1850" s="38" t="s">
        <v>675</v>
      </c>
      <c r="B1850" s="39" t="s">
        <v>431</v>
      </c>
      <c r="C1850" s="39" t="s">
        <v>918</v>
      </c>
      <c r="D1850" s="40">
        <v>0.78839999999999999</v>
      </c>
      <c r="E1850" s="40">
        <v>0.96589999999999998</v>
      </c>
      <c r="F1850" s="40">
        <v>2.1800000000000002</v>
      </c>
      <c r="G1850" s="41">
        <v>0.63833715596330298</v>
      </c>
      <c r="H1850" s="41">
        <v>0.55692660550458695</v>
      </c>
      <c r="I1850" s="41">
        <v>8.1410550458715605E-2</v>
      </c>
      <c r="J1850" s="42" t="s">
        <v>532</v>
      </c>
    </row>
    <row r="1851" spans="1:12" s="43" customFormat="1" ht="15" x14ac:dyDescent="0.25">
      <c r="A1851" s="38" t="s">
        <v>702</v>
      </c>
      <c r="B1851" s="39" t="s">
        <v>431</v>
      </c>
      <c r="C1851" s="39" t="s">
        <v>1280</v>
      </c>
      <c r="D1851" s="40">
        <v>0.83309999999999995</v>
      </c>
      <c r="E1851" s="40">
        <v>0.92559999999999998</v>
      </c>
      <c r="F1851" s="40">
        <v>2.1800000000000002</v>
      </c>
      <c r="G1851" s="41">
        <v>0.61782110091743103</v>
      </c>
      <c r="H1851" s="41">
        <v>0.57538990825688097</v>
      </c>
      <c r="I1851" s="41">
        <v>4.2431192660550503E-2</v>
      </c>
      <c r="J1851" s="42" t="s">
        <v>532</v>
      </c>
    </row>
    <row r="1852" spans="1:12" s="43" customFormat="1" ht="15" x14ac:dyDescent="0.25">
      <c r="A1852" s="38" t="s">
        <v>570</v>
      </c>
      <c r="B1852" s="39" t="s">
        <v>431</v>
      </c>
      <c r="C1852" s="39" t="s">
        <v>1437</v>
      </c>
      <c r="D1852" s="40">
        <v>0.83309999999999995</v>
      </c>
      <c r="E1852" s="40">
        <v>1.0718000000000001</v>
      </c>
      <c r="F1852" s="40">
        <v>2.1800000000000002</v>
      </c>
      <c r="G1852" s="41">
        <v>0.61782110091743103</v>
      </c>
      <c r="H1852" s="41">
        <v>0.50832568807339396</v>
      </c>
      <c r="I1852" s="41">
        <v>0.10949541284403699</v>
      </c>
      <c r="J1852" s="42" t="s">
        <v>532</v>
      </c>
    </row>
    <row r="1853" spans="1:12" x14ac:dyDescent="0.25">
      <c r="A1853" s="44">
        <v>2018</v>
      </c>
      <c r="B1853" s="44" t="s">
        <v>431</v>
      </c>
      <c r="C1853" s="44" t="s">
        <v>1887</v>
      </c>
      <c r="D1853" s="45">
        <v>0.82162814047726251</v>
      </c>
      <c r="E1853" s="45">
        <v>0.96803291310220629</v>
      </c>
      <c r="F1853" s="45">
        <v>2.1800000000000002</v>
      </c>
      <c r="G1853" s="46">
        <v>0.62308636493190528</v>
      </c>
      <c r="H1853" s="46">
        <v>0.55593115548414007</v>
      </c>
      <c r="I1853" s="46">
        <v>6.715520944776511E-2</v>
      </c>
      <c r="J1853" s="47" t="s">
        <v>533</v>
      </c>
      <c r="K1853" s="48"/>
      <c r="L1853" s="48"/>
    </row>
    <row r="1854" spans="1:12" s="43" customFormat="1" ht="15" x14ac:dyDescent="0.25">
      <c r="A1854" s="38" t="s">
        <v>670</v>
      </c>
      <c r="B1854" s="39" t="s">
        <v>454</v>
      </c>
      <c r="C1854" s="39" t="s">
        <v>770</v>
      </c>
      <c r="D1854" s="40">
        <v>0.71589999999999998</v>
      </c>
      <c r="E1854" s="40">
        <v>0.73089999999999999</v>
      </c>
      <c r="F1854" s="40">
        <v>2.7</v>
      </c>
      <c r="G1854" s="41">
        <v>0.73485185185185198</v>
      </c>
      <c r="H1854" s="41">
        <v>0.729296296296296</v>
      </c>
      <c r="I1854" s="41">
        <v>5.5555555555556503E-3</v>
      </c>
      <c r="J1854" s="42" t="s">
        <v>532</v>
      </c>
    </row>
    <row r="1855" spans="1:12" s="43" customFormat="1" ht="15" x14ac:dyDescent="0.25">
      <c r="A1855" s="38" t="s">
        <v>562</v>
      </c>
      <c r="B1855" s="39" t="s">
        <v>454</v>
      </c>
      <c r="C1855" s="39" t="s">
        <v>775</v>
      </c>
      <c r="D1855" s="40">
        <v>0.71589999999999998</v>
      </c>
      <c r="E1855" s="40">
        <v>0.74980000000000002</v>
      </c>
      <c r="F1855" s="40">
        <v>2.7</v>
      </c>
      <c r="G1855" s="41">
        <v>0.73485185185185198</v>
      </c>
      <c r="H1855" s="41">
        <v>0.72229629629629599</v>
      </c>
      <c r="I1855" s="41">
        <v>1.25555555555555E-2</v>
      </c>
      <c r="J1855" s="42" t="s">
        <v>532</v>
      </c>
    </row>
    <row r="1856" spans="1:12" x14ac:dyDescent="0.25">
      <c r="A1856" s="44">
        <v>2018</v>
      </c>
      <c r="B1856" s="44" t="s">
        <v>454</v>
      </c>
      <c r="C1856" s="44" t="s">
        <v>1837</v>
      </c>
      <c r="D1856" s="45">
        <v>0.71589999999999998</v>
      </c>
      <c r="E1856" s="45">
        <v>0.7415118245888801</v>
      </c>
      <c r="F1856" s="45">
        <v>2.7</v>
      </c>
      <c r="G1856" s="46">
        <v>0.73485185185185187</v>
      </c>
      <c r="H1856" s="46">
        <v>0.72536599089300724</v>
      </c>
      <c r="I1856" s="46">
        <v>9.4858609588445459E-3</v>
      </c>
      <c r="J1856" s="47" t="s">
        <v>533</v>
      </c>
      <c r="K1856" s="48"/>
      <c r="L1856" s="48"/>
    </row>
    <row r="1857" spans="1:12" s="43" customFormat="1" ht="15" x14ac:dyDescent="0.25">
      <c r="A1857" s="38" t="s">
        <v>698</v>
      </c>
      <c r="B1857" s="39" t="s">
        <v>484</v>
      </c>
      <c r="C1857" s="39" t="s">
        <v>1211</v>
      </c>
      <c r="D1857" s="40">
        <v>2.5760000000000001</v>
      </c>
      <c r="E1857" s="40">
        <v>3.0613999999999999</v>
      </c>
      <c r="F1857" s="40">
        <v>7.42</v>
      </c>
      <c r="G1857" s="41">
        <v>0.65283018867924503</v>
      </c>
      <c r="H1857" s="41">
        <v>0.58741239892183295</v>
      </c>
      <c r="I1857" s="41">
        <v>6.5417789757412304E-2</v>
      </c>
      <c r="J1857" s="42" t="s">
        <v>532</v>
      </c>
    </row>
    <row r="1858" spans="1:12" s="43" customFormat="1" ht="15" x14ac:dyDescent="0.25">
      <c r="A1858" s="38" t="s">
        <v>625</v>
      </c>
      <c r="B1858" s="39" t="s">
        <v>484</v>
      </c>
      <c r="C1858" s="39" t="s">
        <v>1215</v>
      </c>
      <c r="D1858" s="40">
        <v>2.5760000000000001</v>
      </c>
      <c r="E1858" s="40">
        <v>2.8862000000000001</v>
      </c>
      <c r="F1858" s="40">
        <v>7.42</v>
      </c>
      <c r="G1858" s="41">
        <v>0.65283018867924503</v>
      </c>
      <c r="H1858" s="41">
        <v>0.61102425876010802</v>
      </c>
      <c r="I1858" s="41">
        <v>4.1805929919137598E-2</v>
      </c>
      <c r="J1858" s="42" t="s">
        <v>532</v>
      </c>
    </row>
    <row r="1859" spans="1:12" s="43" customFormat="1" ht="15" x14ac:dyDescent="0.25">
      <c r="A1859" s="38" t="s">
        <v>549</v>
      </c>
      <c r="B1859" s="39" t="s">
        <v>484</v>
      </c>
      <c r="C1859" s="39" t="s">
        <v>1221</v>
      </c>
      <c r="D1859" s="40">
        <v>2.5760000000000001</v>
      </c>
      <c r="E1859" s="40">
        <v>2.8386999999999998</v>
      </c>
      <c r="F1859" s="40">
        <v>7.42</v>
      </c>
      <c r="G1859" s="41">
        <v>0.65283018867924503</v>
      </c>
      <c r="H1859" s="41">
        <v>0.61742587601078203</v>
      </c>
      <c r="I1859" s="41">
        <v>3.5404312668463403E-2</v>
      </c>
      <c r="J1859" s="42" t="s">
        <v>532</v>
      </c>
    </row>
    <row r="1860" spans="1:12" s="43" customFormat="1" ht="15" x14ac:dyDescent="0.25">
      <c r="A1860" s="38" t="s">
        <v>571</v>
      </c>
      <c r="B1860" s="39" t="s">
        <v>484</v>
      </c>
      <c r="C1860" s="39" t="s">
        <v>966</v>
      </c>
      <c r="D1860" s="40">
        <v>2.5760000000000001</v>
      </c>
      <c r="E1860" s="40">
        <v>2.6886999999999999</v>
      </c>
      <c r="F1860" s="40">
        <v>7.42</v>
      </c>
      <c r="G1860" s="41">
        <v>0.65283018867924503</v>
      </c>
      <c r="H1860" s="41">
        <v>0.63764150943396203</v>
      </c>
      <c r="I1860" s="41">
        <v>1.5188679245283001E-2</v>
      </c>
      <c r="J1860" s="42" t="s">
        <v>532</v>
      </c>
    </row>
    <row r="1861" spans="1:12" s="43" customFormat="1" ht="15" x14ac:dyDescent="0.25">
      <c r="A1861" s="38" t="s">
        <v>628</v>
      </c>
      <c r="B1861" s="39" t="s">
        <v>484</v>
      </c>
      <c r="C1861" s="39" t="s">
        <v>1191</v>
      </c>
      <c r="D1861" s="40">
        <v>2.5760000000000001</v>
      </c>
      <c r="E1861" s="40">
        <v>2.9809000000000001</v>
      </c>
      <c r="F1861" s="40">
        <v>7.42</v>
      </c>
      <c r="G1861" s="41">
        <v>0.65283018867924503</v>
      </c>
      <c r="H1861" s="41">
        <v>0.59826145552560595</v>
      </c>
      <c r="I1861" s="41">
        <v>5.4568733153638797E-2</v>
      </c>
      <c r="J1861" s="42" t="s">
        <v>532</v>
      </c>
    </row>
    <row r="1862" spans="1:12" x14ac:dyDescent="0.25">
      <c r="A1862" s="44">
        <v>2018</v>
      </c>
      <c r="B1862" s="44" t="s">
        <v>484</v>
      </c>
      <c r="C1862" s="44" t="s">
        <v>1946</v>
      </c>
      <c r="D1862" s="45">
        <v>2.5760000000000001</v>
      </c>
      <c r="E1862" s="45">
        <v>2.8761491136297588</v>
      </c>
      <c r="F1862" s="45">
        <v>7.42</v>
      </c>
      <c r="G1862" s="46">
        <v>0.65283018867924525</v>
      </c>
      <c r="H1862" s="46">
        <v>0.61237882565636659</v>
      </c>
      <c r="I1862" s="46">
        <v>4.0451363022878502E-2</v>
      </c>
      <c r="J1862" s="47" t="s">
        <v>533</v>
      </c>
      <c r="K1862" s="48"/>
      <c r="L1862" s="48"/>
    </row>
    <row r="1863" spans="1:12" s="43" customFormat="1" ht="15" x14ac:dyDescent="0.25">
      <c r="A1863" s="38" t="s">
        <v>637</v>
      </c>
      <c r="B1863" s="39" t="s">
        <v>523</v>
      </c>
      <c r="C1863" s="39" t="s">
        <v>1754</v>
      </c>
      <c r="D1863" s="40">
        <v>3.0049000000000001</v>
      </c>
      <c r="E1863" s="40">
        <v>3.0950000000000002</v>
      </c>
      <c r="F1863" s="40">
        <v>8.6199999999999992</v>
      </c>
      <c r="G1863" s="41">
        <v>0.65140371229698402</v>
      </c>
      <c r="H1863" s="41">
        <v>0.64095127610208802</v>
      </c>
      <c r="I1863" s="41">
        <v>1.0452436194895699E-2</v>
      </c>
      <c r="J1863" s="42" t="s">
        <v>532</v>
      </c>
    </row>
    <row r="1864" spans="1:12" s="43" customFormat="1" ht="15" x14ac:dyDescent="0.25">
      <c r="A1864" s="38" t="s">
        <v>652</v>
      </c>
      <c r="B1864" s="39" t="s">
        <v>523</v>
      </c>
      <c r="C1864" s="39" t="s">
        <v>1780</v>
      </c>
      <c r="D1864" s="40">
        <v>3.0049000000000001</v>
      </c>
      <c r="E1864" s="40">
        <v>2.9437000000000002</v>
      </c>
      <c r="F1864" s="40">
        <v>8.6199999999999992</v>
      </c>
      <c r="G1864" s="41">
        <v>0.65140371229698402</v>
      </c>
      <c r="H1864" s="41">
        <v>0.65850348027842198</v>
      </c>
      <c r="I1864" s="41">
        <v>-7.0997679814386299E-3</v>
      </c>
      <c r="J1864" s="42" t="s">
        <v>532</v>
      </c>
    </row>
    <row r="1865" spans="1:12" x14ac:dyDescent="0.25">
      <c r="A1865" s="44">
        <v>2018</v>
      </c>
      <c r="B1865" s="44" t="s">
        <v>523</v>
      </c>
      <c r="C1865" s="44" t="s">
        <v>1999</v>
      </c>
      <c r="D1865" s="45">
        <v>3.0049000000000001</v>
      </c>
      <c r="E1865" s="45">
        <v>3.0402271773347329</v>
      </c>
      <c r="F1865" s="45">
        <v>8.6199999999999992</v>
      </c>
      <c r="G1865" s="46">
        <v>0.65140371229698368</v>
      </c>
      <c r="H1865" s="46">
        <v>0.64730543186372003</v>
      </c>
      <c r="I1865" s="46">
        <v>4.0982804332636274E-3</v>
      </c>
      <c r="J1865" s="47" t="s">
        <v>533</v>
      </c>
      <c r="K1865" s="48"/>
      <c r="L1865" s="48"/>
    </row>
    <row r="1866" spans="1:12" s="43" customFormat="1" ht="15" x14ac:dyDescent="0.25">
      <c r="A1866" s="38" t="s">
        <v>656</v>
      </c>
      <c r="B1866" s="39" t="s">
        <v>515</v>
      </c>
      <c r="C1866" s="39" t="s">
        <v>1761</v>
      </c>
      <c r="D1866" s="40">
        <v>1.6719999999999999</v>
      </c>
      <c r="E1866" s="40">
        <v>2.0851999999999999</v>
      </c>
      <c r="F1866" s="40">
        <v>6.76</v>
      </c>
      <c r="G1866" s="41">
        <v>0.75266272189349104</v>
      </c>
      <c r="H1866" s="41">
        <v>0.69153846153846099</v>
      </c>
      <c r="I1866" s="41">
        <v>6.11242603550297E-2</v>
      </c>
      <c r="J1866" s="42" t="s">
        <v>532</v>
      </c>
    </row>
    <row r="1867" spans="1:12" s="43" customFormat="1" ht="15" x14ac:dyDescent="0.25">
      <c r="A1867" s="38" t="s">
        <v>589</v>
      </c>
      <c r="B1867" s="39" t="s">
        <v>515</v>
      </c>
      <c r="C1867" s="39" t="s">
        <v>1767</v>
      </c>
      <c r="D1867" s="40">
        <v>1.6719999999999999</v>
      </c>
      <c r="E1867" s="40">
        <v>2.069</v>
      </c>
      <c r="F1867" s="40">
        <v>6.76</v>
      </c>
      <c r="G1867" s="41">
        <v>0.75266272189349104</v>
      </c>
      <c r="H1867" s="41">
        <v>0.69393491124260398</v>
      </c>
      <c r="I1867" s="41">
        <v>5.8727810650887599E-2</v>
      </c>
      <c r="J1867" s="42" t="s">
        <v>532</v>
      </c>
    </row>
    <row r="1868" spans="1:12" x14ac:dyDescent="0.25">
      <c r="A1868" s="44">
        <v>2018</v>
      </c>
      <c r="B1868" s="44" t="s">
        <v>515</v>
      </c>
      <c r="C1868" s="44" t="s">
        <v>992</v>
      </c>
      <c r="D1868" s="45">
        <v>1.6720000000000002</v>
      </c>
      <c r="E1868" s="45">
        <v>2.0832213740458014</v>
      </c>
      <c r="F1868" s="45">
        <v>6.76</v>
      </c>
      <c r="G1868" s="46">
        <v>0.75266272189349115</v>
      </c>
      <c r="H1868" s="46">
        <v>0.69183115768553227</v>
      </c>
      <c r="I1868" s="46">
        <v>6.0831564207958932E-2</v>
      </c>
      <c r="J1868" s="47" t="s">
        <v>533</v>
      </c>
      <c r="K1868" s="48"/>
      <c r="L1868" s="48"/>
    </row>
    <row r="1869" spans="1:12" s="43" customFormat="1" ht="15" x14ac:dyDescent="0.25">
      <c r="A1869" s="38" t="s">
        <v>569</v>
      </c>
      <c r="B1869" s="39" t="s">
        <v>233</v>
      </c>
      <c r="C1869" s="39" t="s">
        <v>1226</v>
      </c>
      <c r="D1869" s="40"/>
      <c r="E1869" s="40">
        <v>1.4599</v>
      </c>
      <c r="F1869" s="40"/>
      <c r="G1869" s="41"/>
      <c r="H1869" s="41"/>
      <c r="I1869" s="41"/>
      <c r="J1869" s="42" t="s">
        <v>532</v>
      </c>
    </row>
    <row r="1870" spans="1:12" x14ac:dyDescent="0.25">
      <c r="A1870" s="44">
        <v>2018</v>
      </c>
      <c r="B1870" s="44" t="s">
        <v>233</v>
      </c>
      <c r="C1870" s="44" t="s">
        <v>1226</v>
      </c>
      <c r="D1870" s="45"/>
      <c r="E1870" s="45">
        <v>1.4598999999999998</v>
      </c>
      <c r="F1870" s="45"/>
      <c r="J1870" s="47" t="s">
        <v>533</v>
      </c>
      <c r="K1870" s="48"/>
      <c r="L1870" s="48"/>
    </row>
    <row r="1871" spans="1:12" s="43" customFormat="1" ht="15" x14ac:dyDescent="0.25">
      <c r="A1871" s="38" t="s">
        <v>661</v>
      </c>
      <c r="B1871" s="39" t="s">
        <v>50</v>
      </c>
      <c r="C1871" s="39" t="s">
        <v>1781</v>
      </c>
      <c r="D1871" s="40"/>
      <c r="E1871" s="40">
        <v>6.6191000000000004</v>
      </c>
      <c r="F1871" s="40">
        <v>19.635000000000002</v>
      </c>
      <c r="G1871" s="41"/>
      <c r="H1871" s="41">
        <v>0.66289279348102903</v>
      </c>
      <c r="I1871" s="41"/>
      <c r="J1871" s="42" t="s">
        <v>532</v>
      </c>
    </row>
    <row r="1872" spans="1:12" s="43" customFormat="1" ht="15" x14ac:dyDescent="0.25">
      <c r="A1872" s="38" t="s">
        <v>569</v>
      </c>
      <c r="B1872" s="39" t="s">
        <v>50</v>
      </c>
      <c r="C1872" s="39" t="s">
        <v>1795</v>
      </c>
      <c r="D1872" s="40"/>
      <c r="E1872" s="40">
        <v>7.0974000000000004</v>
      </c>
      <c r="F1872" s="40">
        <v>19.635000000000002</v>
      </c>
      <c r="G1872" s="41"/>
      <c r="H1872" s="41">
        <v>0.63853323147440799</v>
      </c>
      <c r="I1872" s="41"/>
      <c r="J1872" s="42" t="s">
        <v>532</v>
      </c>
    </row>
    <row r="1873" spans="1:12" x14ac:dyDescent="0.25">
      <c r="A1873" s="44">
        <v>2018</v>
      </c>
      <c r="B1873" s="44" t="s">
        <v>50</v>
      </c>
      <c r="C1873" s="44" t="s">
        <v>2007</v>
      </c>
      <c r="D1873" s="45"/>
      <c r="E1873" s="45">
        <v>6.7142879934210535</v>
      </c>
      <c r="F1873" s="45">
        <v>19.635000000000002</v>
      </c>
      <c r="H1873" s="46">
        <v>0.65804492012115856</v>
      </c>
      <c r="J1873" s="47" t="s">
        <v>533</v>
      </c>
      <c r="K1873" s="48"/>
      <c r="L1873" s="48"/>
    </row>
    <row r="1874" spans="1:12" s="43" customFormat="1" ht="15" x14ac:dyDescent="0.25">
      <c r="A1874" s="38" t="s">
        <v>661</v>
      </c>
      <c r="B1874" s="39" t="s">
        <v>516</v>
      </c>
      <c r="C1874" s="39" t="s">
        <v>1782</v>
      </c>
      <c r="D1874" s="40"/>
      <c r="E1874" s="40">
        <v>2.0739000000000001</v>
      </c>
      <c r="F1874" s="40"/>
      <c r="G1874" s="41"/>
      <c r="H1874" s="41"/>
      <c r="I1874" s="41"/>
      <c r="J1874" s="42" t="s">
        <v>532</v>
      </c>
    </row>
    <row r="1875" spans="1:12" s="43" customFormat="1" ht="15" x14ac:dyDescent="0.25">
      <c r="A1875" s="38" t="s">
        <v>661</v>
      </c>
      <c r="B1875" s="39" t="s">
        <v>517</v>
      </c>
      <c r="C1875" s="39" t="s">
        <v>1783</v>
      </c>
      <c r="D1875" s="40"/>
      <c r="E1875" s="40">
        <v>3.0409999999999999</v>
      </c>
      <c r="F1875" s="40"/>
      <c r="G1875" s="41"/>
      <c r="H1875" s="41"/>
      <c r="I1875" s="41"/>
      <c r="J1875" s="42" t="s">
        <v>532</v>
      </c>
    </row>
    <row r="1876" spans="1:12" x14ac:dyDescent="0.25">
      <c r="A1876" s="44">
        <v>2018</v>
      </c>
      <c r="B1876" s="44" t="s">
        <v>517</v>
      </c>
      <c r="C1876" s="44" t="s">
        <v>1783</v>
      </c>
      <c r="D1876" s="45"/>
      <c r="E1876" s="45">
        <v>3.0409999999999999</v>
      </c>
      <c r="F1876" s="45"/>
      <c r="J1876" s="47" t="s">
        <v>533</v>
      </c>
      <c r="K1876" s="48"/>
      <c r="L1876" s="48"/>
    </row>
    <row r="1877" spans="1:12" s="43" customFormat="1" ht="15" x14ac:dyDescent="0.25">
      <c r="A1877" s="38" t="s">
        <v>560</v>
      </c>
      <c r="B1877" s="39" t="s">
        <v>520</v>
      </c>
      <c r="C1877" s="39" t="s">
        <v>1758</v>
      </c>
      <c r="D1877" s="40"/>
      <c r="E1877" s="40">
        <v>2.5760000000000001</v>
      </c>
      <c r="F1877" s="40"/>
      <c r="G1877" s="41"/>
      <c r="H1877" s="41"/>
      <c r="I1877" s="41"/>
      <c r="J1877" s="42" t="s">
        <v>532</v>
      </c>
    </row>
    <row r="1878" spans="1:12" x14ac:dyDescent="0.25">
      <c r="A1878" s="44">
        <v>2018</v>
      </c>
      <c r="B1878" s="44" t="s">
        <v>520</v>
      </c>
      <c r="C1878" s="44" t="s">
        <v>1758</v>
      </c>
      <c r="D1878" s="45"/>
      <c r="E1878" s="45">
        <v>2.5760000000000001</v>
      </c>
      <c r="F1878" s="45"/>
      <c r="J1878" s="47" t="s">
        <v>533</v>
      </c>
      <c r="K1878" s="48"/>
      <c r="L1878" s="48"/>
    </row>
    <row r="1879" spans="1:12" s="43" customFormat="1" ht="15" x14ac:dyDescent="0.25">
      <c r="A1879" s="38" t="s">
        <v>652</v>
      </c>
      <c r="B1879" s="39" t="s">
        <v>521</v>
      </c>
      <c r="C1879" s="39" t="s">
        <v>1225</v>
      </c>
      <c r="D1879" s="40"/>
      <c r="E1879" s="40">
        <v>1.5122</v>
      </c>
      <c r="F1879" s="40"/>
      <c r="G1879" s="41"/>
      <c r="H1879" s="41"/>
      <c r="I1879" s="41"/>
      <c r="J1879" s="42" t="s">
        <v>532</v>
      </c>
    </row>
    <row r="1880" spans="1:12" x14ac:dyDescent="0.25">
      <c r="A1880" s="44">
        <v>2018</v>
      </c>
      <c r="B1880" s="44" t="s">
        <v>521</v>
      </c>
      <c r="C1880" s="44" t="s">
        <v>1225</v>
      </c>
      <c r="D1880" s="45"/>
      <c r="E1880" s="45">
        <v>1.5122</v>
      </c>
      <c r="F1880" s="45"/>
      <c r="J1880" s="47" t="s">
        <v>533</v>
      </c>
      <c r="K1880" s="48"/>
      <c r="L1880" s="48"/>
    </row>
    <row r="1881" spans="1:12" s="43" customFormat="1" ht="15" x14ac:dyDescent="0.25">
      <c r="A1881" s="38" t="s">
        <v>652</v>
      </c>
      <c r="B1881" s="39" t="s">
        <v>522</v>
      </c>
      <c r="C1881" s="39" t="s">
        <v>747</v>
      </c>
      <c r="D1881" s="40"/>
      <c r="E1881" s="40">
        <v>1.5122</v>
      </c>
      <c r="F1881" s="40"/>
      <c r="G1881" s="41"/>
      <c r="H1881" s="41"/>
      <c r="I1881" s="41"/>
      <c r="J1881" s="42" t="s">
        <v>532</v>
      </c>
    </row>
    <row r="1882" spans="1:12" s="43" customFormat="1" ht="15" x14ac:dyDescent="0.25">
      <c r="A1882" s="38" t="s">
        <v>644</v>
      </c>
      <c r="B1882" s="39" t="s">
        <v>522</v>
      </c>
      <c r="C1882" s="39" t="s">
        <v>1792</v>
      </c>
      <c r="D1882" s="40"/>
      <c r="E1882" s="40">
        <v>1.4341999999999999</v>
      </c>
      <c r="F1882" s="40"/>
      <c r="G1882" s="41"/>
      <c r="H1882" s="41"/>
      <c r="I1882" s="41"/>
      <c r="J1882" s="42" t="s">
        <v>532</v>
      </c>
    </row>
    <row r="1883" spans="1:12" x14ac:dyDescent="0.25">
      <c r="A1883" s="44">
        <v>2018</v>
      </c>
      <c r="B1883" s="44" t="s">
        <v>522</v>
      </c>
      <c r="C1883" s="44" t="s">
        <v>2006</v>
      </c>
      <c r="D1883" s="45"/>
      <c r="E1883" s="45">
        <v>1.4564857142857144</v>
      </c>
      <c r="F1883" s="45"/>
      <c r="J1883" s="47" t="s">
        <v>533</v>
      </c>
      <c r="K1883" s="48"/>
      <c r="L1883" s="48"/>
    </row>
    <row r="1884" spans="1:12" s="43" customFormat="1" ht="15" x14ac:dyDescent="0.25">
      <c r="A1884" s="38" t="s">
        <v>524</v>
      </c>
      <c r="B1884" s="39"/>
      <c r="C1884" s="39" t="s">
        <v>524</v>
      </c>
      <c r="D1884" s="40"/>
      <c r="E1884" s="40"/>
      <c r="F1884" s="40"/>
      <c r="G1884" s="41"/>
      <c r="H1884" s="41"/>
      <c r="I1884" s="41"/>
      <c r="J1884" s="42" t="s">
        <v>532</v>
      </c>
    </row>
    <row r="1885" spans="1:12" s="43" customFormat="1" ht="15" x14ac:dyDescent="0.25">
      <c r="A1885" s="38" t="s">
        <v>524</v>
      </c>
      <c r="B1885" s="39"/>
      <c r="C1885" s="39" t="s">
        <v>524</v>
      </c>
      <c r="D1885" s="40"/>
      <c r="E1885" s="40"/>
      <c r="F1885" s="40"/>
      <c r="G1885" s="41"/>
      <c r="H1885" s="41"/>
      <c r="I1885" s="41"/>
      <c r="J1885" s="42" t="s">
        <v>532</v>
      </c>
    </row>
    <row r="1886" spans="1:12" s="43" customFormat="1" ht="15" x14ac:dyDescent="0.25">
      <c r="A1886" s="38" t="s">
        <v>524</v>
      </c>
      <c r="B1886" s="39"/>
      <c r="C1886" s="39" t="s">
        <v>524</v>
      </c>
      <c r="D1886" s="40"/>
      <c r="E1886" s="40"/>
      <c r="F1886" s="40"/>
      <c r="G1886" s="41"/>
      <c r="H1886" s="41"/>
      <c r="I1886" s="41"/>
      <c r="J1886" s="42" t="s">
        <v>532</v>
      </c>
    </row>
    <row r="1887" spans="1:12" s="43" customFormat="1" ht="15" x14ac:dyDescent="0.25">
      <c r="A1887" s="38" t="s">
        <v>524</v>
      </c>
      <c r="B1887" s="39"/>
      <c r="C1887" s="39" t="s">
        <v>524</v>
      </c>
      <c r="D1887" s="40"/>
      <c r="E1887" s="40"/>
      <c r="F1887" s="40"/>
      <c r="G1887" s="41"/>
      <c r="H1887" s="41"/>
      <c r="I1887" s="41"/>
      <c r="J1887" s="42" t="s">
        <v>532</v>
      </c>
    </row>
    <row r="1888" spans="1:12" s="43" customFormat="1" ht="15" x14ac:dyDescent="0.25">
      <c r="A1888" s="38" t="s">
        <v>524</v>
      </c>
      <c r="B1888" s="39"/>
      <c r="C1888" s="39" t="s">
        <v>524</v>
      </c>
      <c r="D1888" s="40"/>
      <c r="E1888" s="40"/>
      <c r="F1888" s="40"/>
      <c r="G1888" s="41"/>
      <c r="H1888" s="41"/>
      <c r="I1888" s="41"/>
      <c r="J1888" s="42" t="s">
        <v>532</v>
      </c>
    </row>
    <row r="1889" spans="1:10" s="43" customFormat="1" ht="15" x14ac:dyDescent="0.25">
      <c r="A1889" s="38" t="s">
        <v>524</v>
      </c>
      <c r="B1889" s="39"/>
      <c r="C1889" s="39" t="s">
        <v>524</v>
      </c>
      <c r="D1889" s="40"/>
      <c r="E1889" s="40"/>
      <c r="F1889" s="40"/>
      <c r="G1889" s="41"/>
      <c r="H1889" s="41"/>
      <c r="I1889" s="41"/>
      <c r="J1889" s="42" t="s">
        <v>532</v>
      </c>
    </row>
    <row r="1890" spans="1:10" s="43" customFormat="1" ht="15" x14ac:dyDescent="0.25">
      <c r="A1890" s="38" t="s">
        <v>524</v>
      </c>
      <c r="B1890" s="39"/>
      <c r="C1890" s="39" t="s">
        <v>524</v>
      </c>
      <c r="D1890" s="40"/>
      <c r="E1890" s="40"/>
      <c r="F1890" s="40"/>
      <c r="G1890" s="41"/>
      <c r="H1890" s="41"/>
      <c r="I1890" s="41"/>
      <c r="J1890" s="42" t="s">
        <v>532</v>
      </c>
    </row>
    <row r="1891" spans="1:10" s="43" customFormat="1" ht="15" x14ac:dyDescent="0.25">
      <c r="A1891" s="38" t="s">
        <v>524</v>
      </c>
      <c r="B1891" s="39"/>
      <c r="C1891" s="39" t="s">
        <v>524</v>
      </c>
      <c r="D1891" s="40"/>
      <c r="E1891" s="40"/>
      <c r="F1891" s="40"/>
      <c r="G1891" s="41"/>
      <c r="H1891" s="41"/>
      <c r="I1891" s="41"/>
      <c r="J1891" s="42" t="s">
        <v>532</v>
      </c>
    </row>
    <row r="1892" spans="1:10" s="43" customFormat="1" ht="15" x14ac:dyDescent="0.25">
      <c r="A1892" s="38" t="s">
        <v>524</v>
      </c>
      <c r="B1892" s="39"/>
      <c r="C1892" s="39" t="s">
        <v>524</v>
      </c>
      <c r="D1892" s="40"/>
      <c r="E1892" s="40"/>
      <c r="F1892" s="40"/>
      <c r="G1892" s="41"/>
      <c r="H1892" s="41"/>
      <c r="I1892" s="41"/>
      <c r="J1892" s="42" t="s">
        <v>532</v>
      </c>
    </row>
    <row r="1893" spans="1:10" s="43" customFormat="1" ht="15" x14ac:dyDescent="0.25">
      <c r="A1893" s="38" t="s">
        <v>524</v>
      </c>
      <c r="B1893" s="39"/>
      <c r="C1893" s="39" t="s">
        <v>524</v>
      </c>
      <c r="D1893" s="40"/>
      <c r="E1893" s="40"/>
      <c r="F1893" s="40"/>
      <c r="G1893" s="41"/>
      <c r="H1893" s="41"/>
      <c r="I1893" s="41"/>
      <c r="J1893" s="42" t="s">
        <v>532</v>
      </c>
    </row>
    <row r="1894" spans="1:10" s="43" customFormat="1" ht="15" x14ac:dyDescent="0.25">
      <c r="A1894" s="38" t="s">
        <v>524</v>
      </c>
      <c r="B1894" s="39"/>
      <c r="C1894" s="39" t="s">
        <v>524</v>
      </c>
      <c r="D1894" s="40"/>
      <c r="E1894" s="40"/>
      <c r="F1894" s="40"/>
      <c r="G1894" s="41"/>
      <c r="H1894" s="41"/>
      <c r="I1894" s="41"/>
      <c r="J1894" s="42" t="s">
        <v>532</v>
      </c>
    </row>
    <row r="1895" spans="1:10" s="43" customFormat="1" ht="15" x14ac:dyDescent="0.25">
      <c r="A1895" s="38" t="s">
        <v>524</v>
      </c>
      <c r="B1895" s="39"/>
      <c r="C1895" s="39" t="s">
        <v>524</v>
      </c>
      <c r="D1895" s="40"/>
      <c r="E1895" s="40"/>
      <c r="F1895" s="40"/>
      <c r="G1895" s="41"/>
      <c r="H1895" s="41"/>
      <c r="I1895" s="41"/>
      <c r="J1895" s="42" t="s">
        <v>532</v>
      </c>
    </row>
    <row r="1896" spans="1:10" s="43" customFormat="1" ht="15" x14ac:dyDescent="0.25">
      <c r="A1896" s="38" t="s">
        <v>524</v>
      </c>
      <c r="B1896" s="39"/>
      <c r="C1896" s="39" t="s">
        <v>524</v>
      </c>
      <c r="D1896" s="40"/>
      <c r="E1896" s="40"/>
      <c r="F1896" s="40"/>
      <c r="G1896" s="41"/>
      <c r="H1896" s="41"/>
      <c r="I1896" s="41"/>
      <c r="J1896" s="42" t="s">
        <v>532</v>
      </c>
    </row>
    <row r="1897" spans="1:10" s="43" customFormat="1" ht="15" x14ac:dyDescent="0.25">
      <c r="A1897" s="38" t="s">
        <v>524</v>
      </c>
      <c r="B1897" s="39"/>
      <c r="C1897" s="39" t="s">
        <v>524</v>
      </c>
      <c r="D1897" s="40"/>
      <c r="E1897" s="40"/>
      <c r="F1897" s="40"/>
      <c r="G1897" s="41"/>
      <c r="H1897" s="41"/>
      <c r="I1897" s="41"/>
      <c r="J1897" s="42" t="s">
        <v>532</v>
      </c>
    </row>
    <row r="1898" spans="1:10" s="43" customFormat="1" ht="15" x14ac:dyDescent="0.25">
      <c r="A1898" s="38" t="s">
        <v>524</v>
      </c>
      <c r="B1898" s="39"/>
      <c r="C1898" s="39" t="s">
        <v>524</v>
      </c>
      <c r="D1898" s="40"/>
      <c r="E1898" s="40"/>
      <c r="F1898" s="40"/>
      <c r="G1898" s="41"/>
      <c r="H1898" s="41"/>
      <c r="I1898" s="41"/>
      <c r="J1898" s="42" t="s">
        <v>532</v>
      </c>
    </row>
    <row r="1899" spans="1:10" s="43" customFormat="1" ht="15" x14ac:dyDescent="0.25">
      <c r="A1899" s="38" t="s">
        <v>524</v>
      </c>
      <c r="B1899" s="39"/>
      <c r="C1899" s="39" t="s">
        <v>524</v>
      </c>
      <c r="D1899" s="40"/>
      <c r="E1899" s="40"/>
      <c r="F1899" s="40"/>
      <c r="G1899" s="41"/>
      <c r="H1899" s="41"/>
      <c r="I1899" s="41"/>
      <c r="J1899" s="42" t="s">
        <v>532</v>
      </c>
    </row>
    <row r="1900" spans="1:10" s="43" customFormat="1" ht="15" x14ac:dyDescent="0.25">
      <c r="A1900" s="38" t="s">
        <v>524</v>
      </c>
      <c r="B1900" s="39"/>
      <c r="C1900" s="39" t="s">
        <v>524</v>
      </c>
      <c r="D1900" s="40"/>
      <c r="E1900" s="40"/>
      <c r="F1900" s="40"/>
      <c r="G1900" s="41"/>
      <c r="H1900" s="41"/>
      <c r="I1900" s="41"/>
      <c r="J1900" s="42" t="s">
        <v>532</v>
      </c>
    </row>
    <row r="1901" spans="1:10" s="43" customFormat="1" ht="15" x14ac:dyDescent="0.25">
      <c r="A1901" s="38" t="s">
        <v>524</v>
      </c>
      <c r="B1901" s="39"/>
      <c r="C1901" s="39" t="s">
        <v>524</v>
      </c>
      <c r="D1901" s="40"/>
      <c r="E1901" s="40"/>
      <c r="F1901" s="40"/>
      <c r="G1901" s="41"/>
      <c r="H1901" s="41"/>
      <c r="I1901" s="41"/>
      <c r="J1901" s="42" t="s">
        <v>532</v>
      </c>
    </row>
    <row r="1902" spans="1:10" s="43" customFormat="1" ht="15" x14ac:dyDescent="0.25">
      <c r="A1902" s="38" t="s">
        <v>524</v>
      </c>
      <c r="B1902" s="39"/>
      <c r="C1902" s="39" t="s">
        <v>524</v>
      </c>
      <c r="D1902" s="40"/>
      <c r="E1902" s="40"/>
      <c r="F1902" s="40"/>
      <c r="G1902" s="41"/>
      <c r="H1902" s="41"/>
      <c r="I1902" s="41"/>
      <c r="J1902" s="42" t="s">
        <v>532</v>
      </c>
    </row>
    <row r="1903" spans="1:10" s="43" customFormat="1" ht="15" x14ac:dyDescent="0.25">
      <c r="A1903" s="38" t="s">
        <v>524</v>
      </c>
      <c r="B1903" s="39"/>
      <c r="C1903" s="39" t="s">
        <v>524</v>
      </c>
      <c r="D1903" s="40"/>
      <c r="E1903" s="40"/>
      <c r="F1903" s="40"/>
      <c r="G1903" s="41"/>
      <c r="H1903" s="41"/>
      <c r="I1903" s="41"/>
      <c r="J1903" s="42" t="s">
        <v>532</v>
      </c>
    </row>
    <row r="1904" spans="1:10" s="43" customFormat="1" ht="15" x14ac:dyDescent="0.25">
      <c r="A1904" s="38" t="s">
        <v>524</v>
      </c>
      <c r="B1904" s="39"/>
      <c r="C1904" s="39" t="s">
        <v>524</v>
      </c>
      <c r="D1904" s="40"/>
      <c r="E1904" s="40"/>
      <c r="F1904" s="40"/>
      <c r="G1904" s="41"/>
      <c r="H1904" s="41"/>
      <c r="I1904" s="41"/>
      <c r="J1904" s="42" t="s">
        <v>532</v>
      </c>
    </row>
    <row r="1905" spans="1:10" s="43" customFormat="1" ht="15" x14ac:dyDescent="0.25">
      <c r="A1905" s="38" t="s">
        <v>524</v>
      </c>
      <c r="B1905" s="39"/>
      <c r="C1905" s="39" t="s">
        <v>524</v>
      </c>
      <c r="D1905" s="40"/>
      <c r="E1905" s="40"/>
      <c r="F1905" s="40"/>
      <c r="G1905" s="41"/>
      <c r="H1905" s="41"/>
      <c r="I1905" s="41"/>
      <c r="J1905" s="42" t="s">
        <v>532</v>
      </c>
    </row>
    <row r="1906" spans="1:10" s="43" customFormat="1" ht="15" x14ac:dyDescent="0.25">
      <c r="A1906" s="38" t="s">
        <v>524</v>
      </c>
      <c r="B1906" s="39"/>
      <c r="C1906" s="39" t="s">
        <v>524</v>
      </c>
      <c r="D1906" s="40"/>
      <c r="E1906" s="40"/>
      <c r="F1906" s="40"/>
      <c r="G1906" s="41"/>
      <c r="H1906" s="41"/>
      <c r="I1906" s="41"/>
      <c r="J1906" s="42" t="s">
        <v>532</v>
      </c>
    </row>
    <row r="1907" spans="1:10" s="43" customFormat="1" ht="15" x14ac:dyDescent="0.25">
      <c r="A1907" s="38" t="s">
        <v>524</v>
      </c>
      <c r="B1907" s="39"/>
      <c r="C1907" s="39" t="s">
        <v>524</v>
      </c>
      <c r="D1907" s="40"/>
      <c r="E1907" s="40"/>
      <c r="F1907" s="40"/>
      <c r="G1907" s="41"/>
      <c r="H1907" s="41"/>
      <c r="I1907" s="41"/>
      <c r="J1907" s="42" t="s">
        <v>532</v>
      </c>
    </row>
    <row r="1908" spans="1:10" s="43" customFormat="1" ht="15" x14ac:dyDescent="0.25">
      <c r="A1908" s="38" t="s">
        <v>524</v>
      </c>
      <c r="B1908" s="39"/>
      <c r="C1908" s="39" t="s">
        <v>524</v>
      </c>
      <c r="D1908" s="40"/>
      <c r="E1908" s="40"/>
      <c r="F1908" s="40"/>
      <c r="G1908" s="41"/>
      <c r="H1908" s="41"/>
      <c r="I1908" s="41"/>
      <c r="J1908" s="42" t="s">
        <v>532</v>
      </c>
    </row>
    <row r="1909" spans="1:10" s="43" customFormat="1" ht="15" x14ac:dyDescent="0.25">
      <c r="A1909" s="38" t="s">
        <v>524</v>
      </c>
      <c r="B1909" s="39"/>
      <c r="C1909" s="39" t="s">
        <v>524</v>
      </c>
      <c r="D1909" s="40"/>
      <c r="E1909" s="40"/>
      <c r="F1909" s="40"/>
      <c r="G1909" s="41"/>
      <c r="H1909" s="41"/>
      <c r="I1909" s="41"/>
      <c r="J1909" s="42" t="s">
        <v>532</v>
      </c>
    </row>
    <row r="1910" spans="1:10" s="43" customFormat="1" ht="15" x14ac:dyDescent="0.25">
      <c r="A1910" s="38" t="s">
        <v>524</v>
      </c>
      <c r="B1910" s="39"/>
      <c r="C1910" s="39" t="s">
        <v>524</v>
      </c>
      <c r="D1910" s="40"/>
      <c r="E1910" s="40"/>
      <c r="F1910" s="40"/>
      <c r="G1910" s="41"/>
      <c r="H1910" s="41"/>
      <c r="I1910" s="41"/>
      <c r="J1910" s="42" t="s">
        <v>532</v>
      </c>
    </row>
    <row r="1911" spans="1:10" s="43" customFormat="1" ht="15" x14ac:dyDescent="0.25">
      <c r="A1911" s="38" t="s">
        <v>524</v>
      </c>
      <c r="B1911" s="39"/>
      <c r="C1911" s="39" t="s">
        <v>524</v>
      </c>
      <c r="D1911" s="40"/>
      <c r="E1911" s="40"/>
      <c r="F1911" s="40"/>
      <c r="G1911" s="41"/>
      <c r="H1911" s="41"/>
      <c r="I1911" s="41"/>
      <c r="J1911" s="42" t="s">
        <v>532</v>
      </c>
    </row>
    <row r="1912" spans="1:10" s="43" customFormat="1" ht="15" x14ac:dyDescent="0.25">
      <c r="A1912" s="38" t="s">
        <v>524</v>
      </c>
      <c r="B1912" s="39"/>
      <c r="C1912" s="39" t="s">
        <v>524</v>
      </c>
      <c r="D1912" s="40"/>
      <c r="E1912" s="40"/>
      <c r="F1912" s="40"/>
      <c r="G1912" s="41"/>
      <c r="H1912" s="41"/>
      <c r="I1912" s="41"/>
      <c r="J1912" s="42" t="s">
        <v>532</v>
      </c>
    </row>
    <row r="1913" spans="1:10" s="43" customFormat="1" ht="15" x14ac:dyDescent="0.25">
      <c r="A1913" s="38" t="s">
        <v>524</v>
      </c>
      <c r="B1913" s="39"/>
      <c r="C1913" s="39" t="s">
        <v>524</v>
      </c>
      <c r="D1913" s="40"/>
      <c r="E1913" s="40"/>
      <c r="F1913" s="40"/>
      <c r="G1913" s="41"/>
      <c r="H1913" s="41"/>
      <c r="I1913" s="41"/>
      <c r="J1913" s="42" t="s">
        <v>532</v>
      </c>
    </row>
    <row r="1914" spans="1:10" s="43" customFormat="1" ht="15" x14ac:dyDescent="0.25">
      <c r="A1914" s="38" t="s">
        <v>524</v>
      </c>
      <c r="B1914" s="39"/>
      <c r="C1914" s="39" t="s">
        <v>524</v>
      </c>
      <c r="D1914" s="40"/>
      <c r="E1914" s="40"/>
      <c r="F1914" s="40"/>
      <c r="G1914" s="41"/>
      <c r="H1914" s="41"/>
      <c r="I1914" s="41"/>
      <c r="J1914" s="42" t="s">
        <v>532</v>
      </c>
    </row>
    <row r="1915" spans="1:10" s="43" customFormat="1" ht="15" x14ac:dyDescent="0.25">
      <c r="A1915" s="38" t="s">
        <v>524</v>
      </c>
      <c r="B1915" s="39"/>
      <c r="C1915" s="39" t="s">
        <v>524</v>
      </c>
      <c r="D1915" s="40"/>
      <c r="E1915" s="40"/>
      <c r="F1915" s="40"/>
      <c r="G1915" s="41"/>
      <c r="H1915" s="41"/>
      <c r="I1915" s="41"/>
      <c r="J1915" s="42" t="s">
        <v>532</v>
      </c>
    </row>
    <row r="1916" spans="1:10" s="43" customFormat="1" ht="15" x14ac:dyDescent="0.25">
      <c r="A1916" s="38" t="s">
        <v>524</v>
      </c>
      <c r="B1916" s="39"/>
      <c r="C1916" s="39" t="s">
        <v>524</v>
      </c>
      <c r="D1916" s="40"/>
      <c r="E1916" s="40"/>
      <c r="F1916" s="40"/>
      <c r="G1916" s="41"/>
      <c r="H1916" s="41"/>
      <c r="I1916" s="41"/>
      <c r="J1916" s="42" t="s">
        <v>532</v>
      </c>
    </row>
    <row r="1917" spans="1:10" s="43" customFormat="1" ht="15" x14ac:dyDescent="0.25">
      <c r="A1917" s="38" t="s">
        <v>524</v>
      </c>
      <c r="B1917" s="39"/>
      <c r="C1917" s="39" t="s">
        <v>524</v>
      </c>
      <c r="D1917" s="40"/>
      <c r="E1917" s="40"/>
      <c r="F1917" s="40"/>
      <c r="G1917" s="41"/>
      <c r="H1917" s="41"/>
      <c r="I1917" s="41"/>
      <c r="J1917" s="42" t="s">
        <v>532</v>
      </c>
    </row>
    <row r="1918" spans="1:10" s="43" customFormat="1" ht="15" x14ac:dyDescent="0.25">
      <c r="A1918" s="38" t="s">
        <v>524</v>
      </c>
      <c r="B1918" s="39"/>
      <c r="C1918" s="39" t="s">
        <v>524</v>
      </c>
      <c r="D1918" s="40"/>
      <c r="E1918" s="40"/>
      <c r="F1918" s="40"/>
      <c r="G1918" s="41"/>
      <c r="H1918" s="41"/>
      <c r="I1918" s="41"/>
      <c r="J1918" s="42" t="s">
        <v>532</v>
      </c>
    </row>
    <row r="1919" spans="1:10" s="43" customFormat="1" ht="15" x14ac:dyDescent="0.25">
      <c r="A1919" s="38" t="s">
        <v>524</v>
      </c>
      <c r="B1919" s="39"/>
      <c r="C1919" s="39" t="s">
        <v>524</v>
      </c>
      <c r="D1919" s="40"/>
      <c r="E1919" s="40"/>
      <c r="F1919" s="40"/>
      <c r="G1919" s="41"/>
      <c r="H1919" s="41"/>
      <c r="I1919" s="41"/>
      <c r="J1919" s="42" t="s">
        <v>532</v>
      </c>
    </row>
    <row r="1920" spans="1:10" s="43" customFormat="1" ht="15" x14ac:dyDescent="0.25">
      <c r="A1920" s="38" t="s">
        <v>524</v>
      </c>
      <c r="B1920" s="39"/>
      <c r="C1920" s="39" t="s">
        <v>524</v>
      </c>
      <c r="D1920" s="40"/>
      <c r="E1920" s="40"/>
      <c r="F1920" s="40"/>
      <c r="G1920" s="41"/>
      <c r="H1920" s="41"/>
      <c r="I1920" s="41"/>
      <c r="J1920" s="42" t="s">
        <v>532</v>
      </c>
    </row>
    <row r="1921" spans="1:10" s="43" customFormat="1" ht="15" x14ac:dyDescent="0.25">
      <c r="A1921" s="38" t="s">
        <v>524</v>
      </c>
      <c r="B1921" s="39"/>
      <c r="C1921" s="39" t="s">
        <v>524</v>
      </c>
      <c r="D1921" s="40"/>
      <c r="E1921" s="40"/>
      <c r="F1921" s="40"/>
      <c r="G1921" s="41"/>
      <c r="H1921" s="41"/>
      <c r="I1921" s="41"/>
      <c r="J1921" s="42" t="s">
        <v>532</v>
      </c>
    </row>
    <row r="1922" spans="1:10" s="43" customFormat="1" ht="15" x14ac:dyDescent="0.25">
      <c r="A1922" s="38" t="s">
        <v>524</v>
      </c>
      <c r="B1922" s="39"/>
      <c r="C1922" s="39" t="s">
        <v>524</v>
      </c>
      <c r="D1922" s="40"/>
      <c r="E1922" s="40"/>
      <c r="F1922" s="40"/>
      <c r="G1922" s="41"/>
      <c r="H1922" s="41"/>
      <c r="I1922" s="41"/>
      <c r="J1922" s="42" t="s">
        <v>532</v>
      </c>
    </row>
    <row r="1923" spans="1:10" s="43" customFormat="1" ht="15" x14ac:dyDescent="0.25">
      <c r="A1923" s="38" t="s">
        <v>524</v>
      </c>
      <c r="B1923" s="39"/>
      <c r="C1923" s="39" t="s">
        <v>524</v>
      </c>
      <c r="D1923" s="40"/>
      <c r="E1923" s="40"/>
      <c r="F1923" s="40"/>
      <c r="G1923" s="41"/>
      <c r="H1923" s="41"/>
      <c r="I1923" s="41"/>
      <c r="J1923" s="42" t="s">
        <v>532</v>
      </c>
    </row>
    <row r="1924" spans="1:10" s="43" customFormat="1" ht="15" x14ac:dyDescent="0.25">
      <c r="A1924" s="38" t="s">
        <v>524</v>
      </c>
      <c r="B1924" s="39"/>
      <c r="C1924" s="39" t="s">
        <v>524</v>
      </c>
      <c r="D1924" s="40"/>
      <c r="E1924" s="40"/>
      <c r="F1924" s="40"/>
      <c r="G1924" s="41"/>
      <c r="H1924" s="41"/>
      <c r="I1924" s="41"/>
      <c r="J1924" s="42" t="s">
        <v>532</v>
      </c>
    </row>
    <row r="1925" spans="1:10" s="43" customFormat="1" ht="15" x14ac:dyDescent="0.25">
      <c r="A1925" s="38" t="s">
        <v>524</v>
      </c>
      <c r="B1925" s="39"/>
      <c r="C1925" s="39" t="s">
        <v>524</v>
      </c>
      <c r="D1925" s="40"/>
      <c r="E1925" s="40"/>
      <c r="F1925" s="40"/>
      <c r="G1925" s="41"/>
      <c r="H1925" s="41"/>
      <c r="I1925" s="41"/>
      <c r="J1925" s="42" t="s">
        <v>532</v>
      </c>
    </row>
    <row r="1926" spans="1:10" s="43" customFormat="1" ht="15" x14ac:dyDescent="0.25">
      <c r="A1926" s="38" t="s">
        <v>524</v>
      </c>
      <c r="B1926" s="39"/>
      <c r="C1926" s="39" t="s">
        <v>524</v>
      </c>
      <c r="D1926" s="40"/>
      <c r="E1926" s="40"/>
      <c r="F1926" s="40"/>
      <c r="G1926" s="41"/>
      <c r="H1926" s="41"/>
      <c r="I1926" s="41"/>
      <c r="J1926" s="42" t="s">
        <v>532</v>
      </c>
    </row>
    <row r="1927" spans="1:10" s="43" customFormat="1" ht="15" x14ac:dyDescent="0.25">
      <c r="A1927" s="38" t="s">
        <v>524</v>
      </c>
      <c r="B1927" s="39"/>
      <c r="C1927" s="39" t="s">
        <v>524</v>
      </c>
      <c r="D1927" s="40"/>
      <c r="E1927" s="40"/>
      <c r="F1927" s="40"/>
      <c r="G1927" s="41"/>
      <c r="H1927" s="41"/>
      <c r="I1927" s="41"/>
      <c r="J1927" s="42" t="s">
        <v>532</v>
      </c>
    </row>
    <row r="1928" spans="1:10" s="43" customFormat="1" ht="15" x14ac:dyDescent="0.25">
      <c r="A1928" s="38" t="s">
        <v>524</v>
      </c>
      <c r="B1928" s="39"/>
      <c r="C1928" s="39" t="s">
        <v>524</v>
      </c>
      <c r="D1928" s="40"/>
      <c r="E1928" s="40"/>
      <c r="F1928" s="40"/>
      <c r="G1928" s="41"/>
      <c r="H1928" s="41"/>
      <c r="I1928" s="41"/>
      <c r="J1928" s="42" t="s">
        <v>532</v>
      </c>
    </row>
    <row r="1929" spans="1:10" s="43" customFormat="1" ht="15" x14ac:dyDescent="0.25">
      <c r="A1929" s="38" t="s">
        <v>524</v>
      </c>
      <c r="B1929" s="39"/>
      <c r="C1929" s="39" t="s">
        <v>524</v>
      </c>
      <c r="D1929" s="40"/>
      <c r="E1929" s="40"/>
      <c r="F1929" s="40"/>
      <c r="G1929" s="41"/>
      <c r="H1929" s="41"/>
      <c r="I1929" s="41"/>
      <c r="J1929" s="42" t="s">
        <v>532</v>
      </c>
    </row>
    <row r="1930" spans="1:10" s="43" customFormat="1" ht="15" x14ac:dyDescent="0.25">
      <c r="A1930" s="38" t="s">
        <v>524</v>
      </c>
      <c r="B1930" s="39"/>
      <c r="C1930" s="39" t="s">
        <v>524</v>
      </c>
      <c r="D1930" s="40"/>
      <c r="E1930" s="40"/>
      <c r="F1930" s="40"/>
      <c r="G1930" s="41"/>
      <c r="H1930" s="41"/>
      <c r="I1930" s="41"/>
      <c r="J1930" s="42" t="s">
        <v>532</v>
      </c>
    </row>
    <row r="1931" spans="1:10" s="43" customFormat="1" ht="15" x14ac:dyDescent="0.25">
      <c r="A1931" s="38" t="s">
        <v>524</v>
      </c>
      <c r="B1931" s="39"/>
      <c r="C1931" s="39" t="s">
        <v>524</v>
      </c>
      <c r="D1931" s="40"/>
      <c r="E1931" s="40"/>
      <c r="F1931" s="40"/>
      <c r="G1931" s="41"/>
      <c r="H1931" s="41"/>
      <c r="I1931" s="41"/>
      <c r="J1931" s="42" t="s">
        <v>532</v>
      </c>
    </row>
    <row r="1932" spans="1:10" s="43" customFormat="1" ht="15" x14ac:dyDescent="0.25">
      <c r="A1932" s="38" t="s">
        <v>524</v>
      </c>
      <c r="B1932" s="39"/>
      <c r="C1932" s="39" t="s">
        <v>524</v>
      </c>
      <c r="D1932" s="40"/>
      <c r="E1932" s="40"/>
      <c r="F1932" s="40"/>
      <c r="G1932" s="41"/>
      <c r="H1932" s="41"/>
      <c r="I1932" s="41"/>
      <c r="J1932" s="42" t="s">
        <v>532</v>
      </c>
    </row>
    <row r="1933" spans="1:10" s="43" customFormat="1" ht="15" x14ac:dyDescent="0.25">
      <c r="A1933" s="38" t="s">
        <v>524</v>
      </c>
      <c r="B1933" s="39"/>
      <c r="C1933" s="39" t="s">
        <v>524</v>
      </c>
      <c r="D1933" s="40"/>
      <c r="E1933" s="40"/>
      <c r="F1933" s="40"/>
      <c r="G1933" s="41"/>
      <c r="H1933" s="41"/>
      <c r="I1933" s="41"/>
      <c r="J1933" s="42" t="s">
        <v>532</v>
      </c>
    </row>
    <row r="1934" spans="1:10" s="43" customFormat="1" ht="15" x14ac:dyDescent="0.25">
      <c r="A1934" s="38" t="s">
        <v>524</v>
      </c>
      <c r="B1934" s="39"/>
      <c r="C1934" s="39" t="s">
        <v>524</v>
      </c>
      <c r="D1934" s="40"/>
      <c r="E1934" s="40"/>
      <c r="F1934" s="40"/>
      <c r="G1934" s="41"/>
      <c r="H1934" s="41"/>
      <c r="I1934" s="41"/>
      <c r="J1934" s="42" t="s">
        <v>532</v>
      </c>
    </row>
    <row r="1935" spans="1:10" s="43" customFormat="1" ht="15" x14ac:dyDescent="0.25">
      <c r="A1935" s="38" t="s">
        <v>524</v>
      </c>
      <c r="B1935" s="39"/>
      <c r="C1935" s="39" t="s">
        <v>524</v>
      </c>
      <c r="D1935" s="40"/>
      <c r="E1935" s="40"/>
      <c r="F1935" s="40"/>
      <c r="G1935" s="41"/>
      <c r="H1935" s="41"/>
      <c r="I1935" s="41"/>
      <c r="J1935" s="42" t="s">
        <v>532</v>
      </c>
    </row>
    <row r="1936" spans="1:10" s="43" customFormat="1" ht="15" x14ac:dyDescent="0.25">
      <c r="A1936" s="38" t="s">
        <v>524</v>
      </c>
      <c r="B1936" s="39"/>
      <c r="C1936" s="39" t="s">
        <v>524</v>
      </c>
      <c r="D1936" s="40"/>
      <c r="E1936" s="40"/>
      <c r="F1936" s="40"/>
      <c r="G1936" s="41"/>
      <c r="H1936" s="41"/>
      <c r="I1936" s="41"/>
      <c r="J1936" s="42" t="s">
        <v>532</v>
      </c>
    </row>
    <row r="1937" spans="1:10" s="43" customFormat="1" ht="15" x14ac:dyDescent="0.25">
      <c r="A1937" s="38" t="s">
        <v>524</v>
      </c>
      <c r="B1937" s="39"/>
      <c r="C1937" s="39" t="s">
        <v>524</v>
      </c>
      <c r="D1937" s="40"/>
      <c r="E1937" s="40"/>
      <c r="F1937" s="40"/>
      <c r="G1937" s="41"/>
      <c r="H1937" s="41"/>
      <c r="I1937" s="41"/>
      <c r="J1937" s="42" t="s">
        <v>532</v>
      </c>
    </row>
    <row r="1938" spans="1:10" s="43" customFormat="1" ht="15" x14ac:dyDescent="0.25">
      <c r="A1938" s="38" t="s">
        <v>524</v>
      </c>
      <c r="B1938" s="39"/>
      <c r="C1938" s="39" t="s">
        <v>524</v>
      </c>
      <c r="D1938" s="40"/>
      <c r="E1938" s="40"/>
      <c r="F1938" s="40"/>
      <c r="G1938" s="41"/>
      <c r="H1938" s="41"/>
      <c r="I1938" s="41"/>
      <c r="J1938" s="42" t="s">
        <v>532</v>
      </c>
    </row>
    <row r="1939" spans="1:10" s="43" customFormat="1" ht="15" x14ac:dyDescent="0.25">
      <c r="A1939" s="38" t="s">
        <v>524</v>
      </c>
      <c r="B1939" s="39"/>
      <c r="C1939" s="39" t="s">
        <v>524</v>
      </c>
      <c r="D1939" s="40"/>
      <c r="E1939" s="40"/>
      <c r="F1939" s="40"/>
      <c r="G1939" s="41"/>
      <c r="H1939" s="41"/>
      <c r="I1939" s="41"/>
      <c r="J1939" s="42" t="s">
        <v>532</v>
      </c>
    </row>
    <row r="1940" spans="1:10" s="43" customFormat="1" ht="15" x14ac:dyDescent="0.25">
      <c r="A1940" s="38" t="s">
        <v>524</v>
      </c>
      <c r="B1940" s="39"/>
      <c r="C1940" s="39" t="s">
        <v>524</v>
      </c>
      <c r="D1940" s="40"/>
      <c r="E1940" s="40"/>
      <c r="F1940" s="40"/>
      <c r="G1940" s="41"/>
      <c r="H1940" s="41"/>
      <c r="I1940" s="41"/>
      <c r="J1940" s="42" t="s">
        <v>532</v>
      </c>
    </row>
    <row r="1941" spans="1:10" s="43" customFormat="1" ht="15" x14ac:dyDescent="0.25">
      <c r="A1941" s="38" t="s">
        <v>524</v>
      </c>
      <c r="B1941" s="39"/>
      <c r="C1941" s="39" t="s">
        <v>524</v>
      </c>
      <c r="D1941" s="40"/>
      <c r="E1941" s="40"/>
      <c r="F1941" s="40"/>
      <c r="G1941" s="41"/>
      <c r="H1941" s="41"/>
      <c r="I1941" s="41"/>
      <c r="J1941" s="42" t="s">
        <v>532</v>
      </c>
    </row>
    <row r="1942" spans="1:10" s="43" customFormat="1" ht="15" x14ac:dyDescent="0.25">
      <c r="A1942" s="38" t="s">
        <v>524</v>
      </c>
      <c r="B1942" s="39"/>
      <c r="C1942" s="39" t="s">
        <v>524</v>
      </c>
      <c r="D1942" s="40"/>
      <c r="E1942" s="40"/>
      <c r="F1942" s="40"/>
      <c r="G1942" s="41"/>
      <c r="H1942" s="41"/>
      <c r="I1942" s="41"/>
      <c r="J1942" s="42" t="s">
        <v>532</v>
      </c>
    </row>
    <row r="1943" spans="1:10" s="43" customFormat="1" ht="15" x14ac:dyDescent="0.25">
      <c r="A1943" s="38" t="s">
        <v>524</v>
      </c>
      <c r="B1943" s="39"/>
      <c r="C1943" s="39" t="s">
        <v>524</v>
      </c>
      <c r="D1943" s="40"/>
      <c r="E1943" s="40"/>
      <c r="F1943" s="40"/>
      <c r="G1943" s="41"/>
      <c r="H1943" s="41"/>
      <c r="I1943" s="41"/>
      <c r="J1943" s="42" t="s">
        <v>532</v>
      </c>
    </row>
    <row r="1944" spans="1:10" s="43" customFormat="1" ht="15" x14ac:dyDescent="0.25">
      <c r="A1944" s="38" t="s">
        <v>524</v>
      </c>
      <c r="B1944" s="39"/>
      <c r="C1944" s="39" t="s">
        <v>524</v>
      </c>
      <c r="D1944" s="40"/>
      <c r="E1944" s="40"/>
      <c r="F1944" s="40"/>
      <c r="G1944" s="41"/>
      <c r="H1944" s="41"/>
      <c r="I1944" s="41"/>
      <c r="J1944" s="42" t="s">
        <v>532</v>
      </c>
    </row>
    <row r="1945" spans="1:10" s="43" customFormat="1" ht="15" x14ac:dyDescent="0.25">
      <c r="A1945" s="38" t="s">
        <v>524</v>
      </c>
      <c r="B1945" s="39"/>
      <c r="C1945" s="39" t="s">
        <v>524</v>
      </c>
      <c r="D1945" s="40"/>
      <c r="E1945" s="40"/>
      <c r="F1945" s="40"/>
      <c r="G1945" s="41"/>
      <c r="H1945" s="41"/>
      <c r="I1945" s="41"/>
      <c r="J1945" s="42" t="s">
        <v>532</v>
      </c>
    </row>
    <row r="1946" spans="1:10" s="43" customFormat="1" ht="15" x14ac:dyDescent="0.25">
      <c r="A1946" s="38" t="s">
        <v>524</v>
      </c>
      <c r="B1946" s="39"/>
      <c r="C1946" s="39" t="s">
        <v>524</v>
      </c>
      <c r="D1946" s="40"/>
      <c r="E1946" s="40"/>
      <c r="F1946" s="40"/>
      <c r="G1946" s="41"/>
      <c r="H1946" s="41"/>
      <c r="I1946" s="41"/>
      <c r="J1946" s="42" t="s">
        <v>532</v>
      </c>
    </row>
    <row r="1947" spans="1:10" s="43" customFormat="1" ht="15" x14ac:dyDescent="0.25">
      <c r="A1947" s="38" t="s">
        <v>524</v>
      </c>
      <c r="B1947" s="39"/>
      <c r="C1947" s="39" t="s">
        <v>524</v>
      </c>
      <c r="D1947" s="40"/>
      <c r="E1947" s="40"/>
      <c r="F1947" s="40"/>
      <c r="G1947" s="41"/>
      <c r="H1947" s="41"/>
      <c r="I1947" s="41"/>
      <c r="J1947" s="42" t="s">
        <v>532</v>
      </c>
    </row>
    <row r="1948" spans="1:10" s="43" customFormat="1" ht="15" x14ac:dyDescent="0.25">
      <c r="A1948" s="38" t="s">
        <v>524</v>
      </c>
      <c r="B1948" s="39"/>
      <c r="C1948" s="39" t="s">
        <v>524</v>
      </c>
      <c r="D1948" s="40"/>
      <c r="E1948" s="40"/>
      <c r="F1948" s="40"/>
      <c r="G1948" s="41"/>
      <c r="H1948" s="41"/>
      <c r="I1948" s="41"/>
      <c r="J1948" s="42" t="s">
        <v>532</v>
      </c>
    </row>
    <row r="1949" spans="1:10" s="43" customFormat="1" ht="15" x14ac:dyDescent="0.25">
      <c r="A1949" s="38" t="s">
        <v>524</v>
      </c>
      <c r="B1949" s="39"/>
      <c r="C1949" s="39" t="s">
        <v>524</v>
      </c>
      <c r="D1949" s="40"/>
      <c r="E1949" s="40"/>
      <c r="F1949" s="40"/>
      <c r="G1949" s="41"/>
      <c r="H1949" s="41"/>
      <c r="I1949" s="41"/>
      <c r="J1949" s="42" t="s">
        <v>532</v>
      </c>
    </row>
    <row r="1950" spans="1:10" s="43" customFormat="1" ht="15" x14ac:dyDescent="0.25">
      <c r="A1950" s="38" t="s">
        <v>524</v>
      </c>
      <c r="B1950" s="39"/>
      <c r="C1950" s="39" t="s">
        <v>524</v>
      </c>
      <c r="D1950" s="40"/>
      <c r="E1950" s="40"/>
      <c r="F1950" s="40"/>
      <c r="G1950" s="41"/>
      <c r="H1950" s="41"/>
      <c r="I1950" s="41"/>
      <c r="J1950" s="42" t="s">
        <v>532</v>
      </c>
    </row>
    <row r="1951" spans="1:10" s="43" customFormat="1" ht="15" x14ac:dyDescent="0.25">
      <c r="A1951" s="38" t="s">
        <v>524</v>
      </c>
      <c r="B1951" s="39"/>
      <c r="C1951" s="39" t="s">
        <v>524</v>
      </c>
      <c r="D1951" s="40"/>
      <c r="E1951" s="40"/>
      <c r="F1951" s="40"/>
      <c r="G1951" s="41"/>
      <c r="H1951" s="41"/>
      <c r="I1951" s="41"/>
      <c r="J1951" s="42" t="s">
        <v>532</v>
      </c>
    </row>
    <row r="1952" spans="1:10" s="43" customFormat="1" ht="15" x14ac:dyDescent="0.25">
      <c r="A1952" s="38" t="s">
        <v>524</v>
      </c>
      <c r="B1952" s="39"/>
      <c r="C1952" s="39" t="s">
        <v>524</v>
      </c>
      <c r="D1952" s="40"/>
      <c r="E1952" s="40"/>
      <c r="F1952" s="40"/>
      <c r="G1952" s="41"/>
      <c r="H1952" s="41"/>
      <c r="I1952" s="41"/>
      <c r="J1952" s="42" t="s">
        <v>532</v>
      </c>
    </row>
    <row r="1953" spans="1:10" s="43" customFormat="1" ht="15" x14ac:dyDescent="0.25">
      <c r="A1953" s="38" t="s">
        <v>524</v>
      </c>
      <c r="B1953" s="39"/>
      <c r="C1953" s="39" t="s">
        <v>524</v>
      </c>
      <c r="D1953" s="40"/>
      <c r="E1953" s="40"/>
      <c r="F1953" s="40"/>
      <c r="G1953" s="41"/>
      <c r="H1953" s="41"/>
      <c r="I1953" s="41"/>
      <c r="J1953" s="42" t="s">
        <v>532</v>
      </c>
    </row>
    <row r="1954" spans="1:10" s="43" customFormat="1" ht="15" x14ac:dyDescent="0.25">
      <c r="A1954" s="38" t="s">
        <v>524</v>
      </c>
      <c r="B1954" s="39"/>
      <c r="C1954" s="39" t="s">
        <v>524</v>
      </c>
      <c r="D1954" s="40"/>
      <c r="E1954" s="40"/>
      <c r="F1954" s="40"/>
      <c r="G1954" s="41"/>
      <c r="H1954" s="41"/>
      <c r="I1954" s="41"/>
      <c r="J1954" s="42" t="s">
        <v>532</v>
      </c>
    </row>
    <row r="1955" spans="1:10" s="43" customFormat="1" ht="15" x14ac:dyDescent="0.25">
      <c r="A1955" s="38" t="s">
        <v>524</v>
      </c>
      <c r="B1955" s="39"/>
      <c r="C1955" s="39" t="s">
        <v>524</v>
      </c>
      <c r="D1955" s="40"/>
      <c r="E1955" s="40"/>
      <c r="F1955" s="40"/>
      <c r="G1955" s="41"/>
      <c r="H1955" s="41"/>
      <c r="I1955" s="41"/>
      <c r="J1955" s="42" t="s">
        <v>532</v>
      </c>
    </row>
    <row r="1956" spans="1:10" s="43" customFormat="1" ht="15" x14ac:dyDescent="0.25">
      <c r="A1956" s="38" t="s">
        <v>524</v>
      </c>
      <c r="B1956" s="39"/>
      <c r="C1956" s="39" t="s">
        <v>524</v>
      </c>
      <c r="D1956" s="40"/>
      <c r="E1956" s="40"/>
      <c r="F1956" s="40"/>
      <c r="G1956" s="41"/>
      <c r="H1956" s="41"/>
      <c r="I1956" s="41"/>
      <c r="J1956" s="42" t="s">
        <v>532</v>
      </c>
    </row>
    <row r="1957" spans="1:10" s="43" customFormat="1" ht="15" x14ac:dyDescent="0.25">
      <c r="A1957" s="38" t="s">
        <v>524</v>
      </c>
      <c r="B1957" s="39"/>
      <c r="C1957" s="39" t="s">
        <v>524</v>
      </c>
      <c r="D1957" s="40"/>
      <c r="E1957" s="40"/>
      <c r="F1957" s="40"/>
      <c r="G1957" s="41"/>
      <c r="H1957" s="41"/>
      <c r="I1957" s="41"/>
      <c r="J1957" s="42" t="s">
        <v>532</v>
      </c>
    </row>
    <row r="1958" spans="1:10" s="43" customFormat="1" ht="15" x14ac:dyDescent="0.25">
      <c r="A1958" s="38" t="s">
        <v>524</v>
      </c>
      <c r="B1958" s="39"/>
      <c r="C1958" s="39" t="s">
        <v>524</v>
      </c>
      <c r="D1958" s="40"/>
      <c r="E1958" s="40"/>
      <c r="F1958" s="40"/>
      <c r="G1958" s="41"/>
      <c r="H1958" s="41"/>
      <c r="I1958" s="41"/>
      <c r="J1958" s="42" t="s">
        <v>532</v>
      </c>
    </row>
    <row r="1959" spans="1:10" s="43" customFormat="1" ht="15" x14ac:dyDescent="0.25">
      <c r="A1959" s="38" t="s">
        <v>524</v>
      </c>
      <c r="B1959" s="39"/>
      <c r="C1959" s="39" t="s">
        <v>524</v>
      </c>
      <c r="D1959" s="40"/>
      <c r="E1959" s="40"/>
      <c r="F1959" s="40"/>
      <c r="G1959" s="41"/>
      <c r="H1959" s="41"/>
      <c r="I1959" s="41"/>
      <c r="J1959" s="42" t="s">
        <v>532</v>
      </c>
    </row>
    <row r="1960" spans="1:10" s="43" customFormat="1" ht="15" x14ac:dyDescent="0.25">
      <c r="A1960" s="38" t="s">
        <v>524</v>
      </c>
      <c r="B1960" s="39"/>
      <c r="C1960" s="39" t="s">
        <v>524</v>
      </c>
      <c r="D1960" s="40"/>
      <c r="E1960" s="40"/>
      <c r="F1960" s="40"/>
      <c r="G1960" s="41"/>
      <c r="H1960" s="41"/>
      <c r="I1960" s="41"/>
      <c r="J1960" s="42" t="s">
        <v>532</v>
      </c>
    </row>
    <row r="1961" spans="1:10" s="43" customFormat="1" ht="15" x14ac:dyDescent="0.25">
      <c r="A1961" s="38" t="s">
        <v>524</v>
      </c>
      <c r="B1961" s="39"/>
      <c r="C1961" s="39" t="s">
        <v>524</v>
      </c>
      <c r="D1961" s="40"/>
      <c r="E1961" s="40"/>
      <c r="F1961" s="40"/>
      <c r="G1961" s="41"/>
      <c r="H1961" s="41"/>
      <c r="I1961" s="41"/>
      <c r="J1961" s="42" t="s">
        <v>532</v>
      </c>
    </row>
    <row r="1962" spans="1:10" s="43" customFormat="1" ht="15" x14ac:dyDescent="0.25">
      <c r="A1962" s="38" t="s">
        <v>524</v>
      </c>
      <c r="B1962" s="39"/>
      <c r="C1962" s="39" t="s">
        <v>524</v>
      </c>
      <c r="D1962" s="40"/>
      <c r="E1962" s="40"/>
      <c r="F1962" s="40"/>
      <c r="G1962" s="41"/>
      <c r="H1962" s="41"/>
      <c r="I1962" s="41"/>
      <c r="J1962" s="42" t="s">
        <v>532</v>
      </c>
    </row>
    <row r="1963" spans="1:10" s="43" customFormat="1" ht="15" x14ac:dyDescent="0.25">
      <c r="A1963" s="38" t="s">
        <v>524</v>
      </c>
      <c r="B1963" s="39"/>
      <c r="C1963" s="39" t="s">
        <v>524</v>
      </c>
      <c r="D1963" s="40"/>
      <c r="E1963" s="40"/>
      <c r="F1963" s="40"/>
      <c r="G1963" s="41"/>
      <c r="H1963" s="41"/>
      <c r="I1963" s="41"/>
      <c r="J1963" s="42" t="s">
        <v>532</v>
      </c>
    </row>
    <row r="1964" spans="1:10" s="43" customFormat="1" ht="15" x14ac:dyDescent="0.25">
      <c r="A1964" s="38" t="s">
        <v>524</v>
      </c>
      <c r="B1964" s="39"/>
      <c r="C1964" s="39" t="s">
        <v>524</v>
      </c>
      <c r="D1964" s="40"/>
      <c r="E1964" s="40"/>
      <c r="F1964" s="40"/>
      <c r="G1964" s="41"/>
      <c r="H1964" s="41"/>
      <c r="I1964" s="41"/>
      <c r="J1964" s="42" t="s">
        <v>532</v>
      </c>
    </row>
    <row r="1965" spans="1:10" s="43" customFormat="1" ht="15" x14ac:dyDescent="0.25">
      <c r="A1965" s="38" t="s">
        <v>524</v>
      </c>
      <c r="B1965" s="39"/>
      <c r="C1965" s="39" t="s">
        <v>524</v>
      </c>
      <c r="D1965" s="40"/>
      <c r="E1965" s="40"/>
      <c r="F1965" s="40"/>
      <c r="G1965" s="41"/>
      <c r="H1965" s="41"/>
      <c r="I1965" s="41"/>
      <c r="J1965" s="42" t="s">
        <v>532</v>
      </c>
    </row>
    <row r="1966" spans="1:10" s="43" customFormat="1" ht="15" x14ac:dyDescent="0.25">
      <c r="A1966" s="38" t="s">
        <v>524</v>
      </c>
      <c r="B1966" s="39"/>
      <c r="C1966" s="39" t="s">
        <v>524</v>
      </c>
      <c r="D1966" s="40"/>
      <c r="E1966" s="40"/>
      <c r="F1966" s="40"/>
      <c r="G1966" s="41"/>
      <c r="H1966" s="41"/>
      <c r="I1966" s="41"/>
      <c r="J1966" s="42" t="s">
        <v>532</v>
      </c>
    </row>
    <row r="1967" spans="1:10" s="43" customFormat="1" ht="15" x14ac:dyDescent="0.25">
      <c r="A1967" s="38" t="s">
        <v>524</v>
      </c>
      <c r="B1967" s="39"/>
      <c r="C1967" s="39" t="s">
        <v>524</v>
      </c>
      <c r="D1967" s="40"/>
      <c r="E1967" s="40"/>
      <c r="F1967" s="40"/>
      <c r="G1967" s="41"/>
      <c r="H1967" s="41"/>
      <c r="I1967" s="41"/>
      <c r="J1967" s="42" t="s">
        <v>532</v>
      </c>
    </row>
    <row r="1968" spans="1:10" s="43" customFormat="1" ht="15" x14ac:dyDescent="0.25">
      <c r="A1968" s="38" t="s">
        <v>524</v>
      </c>
      <c r="B1968" s="39"/>
      <c r="C1968" s="39" t="s">
        <v>524</v>
      </c>
      <c r="D1968" s="40"/>
      <c r="E1968" s="40"/>
      <c r="F1968" s="40"/>
      <c r="G1968" s="41"/>
      <c r="H1968" s="41"/>
      <c r="I1968" s="41"/>
      <c r="J1968" s="42" t="s">
        <v>532</v>
      </c>
    </row>
    <row r="1969" spans="1:10" s="43" customFormat="1" ht="15" x14ac:dyDescent="0.25">
      <c r="A1969" s="38" t="s">
        <v>524</v>
      </c>
      <c r="B1969" s="39"/>
      <c r="C1969" s="39" t="s">
        <v>524</v>
      </c>
      <c r="D1969" s="40"/>
      <c r="E1969" s="40"/>
      <c r="F1969" s="40"/>
      <c r="G1969" s="41"/>
      <c r="H1969" s="41"/>
      <c r="I1969" s="41"/>
      <c r="J1969" s="42" t="s">
        <v>532</v>
      </c>
    </row>
    <row r="1970" spans="1:10" s="43" customFormat="1" ht="15" x14ac:dyDescent="0.25">
      <c r="A1970" s="38" t="s">
        <v>524</v>
      </c>
      <c r="B1970" s="39"/>
      <c r="C1970" s="39" t="s">
        <v>524</v>
      </c>
      <c r="D1970" s="40"/>
      <c r="E1970" s="40"/>
      <c r="F1970" s="40"/>
      <c r="G1970" s="41"/>
      <c r="H1970" s="41"/>
      <c r="I1970" s="41"/>
      <c r="J1970" s="42" t="s">
        <v>532</v>
      </c>
    </row>
    <row r="1971" spans="1:10" s="43" customFormat="1" ht="15" x14ac:dyDescent="0.25">
      <c r="A1971" s="38" t="s">
        <v>524</v>
      </c>
      <c r="B1971" s="39"/>
      <c r="C1971" s="39" t="s">
        <v>524</v>
      </c>
      <c r="D1971" s="40"/>
      <c r="E1971" s="40"/>
      <c r="F1971" s="40"/>
      <c r="G1971" s="41"/>
      <c r="H1971" s="41"/>
      <c r="I1971" s="41"/>
      <c r="J1971" s="42" t="s">
        <v>532</v>
      </c>
    </row>
    <row r="1972" spans="1:10" s="43" customFormat="1" ht="15" x14ac:dyDescent="0.25">
      <c r="A1972" s="38" t="s">
        <v>524</v>
      </c>
      <c r="B1972" s="39"/>
      <c r="C1972" s="39" t="s">
        <v>524</v>
      </c>
      <c r="D1972" s="40"/>
      <c r="E1972" s="40"/>
      <c r="F1972" s="40"/>
      <c r="G1972" s="41"/>
      <c r="H1972" s="41"/>
      <c r="I1972" s="41"/>
      <c r="J1972" s="42" t="s">
        <v>532</v>
      </c>
    </row>
    <row r="1973" spans="1:10" s="43" customFormat="1" ht="15" x14ac:dyDescent="0.25">
      <c r="A1973" s="38" t="s">
        <v>524</v>
      </c>
      <c r="B1973" s="39"/>
      <c r="C1973" s="39" t="s">
        <v>524</v>
      </c>
      <c r="D1973" s="40"/>
      <c r="E1973" s="40"/>
      <c r="F1973" s="40"/>
      <c r="G1973" s="41"/>
      <c r="H1973" s="41"/>
      <c r="I1973" s="41"/>
      <c r="J1973" s="42" t="s">
        <v>532</v>
      </c>
    </row>
    <row r="1974" spans="1:10" s="43" customFormat="1" ht="15" x14ac:dyDescent="0.25">
      <c r="A1974" s="38" t="s">
        <v>524</v>
      </c>
      <c r="B1974" s="39"/>
      <c r="C1974" s="39" t="s">
        <v>524</v>
      </c>
      <c r="D1974" s="40"/>
      <c r="E1974" s="40"/>
      <c r="F1974" s="40"/>
      <c r="G1974" s="41"/>
      <c r="H1974" s="41"/>
      <c r="I1974" s="41"/>
      <c r="J1974" s="42" t="s">
        <v>532</v>
      </c>
    </row>
    <row r="1975" spans="1:10" s="43" customFormat="1" ht="15" x14ac:dyDescent="0.25">
      <c r="A1975" s="38" t="s">
        <v>524</v>
      </c>
      <c r="B1975" s="39"/>
      <c r="C1975" s="39" t="s">
        <v>524</v>
      </c>
      <c r="D1975" s="40"/>
      <c r="E1975" s="40"/>
      <c r="F1975" s="40"/>
      <c r="G1975" s="41"/>
      <c r="H1975" s="41"/>
      <c r="I1975" s="41"/>
      <c r="J1975" s="42" t="s">
        <v>532</v>
      </c>
    </row>
    <row r="1976" spans="1:10" s="43" customFormat="1" ht="15" x14ac:dyDescent="0.25">
      <c r="A1976" s="38" t="s">
        <v>524</v>
      </c>
      <c r="B1976" s="39"/>
      <c r="C1976" s="39" t="s">
        <v>524</v>
      </c>
      <c r="D1976" s="40"/>
      <c r="E1976" s="40"/>
      <c r="F1976" s="40"/>
      <c r="G1976" s="41"/>
      <c r="H1976" s="41"/>
      <c r="I1976" s="41"/>
      <c r="J1976" s="42" t="s">
        <v>532</v>
      </c>
    </row>
    <row r="1977" spans="1:10" s="43" customFormat="1" ht="15" x14ac:dyDescent="0.25">
      <c r="A1977" s="38" t="s">
        <v>524</v>
      </c>
      <c r="B1977" s="39"/>
      <c r="C1977" s="39" t="s">
        <v>524</v>
      </c>
      <c r="D1977" s="40"/>
      <c r="E1977" s="40"/>
      <c r="F1977" s="40"/>
      <c r="G1977" s="41"/>
      <c r="H1977" s="41"/>
      <c r="I1977" s="41"/>
      <c r="J1977" s="42" t="s">
        <v>532</v>
      </c>
    </row>
    <row r="1978" spans="1:10" s="43" customFormat="1" ht="15" x14ac:dyDescent="0.25">
      <c r="A1978" s="38" t="s">
        <v>524</v>
      </c>
      <c r="B1978" s="39"/>
      <c r="C1978" s="39" t="s">
        <v>524</v>
      </c>
      <c r="D1978" s="40"/>
      <c r="E1978" s="40"/>
      <c r="F1978" s="40"/>
      <c r="G1978" s="41"/>
      <c r="H1978" s="41"/>
      <c r="I1978" s="41"/>
      <c r="J1978" s="42" t="s">
        <v>532</v>
      </c>
    </row>
    <row r="1979" spans="1:10" s="43" customFormat="1" ht="15" x14ac:dyDescent="0.25">
      <c r="A1979" s="38" t="s">
        <v>524</v>
      </c>
      <c r="B1979" s="39"/>
      <c r="C1979" s="39" t="s">
        <v>524</v>
      </c>
      <c r="D1979" s="40"/>
      <c r="E1979" s="40"/>
      <c r="F1979" s="40"/>
      <c r="G1979" s="41"/>
      <c r="H1979" s="41"/>
      <c r="I1979" s="41"/>
      <c r="J1979" s="42" t="s">
        <v>532</v>
      </c>
    </row>
    <row r="1980" spans="1:10" s="43" customFormat="1" ht="15" x14ac:dyDescent="0.25">
      <c r="A1980" s="38" t="s">
        <v>524</v>
      </c>
      <c r="B1980" s="39"/>
      <c r="C1980" s="39" t="s">
        <v>524</v>
      </c>
      <c r="D1980" s="40"/>
      <c r="E1980" s="40"/>
      <c r="F1980" s="40"/>
      <c r="G1980" s="41"/>
      <c r="H1980" s="41"/>
      <c r="I1980" s="41"/>
      <c r="J1980" s="42" t="s">
        <v>532</v>
      </c>
    </row>
    <row r="1981" spans="1:10" s="43" customFormat="1" ht="15" x14ac:dyDescent="0.25">
      <c r="A1981" s="38" t="s">
        <v>524</v>
      </c>
      <c r="B1981" s="39"/>
      <c r="C1981" s="39" t="s">
        <v>524</v>
      </c>
      <c r="D1981" s="40"/>
      <c r="E1981" s="40"/>
      <c r="F1981" s="40"/>
      <c r="G1981" s="41"/>
      <c r="H1981" s="41"/>
      <c r="I1981" s="41"/>
      <c r="J1981" s="42" t="s">
        <v>532</v>
      </c>
    </row>
    <row r="1982" spans="1:10" s="43" customFormat="1" ht="15" x14ac:dyDescent="0.25">
      <c r="A1982" s="38" t="s">
        <v>524</v>
      </c>
      <c r="B1982" s="39"/>
      <c r="C1982" s="39" t="s">
        <v>524</v>
      </c>
      <c r="D1982" s="40"/>
      <c r="E1982" s="40"/>
      <c r="F1982" s="40"/>
      <c r="G1982" s="41"/>
      <c r="H1982" s="41"/>
      <c r="I1982" s="41"/>
      <c r="J1982" s="42" t="s">
        <v>532</v>
      </c>
    </row>
    <row r="1983" spans="1:10" s="43" customFormat="1" ht="15" x14ac:dyDescent="0.25">
      <c r="A1983" s="38" t="s">
        <v>524</v>
      </c>
      <c r="B1983" s="39"/>
      <c r="C1983" s="39" t="s">
        <v>524</v>
      </c>
      <c r="D1983" s="40"/>
      <c r="E1983" s="40"/>
      <c r="F1983" s="40"/>
      <c r="G1983" s="41"/>
      <c r="H1983" s="41"/>
      <c r="I1983" s="41"/>
      <c r="J1983" s="42" t="s">
        <v>532</v>
      </c>
    </row>
    <row r="1984" spans="1:10" s="43" customFormat="1" ht="15" x14ac:dyDescent="0.25">
      <c r="A1984" s="38" t="s">
        <v>524</v>
      </c>
      <c r="B1984" s="39"/>
      <c r="C1984" s="39" t="s">
        <v>524</v>
      </c>
      <c r="D1984" s="40"/>
      <c r="E1984" s="40"/>
      <c r="F1984" s="40"/>
      <c r="G1984" s="41"/>
      <c r="H1984" s="41"/>
      <c r="I1984" s="41"/>
      <c r="J1984" s="42" t="s">
        <v>532</v>
      </c>
    </row>
    <row r="1985" spans="1:10" s="43" customFormat="1" ht="15" x14ac:dyDescent="0.25">
      <c r="A1985" s="38" t="s">
        <v>524</v>
      </c>
      <c r="B1985" s="39"/>
      <c r="C1985" s="39" t="s">
        <v>524</v>
      </c>
      <c r="D1985" s="40"/>
      <c r="E1985" s="40"/>
      <c r="F1985" s="40"/>
      <c r="G1985" s="41"/>
      <c r="H1985" s="41"/>
      <c r="I1985" s="41"/>
      <c r="J1985" s="42" t="s">
        <v>532</v>
      </c>
    </row>
    <row r="1986" spans="1:10" s="43" customFormat="1" ht="15" x14ac:dyDescent="0.25">
      <c r="A1986" s="38" t="s">
        <v>524</v>
      </c>
      <c r="B1986" s="39"/>
      <c r="C1986" s="39" t="s">
        <v>524</v>
      </c>
      <c r="D1986" s="40"/>
      <c r="E1986" s="40"/>
      <c r="F1986" s="40"/>
      <c r="G1986" s="41"/>
      <c r="H1986" s="41"/>
      <c r="I1986" s="41"/>
      <c r="J1986" s="42" t="s">
        <v>532</v>
      </c>
    </row>
    <row r="1987" spans="1:10" s="43" customFormat="1" ht="15" x14ac:dyDescent="0.25">
      <c r="A1987" s="38" t="s">
        <v>524</v>
      </c>
      <c r="B1987" s="39"/>
      <c r="C1987" s="39" t="s">
        <v>524</v>
      </c>
      <c r="D1987" s="40"/>
      <c r="E1987" s="40"/>
      <c r="F1987" s="40"/>
      <c r="G1987" s="41"/>
      <c r="H1987" s="41"/>
      <c r="I1987" s="41"/>
      <c r="J1987" s="42" t="s">
        <v>532</v>
      </c>
    </row>
    <row r="1988" spans="1:10" s="43" customFormat="1" ht="15" x14ac:dyDescent="0.25">
      <c r="A1988" s="38" t="s">
        <v>524</v>
      </c>
      <c r="B1988" s="39"/>
      <c r="C1988" s="39" t="s">
        <v>524</v>
      </c>
      <c r="D1988" s="40"/>
      <c r="E1988" s="40"/>
      <c r="F1988" s="40"/>
      <c r="G1988" s="41"/>
      <c r="H1988" s="41"/>
      <c r="I1988" s="41"/>
      <c r="J1988" s="42" t="s">
        <v>532</v>
      </c>
    </row>
    <row r="1989" spans="1:10" s="43" customFormat="1" ht="15" x14ac:dyDescent="0.25">
      <c r="A1989" s="38" t="s">
        <v>524</v>
      </c>
      <c r="B1989" s="39"/>
      <c r="C1989" s="39" t="s">
        <v>524</v>
      </c>
      <c r="D1989" s="40"/>
      <c r="E1989" s="40"/>
      <c r="F1989" s="40"/>
      <c r="G1989" s="41"/>
      <c r="H1989" s="41"/>
      <c r="I1989" s="41"/>
      <c r="J1989" s="42" t="s">
        <v>532</v>
      </c>
    </row>
    <row r="1990" spans="1:10" s="43" customFormat="1" ht="15" x14ac:dyDescent="0.25">
      <c r="A1990" s="38" t="s">
        <v>524</v>
      </c>
      <c r="B1990" s="39"/>
      <c r="C1990" s="39" t="s">
        <v>524</v>
      </c>
      <c r="D1990" s="40"/>
      <c r="E1990" s="40"/>
      <c r="F1990" s="40"/>
      <c r="G1990" s="41"/>
      <c r="H1990" s="41"/>
      <c r="I1990" s="41"/>
      <c r="J1990" s="42" t="s">
        <v>532</v>
      </c>
    </row>
    <row r="1991" spans="1:10" s="43" customFormat="1" ht="15" x14ac:dyDescent="0.25">
      <c r="A1991" s="38" t="s">
        <v>524</v>
      </c>
      <c r="B1991" s="39"/>
      <c r="C1991" s="39" t="s">
        <v>524</v>
      </c>
      <c r="D1991" s="40"/>
      <c r="E1991" s="40"/>
      <c r="F1991" s="40"/>
      <c r="G1991" s="41"/>
      <c r="H1991" s="41"/>
      <c r="I1991" s="41"/>
      <c r="J1991" s="42" t="s">
        <v>532</v>
      </c>
    </row>
    <row r="1992" spans="1:10" s="43" customFormat="1" ht="15" x14ac:dyDescent="0.25">
      <c r="A1992" s="38" t="s">
        <v>524</v>
      </c>
      <c r="B1992" s="39"/>
      <c r="C1992" s="39" t="s">
        <v>524</v>
      </c>
      <c r="D1992" s="40"/>
      <c r="E1992" s="40"/>
      <c r="F1992" s="40"/>
      <c r="G1992" s="41"/>
      <c r="H1992" s="41"/>
      <c r="I1992" s="41"/>
      <c r="J1992" s="42" t="s">
        <v>532</v>
      </c>
    </row>
    <row r="1993" spans="1:10" s="43" customFormat="1" ht="15" x14ac:dyDescent="0.25">
      <c r="A1993" s="38" t="s">
        <v>524</v>
      </c>
      <c r="B1993" s="39"/>
      <c r="C1993" s="39" t="s">
        <v>524</v>
      </c>
      <c r="D1993" s="40"/>
      <c r="E1993" s="40"/>
      <c r="F1993" s="40"/>
      <c r="G1993" s="41"/>
      <c r="H1993" s="41"/>
      <c r="I1993" s="41"/>
      <c r="J1993" s="42" t="s">
        <v>532</v>
      </c>
    </row>
    <row r="1994" spans="1:10" s="43" customFormat="1" ht="15" x14ac:dyDescent="0.25">
      <c r="A1994" s="38" t="s">
        <v>524</v>
      </c>
      <c r="B1994" s="39"/>
      <c r="C1994" s="39" t="s">
        <v>524</v>
      </c>
      <c r="D1994" s="40"/>
      <c r="E1994" s="40"/>
      <c r="F1994" s="40"/>
      <c r="G1994" s="41"/>
      <c r="H1994" s="41"/>
      <c r="I1994" s="41"/>
      <c r="J1994" s="42" t="s">
        <v>532</v>
      </c>
    </row>
    <row r="1995" spans="1:10" s="43" customFormat="1" ht="15" x14ac:dyDescent="0.25">
      <c r="A1995" s="38" t="s">
        <v>524</v>
      </c>
      <c r="B1995" s="39"/>
      <c r="C1995" s="39" t="s">
        <v>524</v>
      </c>
      <c r="D1995" s="40"/>
      <c r="E1995" s="40"/>
      <c r="F1995" s="40"/>
      <c r="G1995" s="41"/>
      <c r="H1995" s="41"/>
      <c r="I1995" s="41"/>
      <c r="J1995" s="42" t="s">
        <v>532</v>
      </c>
    </row>
    <row r="1996" spans="1:10" s="43" customFormat="1" ht="15" x14ac:dyDescent="0.25">
      <c r="A1996" s="38" t="s">
        <v>524</v>
      </c>
      <c r="B1996" s="39"/>
      <c r="C1996" s="39" t="s">
        <v>524</v>
      </c>
      <c r="D1996" s="40"/>
      <c r="E1996" s="40"/>
      <c r="F1996" s="40"/>
      <c r="G1996" s="41"/>
      <c r="H1996" s="41"/>
      <c r="I1996" s="41"/>
      <c r="J1996" s="42" t="s">
        <v>532</v>
      </c>
    </row>
    <row r="1997" spans="1:10" s="43" customFormat="1" ht="15" x14ac:dyDescent="0.25">
      <c r="A1997" s="38" t="s">
        <v>524</v>
      </c>
      <c r="B1997" s="39"/>
      <c r="C1997" s="39" t="s">
        <v>524</v>
      </c>
      <c r="D1997" s="40"/>
      <c r="E1997" s="40"/>
      <c r="F1997" s="40"/>
      <c r="G1997" s="41"/>
      <c r="H1997" s="41"/>
      <c r="I1997" s="41"/>
      <c r="J1997" s="42" t="s">
        <v>532</v>
      </c>
    </row>
    <row r="1998" spans="1:10" s="43" customFormat="1" ht="15" x14ac:dyDescent="0.25">
      <c r="A1998" s="38" t="s">
        <v>524</v>
      </c>
      <c r="B1998" s="39"/>
      <c r="C1998" s="39" t="s">
        <v>524</v>
      </c>
      <c r="D1998" s="40"/>
      <c r="E1998" s="40"/>
      <c r="F1998" s="40"/>
      <c r="G1998" s="41"/>
      <c r="H1998" s="41"/>
      <c r="I1998" s="41"/>
      <c r="J1998" s="42" t="s">
        <v>532</v>
      </c>
    </row>
    <row r="1999" spans="1:10" s="43" customFormat="1" ht="15" x14ac:dyDescent="0.25">
      <c r="A1999" s="38" t="s">
        <v>524</v>
      </c>
      <c r="B1999" s="39"/>
      <c r="C1999" s="39" t="s">
        <v>524</v>
      </c>
      <c r="D1999" s="40"/>
      <c r="E1999" s="40"/>
      <c r="F1999" s="40"/>
      <c r="G1999" s="41"/>
      <c r="H1999" s="41"/>
      <c r="I1999" s="41"/>
      <c r="J1999" s="42" t="s">
        <v>532</v>
      </c>
    </row>
    <row r="2000" spans="1:10" s="43" customFormat="1" ht="15" x14ac:dyDescent="0.25">
      <c r="A2000" s="38" t="s">
        <v>524</v>
      </c>
      <c r="B2000" s="39"/>
      <c r="C2000" s="39" t="s">
        <v>524</v>
      </c>
      <c r="D2000" s="40"/>
      <c r="E2000" s="40"/>
      <c r="F2000" s="40"/>
      <c r="G2000" s="41"/>
      <c r="H2000" s="41"/>
      <c r="I2000" s="41"/>
      <c r="J2000" s="42" t="s">
        <v>532</v>
      </c>
    </row>
    <row r="2001" spans="1:10" s="43" customFormat="1" ht="15" x14ac:dyDescent="0.25">
      <c r="A2001" s="38" t="s">
        <v>524</v>
      </c>
      <c r="B2001" s="39"/>
      <c r="C2001" s="39" t="s">
        <v>524</v>
      </c>
      <c r="D2001" s="40"/>
      <c r="E2001" s="40"/>
      <c r="F2001" s="40"/>
      <c r="G2001" s="41"/>
      <c r="H2001" s="41"/>
      <c r="I2001" s="41"/>
      <c r="J2001" s="42" t="s">
        <v>532</v>
      </c>
    </row>
    <row r="2002" spans="1:10" s="43" customFormat="1" ht="15" x14ac:dyDescent="0.25">
      <c r="A2002" s="38" t="s">
        <v>524</v>
      </c>
      <c r="B2002" s="39"/>
      <c r="C2002" s="39" t="s">
        <v>524</v>
      </c>
      <c r="D2002" s="40"/>
      <c r="E2002" s="40"/>
      <c r="F2002" s="40"/>
      <c r="G2002" s="41"/>
      <c r="H2002" s="41"/>
      <c r="I2002" s="41"/>
      <c r="J2002" s="42" t="s">
        <v>532</v>
      </c>
    </row>
    <row r="2003" spans="1:10" s="43" customFormat="1" ht="15" x14ac:dyDescent="0.25">
      <c r="A2003" s="38" t="s">
        <v>524</v>
      </c>
      <c r="B2003" s="39"/>
      <c r="C2003" s="39" t="s">
        <v>524</v>
      </c>
      <c r="D2003" s="40"/>
      <c r="E2003" s="40"/>
      <c r="F2003" s="40"/>
      <c r="G2003" s="41"/>
      <c r="H2003" s="41"/>
      <c r="I2003" s="41"/>
      <c r="J2003" s="42" t="s">
        <v>532</v>
      </c>
    </row>
    <row r="2004" spans="1:10" s="43" customFormat="1" ht="15" x14ac:dyDescent="0.25">
      <c r="A2004" s="38" t="s">
        <v>524</v>
      </c>
      <c r="B2004" s="39"/>
      <c r="C2004" s="39" t="s">
        <v>524</v>
      </c>
      <c r="D2004" s="40"/>
      <c r="E2004" s="40"/>
      <c r="F2004" s="40"/>
      <c r="G2004" s="41"/>
      <c r="H2004" s="41"/>
      <c r="I2004" s="41"/>
      <c r="J2004" s="42" t="s">
        <v>532</v>
      </c>
    </row>
    <row r="2005" spans="1:10" s="43" customFormat="1" ht="15" x14ac:dyDescent="0.25">
      <c r="A2005" s="38" t="s">
        <v>524</v>
      </c>
      <c r="B2005" s="39"/>
      <c r="C2005" s="39" t="s">
        <v>524</v>
      </c>
      <c r="D2005" s="40"/>
      <c r="E2005" s="40"/>
      <c r="F2005" s="40"/>
      <c r="G2005" s="41"/>
      <c r="H2005" s="41"/>
      <c r="I2005" s="41"/>
      <c r="J2005" s="42" t="s">
        <v>532</v>
      </c>
    </row>
    <row r="2006" spans="1:10" s="43" customFormat="1" ht="15" x14ac:dyDescent="0.25">
      <c r="A2006" s="38" t="s">
        <v>524</v>
      </c>
      <c r="B2006" s="39"/>
      <c r="C2006" s="39" t="s">
        <v>524</v>
      </c>
      <c r="D2006" s="40"/>
      <c r="E2006" s="40"/>
      <c r="F2006" s="40"/>
      <c r="G2006" s="41"/>
      <c r="H2006" s="41"/>
      <c r="I2006" s="41"/>
      <c r="J2006" s="42" t="s">
        <v>532</v>
      </c>
    </row>
    <row r="2007" spans="1:10" s="43" customFormat="1" ht="15" x14ac:dyDescent="0.25">
      <c r="A2007" s="38" t="s">
        <v>524</v>
      </c>
      <c r="B2007" s="39"/>
      <c r="C2007" s="39" t="s">
        <v>524</v>
      </c>
      <c r="D2007" s="40"/>
      <c r="E2007" s="40"/>
      <c r="F2007" s="40"/>
      <c r="G2007" s="41"/>
      <c r="H2007" s="41"/>
      <c r="I2007" s="41"/>
      <c r="J2007" s="42" t="s">
        <v>532</v>
      </c>
    </row>
    <row r="2008" spans="1:10" s="43" customFormat="1" ht="15" x14ac:dyDescent="0.25">
      <c r="A2008" s="38" t="s">
        <v>524</v>
      </c>
      <c r="B2008" s="39"/>
      <c r="C2008" s="39" t="s">
        <v>524</v>
      </c>
      <c r="D2008" s="40"/>
      <c r="E2008" s="40"/>
      <c r="F2008" s="40"/>
      <c r="G2008" s="41"/>
      <c r="H2008" s="41"/>
      <c r="I2008" s="41"/>
      <c r="J2008" s="42" t="s">
        <v>532</v>
      </c>
    </row>
    <row r="2009" spans="1:10" s="43" customFormat="1" ht="15" x14ac:dyDescent="0.25">
      <c r="A2009" s="38" t="s">
        <v>524</v>
      </c>
      <c r="B2009" s="39"/>
      <c r="C2009" s="39" t="s">
        <v>524</v>
      </c>
      <c r="D2009" s="40"/>
      <c r="E2009" s="40"/>
      <c r="F2009" s="40"/>
      <c r="G2009" s="41"/>
      <c r="H2009" s="41"/>
      <c r="I2009" s="41"/>
      <c r="J2009" s="42" t="s">
        <v>532</v>
      </c>
    </row>
    <row r="2010" spans="1:10" s="43" customFormat="1" ht="15" x14ac:dyDescent="0.25">
      <c r="A2010" s="38" t="s">
        <v>524</v>
      </c>
      <c r="B2010" s="39"/>
      <c r="C2010" s="39" t="s">
        <v>524</v>
      </c>
      <c r="D2010" s="40"/>
      <c r="E2010" s="40"/>
      <c r="F2010" s="40"/>
      <c r="G2010" s="41"/>
      <c r="H2010" s="41"/>
      <c r="I2010" s="41"/>
      <c r="J2010" s="42" t="s">
        <v>532</v>
      </c>
    </row>
    <row r="2011" spans="1:10" s="43" customFormat="1" ht="15" x14ac:dyDescent="0.25">
      <c r="A2011" s="38" t="s">
        <v>524</v>
      </c>
      <c r="B2011" s="39"/>
      <c r="C2011" s="39" t="s">
        <v>524</v>
      </c>
      <c r="D2011" s="40"/>
      <c r="E2011" s="40"/>
      <c r="F2011" s="40"/>
      <c r="G2011" s="41"/>
      <c r="H2011" s="41"/>
      <c r="I2011" s="41"/>
      <c r="J2011" s="42" t="s">
        <v>532</v>
      </c>
    </row>
    <row r="2012" spans="1:10" s="43" customFormat="1" ht="15" x14ac:dyDescent="0.25">
      <c r="A2012" s="38" t="s">
        <v>524</v>
      </c>
      <c r="B2012" s="39"/>
      <c r="C2012" s="39" t="s">
        <v>524</v>
      </c>
      <c r="D2012" s="40"/>
      <c r="E2012" s="40"/>
      <c r="F2012" s="40"/>
      <c r="G2012" s="41"/>
      <c r="H2012" s="41"/>
      <c r="I2012" s="41"/>
      <c r="J2012" s="42" t="s">
        <v>532</v>
      </c>
    </row>
    <row r="2013" spans="1:10" s="43" customFormat="1" ht="15" x14ac:dyDescent="0.25">
      <c r="A2013" s="38" t="s">
        <v>524</v>
      </c>
      <c r="B2013" s="39"/>
      <c r="C2013" s="39" t="s">
        <v>524</v>
      </c>
      <c r="D2013" s="40"/>
      <c r="E2013" s="40"/>
      <c r="F2013" s="40"/>
      <c r="G2013" s="41"/>
      <c r="H2013" s="41"/>
      <c r="I2013" s="41"/>
      <c r="J2013" s="42" t="s">
        <v>532</v>
      </c>
    </row>
    <row r="2014" spans="1:10" s="43" customFormat="1" ht="15" x14ac:dyDescent="0.25">
      <c r="A2014" s="38" t="s">
        <v>524</v>
      </c>
      <c r="B2014" s="39"/>
      <c r="C2014" s="39" t="s">
        <v>524</v>
      </c>
      <c r="D2014" s="40"/>
      <c r="E2014" s="40"/>
      <c r="F2014" s="40"/>
      <c r="G2014" s="41"/>
      <c r="H2014" s="41"/>
      <c r="I2014" s="41"/>
      <c r="J2014" s="42" t="s">
        <v>532</v>
      </c>
    </row>
    <row r="2015" spans="1:10" s="43" customFormat="1" ht="15" x14ac:dyDescent="0.25">
      <c r="A2015" s="38" t="s">
        <v>524</v>
      </c>
      <c r="B2015" s="39"/>
      <c r="C2015" s="39" t="s">
        <v>524</v>
      </c>
      <c r="D2015" s="40"/>
      <c r="E2015" s="40"/>
      <c r="F2015" s="40"/>
      <c r="G2015" s="41"/>
      <c r="H2015" s="41"/>
      <c r="I2015" s="41"/>
      <c r="J2015" s="42" t="s">
        <v>532</v>
      </c>
    </row>
    <row r="2016" spans="1:10" s="43" customFormat="1" ht="15" x14ac:dyDescent="0.25">
      <c r="A2016" s="38" t="s">
        <v>524</v>
      </c>
      <c r="B2016" s="39"/>
      <c r="C2016" s="39" t="s">
        <v>524</v>
      </c>
      <c r="D2016" s="40"/>
      <c r="E2016" s="40"/>
      <c r="F2016" s="40"/>
      <c r="G2016" s="41"/>
      <c r="H2016" s="41"/>
      <c r="I2016" s="41"/>
      <c r="J2016" s="42" t="s">
        <v>532</v>
      </c>
    </row>
    <row r="2017" spans="1:10" s="43" customFormat="1" ht="15" x14ac:dyDescent="0.25">
      <c r="A2017" s="38" t="s">
        <v>524</v>
      </c>
      <c r="B2017" s="39"/>
      <c r="C2017" s="39" t="s">
        <v>524</v>
      </c>
      <c r="D2017" s="40"/>
      <c r="E2017" s="40"/>
      <c r="F2017" s="40"/>
      <c r="G2017" s="41"/>
      <c r="H2017" s="41"/>
      <c r="I2017" s="41"/>
      <c r="J2017" s="42" t="s">
        <v>532</v>
      </c>
    </row>
    <row r="2018" spans="1:10" s="43" customFormat="1" ht="15" x14ac:dyDescent="0.25">
      <c r="A2018" s="38" t="s">
        <v>524</v>
      </c>
      <c r="B2018" s="39"/>
      <c r="C2018" s="39" t="s">
        <v>524</v>
      </c>
      <c r="D2018" s="40"/>
      <c r="E2018" s="40"/>
      <c r="F2018" s="40"/>
      <c r="G2018" s="41"/>
      <c r="H2018" s="41"/>
      <c r="I2018" s="41"/>
      <c r="J2018" s="42" t="s">
        <v>532</v>
      </c>
    </row>
    <row r="2019" spans="1:10" s="43" customFormat="1" ht="15" x14ac:dyDescent="0.25">
      <c r="A2019" s="38" t="s">
        <v>524</v>
      </c>
      <c r="B2019" s="39"/>
      <c r="C2019" s="39" t="s">
        <v>524</v>
      </c>
      <c r="D2019" s="40"/>
      <c r="E2019" s="40"/>
      <c r="F2019" s="40"/>
      <c r="G2019" s="41"/>
      <c r="H2019" s="41"/>
      <c r="I2019" s="41"/>
      <c r="J2019" s="42" t="s">
        <v>532</v>
      </c>
    </row>
    <row r="2020" spans="1:10" s="43" customFormat="1" ht="15" x14ac:dyDescent="0.25">
      <c r="A2020" s="38" t="s">
        <v>524</v>
      </c>
      <c r="B2020" s="39"/>
      <c r="C2020" s="39" t="s">
        <v>524</v>
      </c>
      <c r="D2020" s="40"/>
      <c r="E2020" s="40"/>
      <c r="F2020" s="40"/>
      <c r="G2020" s="41"/>
      <c r="H2020" s="41"/>
      <c r="I2020" s="41"/>
      <c r="J2020" s="42" t="s">
        <v>532</v>
      </c>
    </row>
    <row r="2021" spans="1:10" s="43" customFormat="1" ht="15" x14ac:dyDescent="0.25">
      <c r="A2021" s="38" t="s">
        <v>524</v>
      </c>
      <c r="B2021" s="39"/>
      <c r="C2021" s="39" t="s">
        <v>524</v>
      </c>
      <c r="D2021" s="40"/>
      <c r="E2021" s="40"/>
      <c r="F2021" s="40"/>
      <c r="G2021" s="41"/>
      <c r="H2021" s="41"/>
      <c r="I2021" s="41"/>
      <c r="J2021" s="42" t="s">
        <v>532</v>
      </c>
    </row>
    <row r="2022" spans="1:10" s="43" customFormat="1" ht="15" x14ac:dyDescent="0.25">
      <c r="A2022" s="38" t="s">
        <v>524</v>
      </c>
      <c r="B2022" s="39"/>
      <c r="C2022" s="39" t="s">
        <v>524</v>
      </c>
      <c r="D2022" s="40"/>
      <c r="E2022" s="40"/>
      <c r="F2022" s="40"/>
      <c r="G2022" s="41"/>
      <c r="H2022" s="41"/>
      <c r="I2022" s="41"/>
      <c r="J2022" s="42" t="s">
        <v>532</v>
      </c>
    </row>
    <row r="2023" spans="1:10" s="43" customFormat="1" ht="15" x14ac:dyDescent="0.25">
      <c r="A2023" s="38" t="s">
        <v>524</v>
      </c>
      <c r="B2023" s="39"/>
      <c r="C2023" s="39" t="s">
        <v>524</v>
      </c>
      <c r="D2023" s="40"/>
      <c r="E2023" s="40"/>
      <c r="F2023" s="40"/>
      <c r="G2023" s="41"/>
      <c r="H2023" s="41"/>
      <c r="I2023" s="41"/>
      <c r="J2023" s="42" t="s">
        <v>532</v>
      </c>
    </row>
    <row r="2024" spans="1:10" s="43" customFormat="1" ht="15" x14ac:dyDescent="0.25">
      <c r="A2024" s="38" t="s">
        <v>524</v>
      </c>
      <c r="B2024" s="39"/>
      <c r="C2024" s="39" t="s">
        <v>524</v>
      </c>
      <c r="D2024" s="40"/>
      <c r="E2024" s="40"/>
      <c r="F2024" s="40"/>
      <c r="G2024" s="41"/>
      <c r="H2024" s="41"/>
      <c r="I2024" s="41"/>
      <c r="J2024" s="42" t="s">
        <v>532</v>
      </c>
    </row>
    <row r="2025" spans="1:10" s="43" customFormat="1" ht="15" x14ac:dyDescent="0.25">
      <c r="A2025" s="38" t="s">
        <v>524</v>
      </c>
      <c r="B2025" s="39"/>
      <c r="C2025" s="39" t="s">
        <v>524</v>
      </c>
      <c r="D2025" s="40"/>
      <c r="E2025" s="40"/>
      <c r="F2025" s="40"/>
      <c r="G2025" s="41"/>
      <c r="H2025" s="41"/>
      <c r="I2025" s="41"/>
      <c r="J2025" s="42" t="s">
        <v>532</v>
      </c>
    </row>
    <row r="2026" spans="1:10" s="43" customFormat="1" ht="15" x14ac:dyDescent="0.25">
      <c r="A2026" s="38" t="s">
        <v>524</v>
      </c>
      <c r="B2026" s="39"/>
      <c r="C2026" s="39" t="s">
        <v>524</v>
      </c>
      <c r="D2026" s="40"/>
      <c r="E2026" s="40"/>
      <c r="F2026" s="40"/>
      <c r="G2026" s="41"/>
      <c r="H2026" s="41"/>
      <c r="I2026" s="41"/>
      <c r="J2026" s="42" t="s">
        <v>532</v>
      </c>
    </row>
    <row r="2027" spans="1:10" s="43" customFormat="1" ht="15" x14ac:dyDescent="0.25">
      <c r="A2027" s="38" t="s">
        <v>524</v>
      </c>
      <c r="B2027" s="39"/>
      <c r="C2027" s="39" t="s">
        <v>524</v>
      </c>
      <c r="D2027" s="40"/>
      <c r="E2027" s="40"/>
      <c r="F2027" s="40"/>
      <c r="G2027" s="41"/>
      <c r="H2027" s="41"/>
      <c r="I2027" s="41"/>
      <c r="J2027" s="42" t="s">
        <v>532</v>
      </c>
    </row>
    <row r="2028" spans="1:10" s="43" customFormat="1" ht="15" x14ac:dyDescent="0.25">
      <c r="A2028" s="38" t="s">
        <v>524</v>
      </c>
      <c r="B2028" s="39"/>
      <c r="C2028" s="39" t="s">
        <v>524</v>
      </c>
      <c r="D2028" s="40"/>
      <c r="E2028" s="40"/>
      <c r="F2028" s="40"/>
      <c r="G2028" s="41"/>
      <c r="H2028" s="41"/>
      <c r="I2028" s="41"/>
      <c r="J2028" s="42" t="s">
        <v>532</v>
      </c>
    </row>
    <row r="2029" spans="1:10" s="43" customFormat="1" ht="15" x14ac:dyDescent="0.25">
      <c r="A2029" s="38" t="s">
        <v>524</v>
      </c>
      <c r="B2029" s="39"/>
      <c r="C2029" s="39" t="s">
        <v>524</v>
      </c>
      <c r="D2029" s="40"/>
      <c r="E2029" s="40"/>
      <c r="F2029" s="40"/>
      <c r="G2029" s="41"/>
      <c r="H2029" s="41"/>
      <c r="I2029" s="41"/>
      <c r="J2029" s="42" t="s">
        <v>532</v>
      </c>
    </row>
    <row r="2030" spans="1:10" s="43" customFormat="1" ht="15" x14ac:dyDescent="0.25">
      <c r="A2030" s="38" t="s">
        <v>524</v>
      </c>
      <c r="B2030" s="39"/>
      <c r="C2030" s="39" t="s">
        <v>524</v>
      </c>
      <c r="D2030" s="40"/>
      <c r="E2030" s="40"/>
      <c r="F2030" s="40"/>
      <c r="G2030" s="41"/>
      <c r="H2030" s="41"/>
      <c r="I2030" s="41"/>
      <c r="J2030" s="42" t="s">
        <v>532</v>
      </c>
    </row>
    <row r="2031" spans="1:10" s="43" customFormat="1" ht="15" x14ac:dyDescent="0.25">
      <c r="A2031" s="38" t="s">
        <v>524</v>
      </c>
      <c r="B2031" s="39"/>
      <c r="C2031" s="39" t="s">
        <v>524</v>
      </c>
      <c r="D2031" s="40"/>
      <c r="E2031" s="40"/>
      <c r="F2031" s="40"/>
      <c r="G2031" s="41"/>
      <c r="H2031" s="41"/>
      <c r="I2031" s="41"/>
      <c r="J2031" s="42" t="s">
        <v>532</v>
      </c>
    </row>
    <row r="2032" spans="1:10" s="43" customFormat="1" ht="15" x14ac:dyDescent="0.25">
      <c r="A2032" s="38" t="s">
        <v>524</v>
      </c>
      <c r="B2032" s="39"/>
      <c r="C2032" s="39" t="s">
        <v>524</v>
      </c>
      <c r="D2032" s="40"/>
      <c r="E2032" s="40"/>
      <c r="F2032" s="40"/>
      <c r="G2032" s="41"/>
      <c r="H2032" s="41"/>
      <c r="I2032" s="41"/>
      <c r="J2032" s="42" t="s">
        <v>532</v>
      </c>
    </row>
    <row r="2033" spans="1:10" s="43" customFormat="1" ht="15" x14ac:dyDescent="0.25">
      <c r="A2033" s="38" t="s">
        <v>524</v>
      </c>
      <c r="B2033" s="39"/>
      <c r="C2033" s="39" t="s">
        <v>524</v>
      </c>
      <c r="D2033" s="40"/>
      <c r="E2033" s="40"/>
      <c r="F2033" s="40"/>
      <c r="G2033" s="41"/>
      <c r="H2033" s="41"/>
      <c r="I2033" s="41"/>
      <c r="J2033" s="42" t="s">
        <v>532</v>
      </c>
    </row>
    <row r="2034" spans="1:10" s="43" customFormat="1" ht="15" x14ac:dyDescent="0.25">
      <c r="A2034" s="38" t="s">
        <v>524</v>
      </c>
      <c r="B2034" s="39"/>
      <c r="C2034" s="39" t="s">
        <v>524</v>
      </c>
      <c r="D2034" s="40"/>
      <c r="E2034" s="40"/>
      <c r="F2034" s="40"/>
      <c r="G2034" s="41"/>
      <c r="H2034" s="41"/>
      <c r="I2034" s="41"/>
      <c r="J2034" s="42" t="s">
        <v>532</v>
      </c>
    </row>
    <row r="2035" spans="1:10" s="43" customFormat="1" ht="15" x14ac:dyDescent="0.25">
      <c r="A2035" s="38" t="s">
        <v>524</v>
      </c>
      <c r="B2035" s="39"/>
      <c r="C2035" s="39" t="s">
        <v>524</v>
      </c>
      <c r="D2035" s="40"/>
      <c r="E2035" s="40"/>
      <c r="F2035" s="40"/>
      <c r="G2035" s="41"/>
      <c r="H2035" s="41"/>
      <c r="I2035" s="41"/>
      <c r="J2035" s="42" t="s">
        <v>532</v>
      </c>
    </row>
    <row r="2036" spans="1:10" s="43" customFormat="1" ht="15" x14ac:dyDescent="0.25">
      <c r="A2036" s="38" t="s">
        <v>524</v>
      </c>
      <c r="B2036" s="39"/>
      <c r="C2036" s="39" t="s">
        <v>524</v>
      </c>
      <c r="D2036" s="40"/>
      <c r="E2036" s="40"/>
      <c r="F2036" s="40"/>
      <c r="G2036" s="41"/>
      <c r="H2036" s="41"/>
      <c r="I2036" s="41"/>
      <c r="J2036" s="42" t="s">
        <v>532</v>
      </c>
    </row>
    <row r="2037" spans="1:10" s="43" customFormat="1" ht="15" x14ac:dyDescent="0.25">
      <c r="A2037" s="38" t="s">
        <v>524</v>
      </c>
      <c r="B2037" s="39"/>
      <c r="C2037" s="39" t="s">
        <v>524</v>
      </c>
      <c r="D2037" s="40"/>
      <c r="E2037" s="40"/>
      <c r="F2037" s="40"/>
      <c r="G2037" s="41"/>
      <c r="H2037" s="41"/>
      <c r="I2037" s="41"/>
      <c r="J2037" s="42" t="s">
        <v>532</v>
      </c>
    </row>
    <row r="2038" spans="1:10" s="43" customFormat="1" ht="15" x14ac:dyDescent="0.25">
      <c r="A2038" s="38" t="s">
        <v>524</v>
      </c>
      <c r="B2038" s="39"/>
      <c r="C2038" s="39" t="s">
        <v>524</v>
      </c>
      <c r="D2038" s="40"/>
      <c r="E2038" s="40"/>
      <c r="F2038" s="40"/>
      <c r="G2038" s="41"/>
      <c r="H2038" s="41"/>
      <c r="I2038" s="41"/>
      <c r="J2038" s="42" t="s">
        <v>532</v>
      </c>
    </row>
    <row r="2039" spans="1:10" s="43" customFormat="1" ht="15" x14ac:dyDescent="0.25">
      <c r="A2039" s="38" t="s">
        <v>524</v>
      </c>
      <c r="B2039" s="39"/>
      <c r="C2039" s="39" t="s">
        <v>524</v>
      </c>
      <c r="D2039" s="40"/>
      <c r="E2039" s="40"/>
      <c r="F2039" s="40"/>
      <c r="G2039" s="41"/>
      <c r="H2039" s="41"/>
      <c r="I2039" s="41"/>
      <c r="J2039" s="42" t="s">
        <v>532</v>
      </c>
    </row>
    <row r="2040" spans="1:10" s="43" customFormat="1" ht="15" x14ac:dyDescent="0.25">
      <c r="A2040" s="38" t="s">
        <v>524</v>
      </c>
      <c r="B2040" s="39"/>
      <c r="C2040" s="39" t="s">
        <v>524</v>
      </c>
      <c r="D2040" s="40"/>
      <c r="E2040" s="40"/>
      <c r="F2040" s="40"/>
      <c r="G2040" s="41"/>
      <c r="H2040" s="41"/>
      <c r="I2040" s="41"/>
      <c r="J2040" s="42" t="s">
        <v>532</v>
      </c>
    </row>
    <row r="2041" spans="1:10" s="43" customFormat="1" ht="15" x14ac:dyDescent="0.25">
      <c r="A2041" s="38" t="s">
        <v>524</v>
      </c>
      <c r="B2041" s="39"/>
      <c r="C2041" s="39" t="s">
        <v>524</v>
      </c>
      <c r="D2041" s="40"/>
      <c r="E2041" s="40"/>
      <c r="F2041" s="40"/>
      <c r="G2041" s="41"/>
      <c r="H2041" s="41"/>
      <c r="I2041" s="41"/>
      <c r="J2041" s="42" t="s">
        <v>532</v>
      </c>
    </row>
    <row r="2042" spans="1:10" s="43" customFormat="1" ht="15" x14ac:dyDescent="0.25">
      <c r="A2042" s="38" t="s">
        <v>524</v>
      </c>
      <c r="B2042" s="39"/>
      <c r="C2042" s="39" t="s">
        <v>524</v>
      </c>
      <c r="D2042" s="40"/>
      <c r="E2042" s="40"/>
      <c r="F2042" s="40"/>
      <c r="G2042" s="41"/>
      <c r="H2042" s="41"/>
      <c r="I2042" s="41"/>
      <c r="J2042" s="42" t="s">
        <v>532</v>
      </c>
    </row>
    <row r="2043" spans="1:10" s="43" customFormat="1" ht="15" x14ac:dyDescent="0.25">
      <c r="A2043" s="38" t="s">
        <v>524</v>
      </c>
      <c r="B2043" s="39"/>
      <c r="C2043" s="39" t="s">
        <v>524</v>
      </c>
      <c r="D2043" s="40"/>
      <c r="E2043" s="40"/>
      <c r="F2043" s="40"/>
      <c r="G2043" s="41"/>
      <c r="H2043" s="41"/>
      <c r="I2043" s="41"/>
      <c r="J2043" s="42" t="s">
        <v>532</v>
      </c>
    </row>
    <row r="2044" spans="1:10" s="43" customFormat="1" ht="15" x14ac:dyDescent="0.25">
      <c r="A2044" s="38" t="s">
        <v>524</v>
      </c>
      <c r="B2044" s="39"/>
      <c r="C2044" s="39" t="s">
        <v>524</v>
      </c>
      <c r="D2044" s="40"/>
      <c r="E2044" s="40"/>
      <c r="F2044" s="40"/>
      <c r="G2044" s="41"/>
      <c r="H2044" s="41"/>
      <c r="I2044" s="41"/>
      <c r="J2044" s="42" t="s">
        <v>532</v>
      </c>
    </row>
    <row r="2045" spans="1:10" s="43" customFormat="1" ht="15" x14ac:dyDescent="0.25">
      <c r="A2045" s="38" t="s">
        <v>524</v>
      </c>
      <c r="B2045" s="39"/>
      <c r="C2045" s="39" t="s">
        <v>524</v>
      </c>
      <c r="D2045" s="40"/>
      <c r="E2045" s="40"/>
      <c r="F2045" s="40"/>
      <c r="G2045" s="41"/>
      <c r="H2045" s="41"/>
      <c r="I2045" s="41"/>
      <c r="J2045" s="42" t="s">
        <v>532</v>
      </c>
    </row>
    <row r="2046" spans="1:10" s="43" customFormat="1" ht="15" x14ac:dyDescent="0.25">
      <c r="A2046" s="38" t="s">
        <v>524</v>
      </c>
      <c r="B2046" s="39"/>
      <c r="C2046" s="39" t="s">
        <v>524</v>
      </c>
      <c r="D2046" s="40"/>
      <c r="E2046" s="40"/>
      <c r="F2046" s="40"/>
      <c r="G2046" s="41"/>
      <c r="H2046" s="41"/>
      <c r="I2046" s="41"/>
      <c r="J2046" s="42" t="s">
        <v>532</v>
      </c>
    </row>
    <row r="2047" spans="1:10" s="43" customFormat="1" ht="15" x14ac:dyDescent="0.25">
      <c r="A2047" s="38" t="s">
        <v>524</v>
      </c>
      <c r="B2047" s="39"/>
      <c r="C2047" s="39" t="s">
        <v>524</v>
      </c>
      <c r="D2047" s="40"/>
      <c r="E2047" s="40"/>
      <c r="F2047" s="40"/>
      <c r="G2047" s="41"/>
      <c r="H2047" s="41"/>
      <c r="I2047" s="41"/>
      <c r="J2047" s="42" t="s">
        <v>532</v>
      </c>
    </row>
    <row r="2048" spans="1:10" s="43" customFormat="1" ht="15" x14ac:dyDescent="0.25">
      <c r="A2048" s="38" t="s">
        <v>524</v>
      </c>
      <c r="B2048" s="39"/>
      <c r="C2048" s="39" t="s">
        <v>524</v>
      </c>
      <c r="D2048" s="40"/>
      <c r="E2048" s="40"/>
      <c r="F2048" s="40"/>
      <c r="G2048" s="41"/>
      <c r="H2048" s="41"/>
      <c r="I2048" s="41"/>
      <c r="J2048" s="42" t="s">
        <v>532</v>
      </c>
    </row>
    <row r="2049" spans="1:10" s="43" customFormat="1" ht="15" x14ac:dyDescent="0.25">
      <c r="A2049" s="38" t="s">
        <v>524</v>
      </c>
      <c r="B2049" s="39"/>
      <c r="C2049" s="39" t="s">
        <v>524</v>
      </c>
      <c r="D2049" s="40"/>
      <c r="E2049" s="40"/>
      <c r="F2049" s="40"/>
      <c r="G2049" s="41"/>
      <c r="H2049" s="41"/>
      <c r="I2049" s="41"/>
      <c r="J2049" s="42" t="s">
        <v>532</v>
      </c>
    </row>
    <row r="2050" spans="1:10" s="43" customFormat="1" ht="15" x14ac:dyDescent="0.25">
      <c r="A2050" s="38" t="s">
        <v>524</v>
      </c>
      <c r="B2050" s="39"/>
      <c r="C2050" s="39" t="s">
        <v>524</v>
      </c>
      <c r="D2050" s="40"/>
      <c r="E2050" s="40"/>
      <c r="F2050" s="40"/>
      <c r="G2050" s="41"/>
      <c r="H2050" s="41"/>
      <c r="I2050" s="41"/>
      <c r="J2050" s="42" t="s">
        <v>532</v>
      </c>
    </row>
    <row r="2051" spans="1:10" s="43" customFormat="1" ht="15" x14ac:dyDescent="0.25">
      <c r="A2051" s="38" t="s">
        <v>524</v>
      </c>
      <c r="B2051" s="39"/>
      <c r="C2051" s="39" t="s">
        <v>524</v>
      </c>
      <c r="D2051" s="40"/>
      <c r="E2051" s="40"/>
      <c r="F2051" s="40"/>
      <c r="G2051" s="41"/>
      <c r="H2051" s="41"/>
      <c r="I2051" s="41"/>
      <c r="J2051" s="42" t="s">
        <v>532</v>
      </c>
    </row>
    <row r="2052" spans="1:10" s="43" customFormat="1" ht="15" x14ac:dyDescent="0.25">
      <c r="A2052" s="38" t="s">
        <v>524</v>
      </c>
      <c r="B2052" s="39"/>
      <c r="C2052" s="39" t="s">
        <v>524</v>
      </c>
      <c r="D2052" s="40"/>
      <c r="E2052" s="40"/>
      <c r="F2052" s="40"/>
      <c r="G2052" s="41"/>
      <c r="H2052" s="41"/>
      <c r="I2052" s="41"/>
      <c r="J2052" s="42" t="s">
        <v>532</v>
      </c>
    </row>
    <row r="2053" spans="1:10" s="43" customFormat="1" ht="15" x14ac:dyDescent="0.25">
      <c r="A2053" s="38" t="s">
        <v>524</v>
      </c>
      <c r="B2053" s="39"/>
      <c r="C2053" s="39" t="s">
        <v>524</v>
      </c>
      <c r="D2053" s="40"/>
      <c r="E2053" s="40"/>
      <c r="F2053" s="40"/>
      <c r="G2053" s="41"/>
      <c r="H2053" s="41"/>
      <c r="I2053" s="41"/>
      <c r="J2053" s="42" t="s">
        <v>532</v>
      </c>
    </row>
    <row r="2054" spans="1:10" s="43" customFormat="1" ht="15" x14ac:dyDescent="0.25">
      <c r="A2054" s="38" t="s">
        <v>524</v>
      </c>
      <c r="B2054" s="39"/>
      <c r="C2054" s="39" t="s">
        <v>524</v>
      </c>
      <c r="D2054" s="40"/>
      <c r="E2054" s="40"/>
      <c r="F2054" s="40"/>
      <c r="G2054" s="41"/>
      <c r="H2054" s="41"/>
      <c r="I2054" s="41"/>
      <c r="J2054" s="42" t="s">
        <v>532</v>
      </c>
    </row>
    <row r="2055" spans="1:10" s="43" customFormat="1" ht="15" x14ac:dyDescent="0.25">
      <c r="A2055" s="38" t="s">
        <v>524</v>
      </c>
      <c r="B2055" s="39"/>
      <c r="C2055" s="39" t="s">
        <v>524</v>
      </c>
      <c r="D2055" s="40"/>
      <c r="E2055" s="40"/>
      <c r="F2055" s="40"/>
      <c r="G2055" s="41"/>
      <c r="H2055" s="41"/>
      <c r="I2055" s="41"/>
      <c r="J2055" s="42" t="s">
        <v>532</v>
      </c>
    </row>
    <row r="2056" spans="1:10" s="43" customFormat="1" ht="15" x14ac:dyDescent="0.25">
      <c r="A2056" s="38" t="s">
        <v>524</v>
      </c>
      <c r="B2056" s="39"/>
      <c r="C2056" s="39" t="s">
        <v>524</v>
      </c>
      <c r="D2056" s="40"/>
      <c r="E2056" s="40"/>
      <c r="F2056" s="40"/>
      <c r="G2056" s="41"/>
      <c r="H2056" s="41"/>
      <c r="I2056" s="41"/>
      <c r="J2056" s="42" t="s">
        <v>532</v>
      </c>
    </row>
    <row r="2057" spans="1:10" s="43" customFormat="1" ht="15" x14ac:dyDescent="0.25">
      <c r="A2057" s="38" t="s">
        <v>524</v>
      </c>
      <c r="B2057" s="39"/>
      <c r="C2057" s="39" t="s">
        <v>524</v>
      </c>
      <c r="D2057" s="40"/>
      <c r="E2057" s="40"/>
      <c r="F2057" s="40"/>
      <c r="G2057" s="41"/>
      <c r="H2057" s="41"/>
      <c r="I2057" s="41"/>
      <c r="J2057" s="42" t="s">
        <v>532</v>
      </c>
    </row>
    <row r="2058" spans="1:10" s="43" customFormat="1" ht="15" x14ac:dyDescent="0.25">
      <c r="A2058" s="38" t="s">
        <v>524</v>
      </c>
      <c r="B2058" s="39"/>
      <c r="C2058" s="39" t="s">
        <v>524</v>
      </c>
      <c r="D2058" s="40"/>
      <c r="E2058" s="40"/>
      <c r="F2058" s="40"/>
      <c r="G2058" s="41"/>
      <c r="H2058" s="41"/>
      <c r="I2058" s="41"/>
      <c r="J2058" s="42" t="s">
        <v>532</v>
      </c>
    </row>
    <row r="2059" spans="1:10" s="43" customFormat="1" ht="15" x14ac:dyDescent="0.25">
      <c r="A2059" s="38" t="s">
        <v>524</v>
      </c>
      <c r="B2059" s="39"/>
      <c r="C2059" s="39" t="s">
        <v>524</v>
      </c>
      <c r="D2059" s="40"/>
      <c r="E2059" s="40"/>
      <c r="F2059" s="40"/>
      <c r="G2059" s="41"/>
      <c r="H2059" s="41"/>
      <c r="I2059" s="41"/>
      <c r="J2059" s="42" t="s">
        <v>532</v>
      </c>
    </row>
    <row r="2060" spans="1:10" s="43" customFormat="1" ht="15" x14ac:dyDescent="0.25">
      <c r="A2060" s="38" t="s">
        <v>524</v>
      </c>
      <c r="B2060" s="39"/>
      <c r="C2060" s="39" t="s">
        <v>524</v>
      </c>
      <c r="D2060" s="40"/>
      <c r="E2060" s="40"/>
      <c r="F2060" s="40"/>
      <c r="G2060" s="41"/>
      <c r="H2060" s="41"/>
      <c r="I2060" s="41"/>
      <c r="J2060" s="42" t="s">
        <v>532</v>
      </c>
    </row>
    <row r="2061" spans="1:10" s="43" customFormat="1" ht="15" x14ac:dyDescent="0.25">
      <c r="A2061" s="38" t="s">
        <v>524</v>
      </c>
      <c r="B2061" s="39"/>
      <c r="C2061" s="39" t="s">
        <v>524</v>
      </c>
      <c r="D2061" s="40"/>
      <c r="E2061" s="40"/>
      <c r="F2061" s="40"/>
      <c r="G2061" s="41"/>
      <c r="H2061" s="41"/>
      <c r="I2061" s="41"/>
      <c r="J2061" s="42" t="s">
        <v>532</v>
      </c>
    </row>
    <row r="2062" spans="1:10" s="43" customFormat="1" ht="15" x14ac:dyDescent="0.25">
      <c r="A2062" s="38" t="s">
        <v>524</v>
      </c>
      <c r="B2062" s="39"/>
      <c r="C2062" s="39" t="s">
        <v>524</v>
      </c>
      <c r="D2062" s="40"/>
      <c r="E2062" s="40"/>
      <c r="F2062" s="40"/>
      <c r="G2062" s="41"/>
      <c r="H2062" s="41"/>
      <c r="I2062" s="41"/>
      <c r="J2062" s="42" t="s">
        <v>532</v>
      </c>
    </row>
    <row r="2063" spans="1:10" s="43" customFormat="1" ht="15" x14ac:dyDescent="0.25">
      <c r="A2063" s="38" t="s">
        <v>524</v>
      </c>
      <c r="B2063" s="39"/>
      <c r="C2063" s="39" t="s">
        <v>524</v>
      </c>
      <c r="D2063" s="40"/>
      <c r="E2063" s="40"/>
      <c r="F2063" s="40"/>
      <c r="G2063" s="41"/>
      <c r="H2063" s="41"/>
      <c r="I2063" s="41"/>
      <c r="J2063" s="42" t="s">
        <v>532</v>
      </c>
    </row>
    <row r="2064" spans="1:10" s="43" customFormat="1" ht="15" x14ac:dyDescent="0.25">
      <c r="A2064" s="38" t="s">
        <v>524</v>
      </c>
      <c r="B2064" s="39"/>
      <c r="C2064" s="39" t="s">
        <v>524</v>
      </c>
      <c r="D2064" s="40"/>
      <c r="E2064" s="40"/>
      <c r="F2064" s="40"/>
      <c r="G2064" s="41"/>
      <c r="H2064" s="41"/>
      <c r="I2064" s="41"/>
      <c r="J2064" s="42" t="s">
        <v>532</v>
      </c>
    </row>
    <row r="2065" spans="1:10" s="43" customFormat="1" ht="15" x14ac:dyDescent="0.25">
      <c r="A2065" s="38" t="s">
        <v>524</v>
      </c>
      <c r="B2065" s="39"/>
      <c r="C2065" s="39" t="s">
        <v>524</v>
      </c>
      <c r="D2065" s="40"/>
      <c r="E2065" s="40"/>
      <c r="F2065" s="40"/>
      <c r="G2065" s="41"/>
      <c r="H2065" s="41"/>
      <c r="I2065" s="41"/>
      <c r="J2065" s="42" t="s">
        <v>532</v>
      </c>
    </row>
    <row r="2066" spans="1:10" s="43" customFormat="1" ht="15" x14ac:dyDescent="0.25">
      <c r="A2066" s="38" t="s">
        <v>524</v>
      </c>
      <c r="B2066" s="39"/>
      <c r="C2066" s="39" t="s">
        <v>524</v>
      </c>
      <c r="D2066" s="40"/>
      <c r="E2066" s="40"/>
      <c r="F2066" s="40"/>
      <c r="G2066" s="41"/>
      <c r="H2066" s="41"/>
      <c r="I2066" s="41"/>
      <c r="J2066" s="42" t="s">
        <v>532</v>
      </c>
    </row>
    <row r="2067" spans="1:10" s="43" customFormat="1" ht="15" x14ac:dyDescent="0.25">
      <c r="A2067" s="38" t="s">
        <v>524</v>
      </c>
      <c r="B2067" s="39"/>
      <c r="C2067" s="39" t="s">
        <v>524</v>
      </c>
      <c r="D2067" s="40"/>
      <c r="E2067" s="40"/>
      <c r="F2067" s="40"/>
      <c r="G2067" s="41"/>
      <c r="H2067" s="41"/>
      <c r="I2067" s="41"/>
      <c r="J2067" s="42" t="s">
        <v>532</v>
      </c>
    </row>
    <row r="2068" spans="1:10" s="43" customFormat="1" ht="15" x14ac:dyDescent="0.25">
      <c r="A2068" s="38" t="s">
        <v>524</v>
      </c>
      <c r="B2068" s="39"/>
      <c r="C2068" s="39" t="s">
        <v>524</v>
      </c>
      <c r="D2068" s="40"/>
      <c r="E2068" s="40"/>
      <c r="F2068" s="40"/>
      <c r="G2068" s="41"/>
      <c r="H2068" s="41"/>
      <c r="I2068" s="41"/>
      <c r="J2068" s="42" t="s">
        <v>532</v>
      </c>
    </row>
    <row r="2069" spans="1:10" s="43" customFormat="1" ht="15" x14ac:dyDescent="0.25">
      <c r="A2069" s="38" t="s">
        <v>524</v>
      </c>
      <c r="B2069" s="39"/>
      <c r="C2069" s="39" t="s">
        <v>524</v>
      </c>
      <c r="D2069" s="40"/>
      <c r="E2069" s="40"/>
      <c r="F2069" s="40"/>
      <c r="G2069" s="41"/>
      <c r="H2069" s="41"/>
      <c r="I2069" s="41"/>
      <c r="J2069" s="42" t="s">
        <v>532</v>
      </c>
    </row>
    <row r="2070" spans="1:10" s="43" customFormat="1" ht="15" x14ac:dyDescent="0.25">
      <c r="A2070" s="38" t="s">
        <v>524</v>
      </c>
      <c r="B2070" s="39"/>
      <c r="C2070" s="39" t="s">
        <v>524</v>
      </c>
      <c r="D2070" s="40"/>
      <c r="E2070" s="40"/>
      <c r="F2070" s="40"/>
      <c r="G2070" s="41"/>
      <c r="H2070" s="41"/>
      <c r="I2070" s="41"/>
      <c r="J2070" s="42" t="s">
        <v>532</v>
      </c>
    </row>
    <row r="2071" spans="1:10" s="43" customFormat="1" ht="15" x14ac:dyDescent="0.25">
      <c r="A2071" s="38" t="s">
        <v>524</v>
      </c>
      <c r="B2071" s="39"/>
      <c r="C2071" s="39" t="s">
        <v>524</v>
      </c>
      <c r="D2071" s="40"/>
      <c r="E2071" s="40"/>
      <c r="F2071" s="40"/>
      <c r="G2071" s="41"/>
      <c r="H2071" s="41"/>
      <c r="I2071" s="41"/>
      <c r="J2071" s="42" t="s">
        <v>532</v>
      </c>
    </row>
    <row r="2072" spans="1:10" s="43" customFormat="1" ht="15" x14ac:dyDescent="0.25">
      <c r="A2072" s="38" t="s">
        <v>524</v>
      </c>
      <c r="B2072" s="39"/>
      <c r="C2072" s="39" t="s">
        <v>524</v>
      </c>
      <c r="D2072" s="40"/>
      <c r="E2072" s="40"/>
      <c r="F2072" s="40"/>
      <c r="G2072" s="41"/>
      <c r="H2072" s="41"/>
      <c r="I2072" s="41"/>
      <c r="J2072" s="42" t="s">
        <v>532</v>
      </c>
    </row>
    <row r="2073" spans="1:10" s="43" customFormat="1" ht="15" x14ac:dyDescent="0.25">
      <c r="A2073" s="38" t="s">
        <v>524</v>
      </c>
      <c r="B2073" s="39"/>
      <c r="C2073" s="39" t="s">
        <v>524</v>
      </c>
      <c r="D2073" s="40"/>
      <c r="E2073" s="40"/>
      <c r="F2073" s="40"/>
      <c r="G2073" s="41"/>
      <c r="H2073" s="41"/>
      <c r="I2073" s="41"/>
      <c r="J2073" s="42" t="s">
        <v>532</v>
      </c>
    </row>
    <row r="2074" spans="1:10" s="43" customFormat="1" ht="15" x14ac:dyDescent="0.25">
      <c r="A2074" s="38" t="s">
        <v>524</v>
      </c>
      <c r="B2074" s="39"/>
      <c r="C2074" s="39" t="s">
        <v>524</v>
      </c>
      <c r="D2074" s="40"/>
      <c r="E2074" s="40"/>
      <c r="F2074" s="40"/>
      <c r="G2074" s="41"/>
      <c r="H2074" s="41"/>
      <c r="I2074" s="41"/>
      <c r="J2074" s="42" t="s">
        <v>532</v>
      </c>
    </row>
    <row r="2075" spans="1:10" s="43" customFormat="1" ht="15" x14ac:dyDescent="0.25">
      <c r="A2075" s="38" t="s">
        <v>524</v>
      </c>
      <c r="B2075" s="39"/>
      <c r="C2075" s="39" t="s">
        <v>524</v>
      </c>
      <c r="D2075" s="40"/>
      <c r="E2075" s="40"/>
      <c r="F2075" s="40"/>
      <c r="G2075" s="41"/>
      <c r="H2075" s="41"/>
      <c r="I2075" s="41"/>
      <c r="J2075" s="42" t="s">
        <v>532</v>
      </c>
    </row>
    <row r="2076" spans="1:10" s="43" customFormat="1" ht="15" x14ac:dyDescent="0.25">
      <c r="A2076" s="38" t="s">
        <v>524</v>
      </c>
      <c r="B2076" s="39"/>
      <c r="C2076" s="39" t="s">
        <v>524</v>
      </c>
      <c r="D2076" s="40"/>
      <c r="E2076" s="40"/>
      <c r="F2076" s="40"/>
      <c r="G2076" s="41"/>
      <c r="H2076" s="41"/>
      <c r="I2076" s="41"/>
      <c r="J2076" s="42" t="s">
        <v>532</v>
      </c>
    </row>
    <row r="2077" spans="1:10" s="43" customFormat="1" ht="15" x14ac:dyDescent="0.25">
      <c r="A2077" s="38" t="s">
        <v>524</v>
      </c>
      <c r="B2077" s="39"/>
      <c r="C2077" s="39" t="s">
        <v>524</v>
      </c>
      <c r="D2077" s="40"/>
      <c r="E2077" s="40"/>
      <c r="F2077" s="40"/>
      <c r="G2077" s="41"/>
      <c r="H2077" s="41"/>
      <c r="I2077" s="41"/>
      <c r="J2077" s="42" t="s">
        <v>532</v>
      </c>
    </row>
    <row r="2078" spans="1:10" s="43" customFormat="1" ht="15" x14ac:dyDescent="0.25">
      <c r="A2078" s="38" t="s">
        <v>524</v>
      </c>
      <c r="B2078" s="39"/>
      <c r="C2078" s="39" t="s">
        <v>524</v>
      </c>
      <c r="D2078" s="40"/>
      <c r="E2078" s="40"/>
      <c r="F2078" s="40"/>
      <c r="G2078" s="41"/>
      <c r="H2078" s="41"/>
      <c r="I2078" s="41"/>
      <c r="J2078" s="42" t="s">
        <v>532</v>
      </c>
    </row>
    <row r="2079" spans="1:10" s="43" customFormat="1" ht="15" x14ac:dyDescent="0.25">
      <c r="A2079" s="38" t="s">
        <v>524</v>
      </c>
      <c r="B2079" s="39"/>
      <c r="C2079" s="39" t="s">
        <v>524</v>
      </c>
      <c r="D2079" s="40"/>
      <c r="E2079" s="40"/>
      <c r="F2079" s="40"/>
      <c r="G2079" s="41"/>
      <c r="H2079" s="41"/>
      <c r="I2079" s="41"/>
      <c r="J2079" s="42" t="s">
        <v>532</v>
      </c>
    </row>
    <row r="2080" spans="1:10" s="43" customFormat="1" ht="15" x14ac:dyDescent="0.25">
      <c r="A2080" s="38" t="s">
        <v>524</v>
      </c>
      <c r="B2080" s="39"/>
      <c r="C2080" s="39" t="s">
        <v>524</v>
      </c>
      <c r="D2080" s="40"/>
      <c r="E2080" s="40"/>
      <c r="F2080" s="40"/>
      <c r="G2080" s="41"/>
      <c r="H2080" s="41"/>
      <c r="I2080" s="41"/>
      <c r="J2080" s="42" t="s">
        <v>532</v>
      </c>
    </row>
    <row r="2081" spans="1:10" s="43" customFormat="1" ht="15" x14ac:dyDescent="0.25">
      <c r="A2081" s="38" t="s">
        <v>524</v>
      </c>
      <c r="B2081" s="39"/>
      <c r="C2081" s="39" t="s">
        <v>524</v>
      </c>
      <c r="D2081" s="40"/>
      <c r="E2081" s="40"/>
      <c r="F2081" s="40"/>
      <c r="G2081" s="41"/>
      <c r="H2081" s="41"/>
      <c r="I2081" s="41"/>
      <c r="J2081" s="42" t="s">
        <v>532</v>
      </c>
    </row>
    <row r="2082" spans="1:10" s="43" customFormat="1" ht="15" x14ac:dyDescent="0.25">
      <c r="A2082" s="38" t="s">
        <v>524</v>
      </c>
      <c r="B2082" s="39"/>
      <c r="C2082" s="39" t="s">
        <v>524</v>
      </c>
      <c r="D2082" s="40"/>
      <c r="E2082" s="40"/>
      <c r="F2082" s="40"/>
      <c r="G2082" s="41"/>
      <c r="H2082" s="41"/>
      <c r="I2082" s="41"/>
      <c r="J2082" s="42" t="s">
        <v>532</v>
      </c>
    </row>
    <row r="2083" spans="1:10" s="43" customFormat="1" ht="15" x14ac:dyDescent="0.25">
      <c r="A2083" s="38" t="s">
        <v>524</v>
      </c>
      <c r="B2083" s="39"/>
      <c r="C2083" s="39" t="s">
        <v>524</v>
      </c>
      <c r="D2083" s="40"/>
      <c r="E2083" s="40"/>
      <c r="F2083" s="40"/>
      <c r="G2083" s="41"/>
      <c r="H2083" s="41"/>
      <c r="I2083" s="41"/>
      <c r="J2083" s="42" t="s">
        <v>532</v>
      </c>
    </row>
    <row r="2084" spans="1:10" s="43" customFormat="1" ht="15" x14ac:dyDescent="0.25">
      <c r="A2084" s="38" t="s">
        <v>524</v>
      </c>
      <c r="B2084" s="39"/>
      <c r="C2084" s="39" t="s">
        <v>524</v>
      </c>
      <c r="D2084" s="40"/>
      <c r="E2084" s="40"/>
      <c r="F2084" s="40"/>
      <c r="G2084" s="41"/>
      <c r="H2084" s="41"/>
      <c r="I2084" s="41"/>
      <c r="J2084" s="42" t="s">
        <v>532</v>
      </c>
    </row>
    <row r="2085" spans="1:10" s="43" customFormat="1" ht="15" x14ac:dyDescent="0.25">
      <c r="A2085" s="38" t="s">
        <v>524</v>
      </c>
      <c r="B2085" s="39"/>
      <c r="C2085" s="39" t="s">
        <v>524</v>
      </c>
      <c r="D2085" s="40"/>
      <c r="E2085" s="40"/>
      <c r="F2085" s="40"/>
      <c r="G2085" s="41"/>
      <c r="H2085" s="41"/>
      <c r="I2085" s="41"/>
      <c r="J2085" s="42" t="s">
        <v>532</v>
      </c>
    </row>
    <row r="2086" spans="1:10" s="43" customFormat="1" ht="15" x14ac:dyDescent="0.25">
      <c r="A2086" s="38" t="s">
        <v>524</v>
      </c>
      <c r="B2086" s="39"/>
      <c r="C2086" s="39" t="s">
        <v>524</v>
      </c>
      <c r="D2086" s="40"/>
      <c r="E2086" s="40"/>
      <c r="F2086" s="40"/>
      <c r="G2086" s="41"/>
      <c r="H2086" s="41"/>
      <c r="I2086" s="41"/>
      <c r="J2086" s="42" t="s">
        <v>532</v>
      </c>
    </row>
    <row r="2087" spans="1:10" s="43" customFormat="1" ht="15" x14ac:dyDescent="0.25">
      <c r="A2087" s="38" t="s">
        <v>524</v>
      </c>
      <c r="B2087" s="39"/>
      <c r="C2087" s="39" t="s">
        <v>524</v>
      </c>
      <c r="D2087" s="40"/>
      <c r="E2087" s="40"/>
      <c r="F2087" s="40"/>
      <c r="G2087" s="41"/>
      <c r="H2087" s="41"/>
      <c r="I2087" s="41"/>
      <c r="J2087" s="42" t="s">
        <v>532</v>
      </c>
    </row>
    <row r="2088" spans="1:10" s="43" customFormat="1" ht="15" x14ac:dyDescent="0.25">
      <c r="A2088" s="38" t="s">
        <v>524</v>
      </c>
      <c r="B2088" s="39"/>
      <c r="C2088" s="39" t="s">
        <v>524</v>
      </c>
      <c r="D2088" s="40"/>
      <c r="E2088" s="40"/>
      <c r="F2088" s="40"/>
      <c r="G2088" s="41"/>
      <c r="H2088" s="41"/>
      <c r="I2088" s="41"/>
      <c r="J2088" s="42" t="s">
        <v>532</v>
      </c>
    </row>
    <row r="2089" spans="1:10" s="43" customFormat="1" ht="15" x14ac:dyDescent="0.25">
      <c r="A2089" s="38" t="s">
        <v>524</v>
      </c>
      <c r="B2089" s="39"/>
      <c r="C2089" s="39" t="s">
        <v>524</v>
      </c>
      <c r="D2089" s="40"/>
      <c r="E2089" s="40"/>
      <c r="F2089" s="40"/>
      <c r="G2089" s="41"/>
      <c r="H2089" s="41"/>
      <c r="I2089" s="41"/>
      <c r="J2089" s="42" t="s">
        <v>532</v>
      </c>
    </row>
    <row r="2090" spans="1:10" s="43" customFormat="1" ht="15" x14ac:dyDescent="0.25">
      <c r="A2090" s="38" t="s">
        <v>524</v>
      </c>
      <c r="B2090" s="39"/>
      <c r="C2090" s="39" t="s">
        <v>524</v>
      </c>
      <c r="D2090" s="40"/>
      <c r="E2090" s="40"/>
      <c r="F2090" s="40"/>
      <c r="G2090" s="41"/>
      <c r="H2090" s="41"/>
      <c r="I2090" s="41"/>
      <c r="J2090" s="42" t="s">
        <v>532</v>
      </c>
    </row>
    <row r="2091" spans="1:10" s="43" customFormat="1" ht="15" x14ac:dyDescent="0.25">
      <c r="A2091" s="38" t="s">
        <v>524</v>
      </c>
      <c r="B2091" s="39"/>
      <c r="C2091" s="39" t="s">
        <v>524</v>
      </c>
      <c r="D2091" s="40"/>
      <c r="E2091" s="40"/>
      <c r="F2091" s="40"/>
      <c r="G2091" s="41"/>
      <c r="H2091" s="41"/>
      <c r="I2091" s="41"/>
      <c r="J2091" s="42" t="s">
        <v>532</v>
      </c>
    </row>
    <row r="2092" spans="1:10" s="43" customFormat="1" ht="15" x14ac:dyDescent="0.25">
      <c r="A2092" s="38" t="s">
        <v>524</v>
      </c>
      <c r="B2092" s="39"/>
      <c r="C2092" s="39" t="s">
        <v>524</v>
      </c>
      <c r="D2092" s="40"/>
      <c r="E2092" s="40"/>
      <c r="F2092" s="40"/>
      <c r="G2092" s="41"/>
      <c r="H2092" s="41"/>
      <c r="I2092" s="41"/>
      <c r="J2092" s="42" t="s">
        <v>532</v>
      </c>
    </row>
    <row r="2093" spans="1:10" s="43" customFormat="1" ht="15" x14ac:dyDescent="0.25">
      <c r="A2093" s="38" t="s">
        <v>524</v>
      </c>
      <c r="B2093" s="39"/>
      <c r="C2093" s="39" t="s">
        <v>524</v>
      </c>
      <c r="D2093" s="40"/>
      <c r="E2093" s="40"/>
      <c r="F2093" s="40"/>
      <c r="G2093" s="41"/>
      <c r="H2093" s="41"/>
      <c r="I2093" s="41"/>
      <c r="J2093" s="42" t="s">
        <v>532</v>
      </c>
    </row>
    <row r="2094" spans="1:10" s="43" customFormat="1" ht="15" x14ac:dyDescent="0.25">
      <c r="A2094" s="38" t="s">
        <v>524</v>
      </c>
      <c r="B2094" s="39"/>
      <c r="C2094" s="39" t="s">
        <v>524</v>
      </c>
      <c r="D2094" s="40"/>
      <c r="E2094" s="40"/>
      <c r="F2094" s="40"/>
      <c r="G2094" s="41"/>
      <c r="H2094" s="41"/>
      <c r="I2094" s="41"/>
      <c r="J2094" s="42" t="s">
        <v>532</v>
      </c>
    </row>
    <row r="2095" spans="1:10" s="43" customFormat="1" ht="15" x14ac:dyDescent="0.25">
      <c r="A2095" s="38" t="s">
        <v>524</v>
      </c>
      <c r="B2095" s="39"/>
      <c r="C2095" s="39" t="s">
        <v>524</v>
      </c>
      <c r="D2095" s="40"/>
      <c r="E2095" s="40"/>
      <c r="F2095" s="40"/>
      <c r="G2095" s="41"/>
      <c r="H2095" s="41"/>
      <c r="I2095" s="41"/>
      <c r="J2095" s="42" t="s">
        <v>532</v>
      </c>
    </row>
    <row r="2096" spans="1:10" s="43" customFormat="1" ht="15" x14ac:dyDescent="0.25">
      <c r="A2096" s="38" t="s">
        <v>524</v>
      </c>
      <c r="B2096" s="39"/>
      <c r="C2096" s="39" t="s">
        <v>524</v>
      </c>
      <c r="D2096" s="40"/>
      <c r="E2096" s="40"/>
      <c r="F2096" s="40"/>
      <c r="G2096" s="41"/>
      <c r="H2096" s="41"/>
      <c r="I2096" s="41"/>
      <c r="J2096" s="42" t="s">
        <v>532</v>
      </c>
    </row>
    <row r="2097" spans="1:12" s="43" customFormat="1" ht="15" x14ac:dyDescent="0.25">
      <c r="A2097" s="38" t="s">
        <v>524</v>
      </c>
      <c r="B2097" s="39"/>
      <c r="C2097" s="39" t="s">
        <v>524</v>
      </c>
      <c r="D2097" s="40"/>
      <c r="E2097" s="40"/>
      <c r="F2097" s="40"/>
      <c r="G2097" s="41"/>
      <c r="H2097" s="41"/>
      <c r="I2097" s="41"/>
      <c r="J2097" s="42" t="s">
        <v>532</v>
      </c>
    </row>
    <row r="2098" spans="1:12" s="43" customFormat="1" ht="15" x14ac:dyDescent="0.25">
      <c r="A2098" s="38" t="s">
        <v>524</v>
      </c>
      <c r="B2098" s="39"/>
      <c r="C2098" s="39" t="s">
        <v>524</v>
      </c>
      <c r="D2098" s="40"/>
      <c r="E2098" s="40"/>
      <c r="F2098" s="40"/>
      <c r="G2098" s="41"/>
      <c r="H2098" s="41"/>
      <c r="I2098" s="41"/>
      <c r="J2098" s="42" t="s">
        <v>532</v>
      </c>
    </row>
    <row r="2099" spans="1:12" s="43" customFormat="1" ht="15" x14ac:dyDescent="0.25">
      <c r="A2099" s="38" t="s">
        <v>524</v>
      </c>
      <c r="B2099" s="39"/>
      <c r="C2099" s="39" t="s">
        <v>524</v>
      </c>
      <c r="D2099" s="40"/>
      <c r="E2099" s="40"/>
      <c r="F2099" s="40"/>
      <c r="G2099" s="41"/>
      <c r="H2099" s="41"/>
      <c r="I2099" s="41"/>
      <c r="J2099" s="42" t="s">
        <v>532</v>
      </c>
    </row>
    <row r="2100" spans="1:12" s="43" customFormat="1" ht="15" x14ac:dyDescent="0.25">
      <c r="A2100" s="38" t="s">
        <v>524</v>
      </c>
      <c r="B2100" s="39"/>
      <c r="C2100" s="39" t="s">
        <v>524</v>
      </c>
      <c r="D2100" s="40"/>
      <c r="E2100" s="40"/>
      <c r="F2100" s="40"/>
      <c r="G2100" s="41"/>
      <c r="H2100" s="41"/>
      <c r="I2100" s="41"/>
      <c r="J2100" s="42" t="s">
        <v>532</v>
      </c>
    </row>
    <row r="2101" spans="1:12" s="43" customFormat="1" ht="15" x14ac:dyDescent="0.25">
      <c r="A2101" s="38" t="s">
        <v>524</v>
      </c>
      <c r="B2101" s="39"/>
      <c r="C2101" s="39" t="s">
        <v>524</v>
      </c>
      <c r="D2101" s="40"/>
      <c r="E2101" s="40"/>
      <c r="F2101" s="40"/>
      <c r="G2101" s="41"/>
      <c r="H2101" s="41"/>
      <c r="I2101" s="41"/>
      <c r="J2101" s="42" t="s">
        <v>532</v>
      </c>
    </row>
    <row r="2102" spans="1:12" s="43" customFormat="1" ht="15" x14ac:dyDescent="0.25">
      <c r="A2102" s="38" t="s">
        <v>524</v>
      </c>
      <c r="B2102" s="39"/>
      <c r="C2102" s="39" t="s">
        <v>524</v>
      </c>
      <c r="D2102" s="40"/>
      <c r="E2102" s="40"/>
      <c r="F2102" s="40"/>
      <c r="G2102" s="41"/>
      <c r="H2102" s="41"/>
      <c r="I2102" s="41"/>
      <c r="J2102" s="42" t="s">
        <v>532</v>
      </c>
    </row>
    <row r="2103" spans="1:12" s="43" customFormat="1" ht="15" x14ac:dyDescent="0.25">
      <c r="A2103" s="38" t="s">
        <v>524</v>
      </c>
      <c r="B2103" s="39"/>
      <c r="C2103" s="39" t="s">
        <v>524</v>
      </c>
      <c r="D2103" s="40"/>
      <c r="E2103" s="40"/>
      <c r="F2103" s="40"/>
      <c r="G2103" s="41"/>
      <c r="H2103" s="41"/>
      <c r="I2103" s="41"/>
      <c r="J2103" s="42" t="s">
        <v>532</v>
      </c>
    </row>
    <row r="2104" spans="1:12" s="43" customFormat="1" ht="15" x14ac:dyDescent="0.25">
      <c r="A2104" s="38" t="s">
        <v>524</v>
      </c>
      <c r="B2104" s="39"/>
      <c r="C2104" s="39" t="s">
        <v>524</v>
      </c>
      <c r="D2104" s="40"/>
      <c r="E2104" s="40"/>
      <c r="F2104" s="40"/>
      <c r="G2104" s="41"/>
      <c r="H2104" s="41"/>
      <c r="I2104" s="41"/>
      <c r="J2104" s="42" t="s">
        <v>532</v>
      </c>
    </row>
    <row r="2105" spans="1:12" s="43" customFormat="1" ht="15" x14ac:dyDescent="0.25">
      <c r="A2105" s="38" t="s">
        <v>524</v>
      </c>
      <c r="B2105" s="39"/>
      <c r="C2105" s="39" t="s">
        <v>524</v>
      </c>
      <c r="D2105" s="40"/>
      <c r="E2105" s="40"/>
      <c r="F2105" s="40"/>
      <c r="G2105" s="41"/>
      <c r="H2105" s="41"/>
      <c r="I2105" s="41"/>
      <c r="J2105" s="42" t="s">
        <v>532</v>
      </c>
    </row>
    <row r="2106" spans="1:12" s="43" customFormat="1" ht="15" x14ac:dyDescent="0.25">
      <c r="A2106" s="38" t="s">
        <v>524</v>
      </c>
      <c r="B2106" s="39"/>
      <c r="C2106" s="39" t="s">
        <v>524</v>
      </c>
      <c r="D2106" s="40"/>
      <c r="E2106" s="40"/>
      <c r="F2106" s="40"/>
      <c r="G2106" s="41"/>
      <c r="H2106" s="41"/>
      <c r="I2106" s="41"/>
      <c r="J2106" s="42" t="s">
        <v>532</v>
      </c>
    </row>
    <row r="2107" spans="1:12" s="43" customFormat="1" ht="15" x14ac:dyDescent="0.25">
      <c r="A2107" s="38" t="s">
        <v>524</v>
      </c>
      <c r="B2107" s="39"/>
      <c r="C2107" s="39" t="s">
        <v>524</v>
      </c>
      <c r="D2107" s="40"/>
      <c r="E2107" s="40"/>
      <c r="F2107" s="40"/>
      <c r="G2107" s="41"/>
      <c r="H2107" s="41"/>
      <c r="I2107" s="41"/>
      <c r="J2107" s="42" t="s">
        <v>532</v>
      </c>
    </row>
    <row r="2108" spans="1:12" s="43" customFormat="1" ht="15" x14ac:dyDescent="0.25">
      <c r="A2108" s="38" t="s">
        <v>524</v>
      </c>
      <c r="B2108" s="39"/>
      <c r="C2108" s="39" t="s">
        <v>524</v>
      </c>
      <c r="D2108" s="40"/>
      <c r="E2108" s="40"/>
      <c r="F2108" s="40"/>
      <c r="G2108" s="41"/>
      <c r="H2108" s="41"/>
      <c r="I2108" s="41"/>
      <c r="J2108" s="42" t="s">
        <v>532</v>
      </c>
      <c r="K2108" s="42"/>
      <c r="L2108" s="42"/>
    </row>
    <row r="2109" spans="1:12" s="43" customFormat="1" ht="15" x14ac:dyDescent="0.25">
      <c r="A2109" s="38" t="s">
        <v>524</v>
      </c>
      <c r="B2109" s="39"/>
      <c r="C2109" s="39" t="s">
        <v>524</v>
      </c>
      <c r="D2109" s="40"/>
      <c r="E2109" s="40"/>
      <c r="F2109" s="40"/>
      <c r="G2109" s="41"/>
      <c r="H2109" s="41"/>
      <c r="I2109" s="41"/>
      <c r="J2109" s="42" t="s">
        <v>532</v>
      </c>
      <c r="K2109" s="42"/>
      <c r="L2109" s="42"/>
    </row>
    <row r="2110" spans="1:12" s="43" customFormat="1" ht="15" x14ac:dyDescent="0.25">
      <c r="A2110" s="38" t="s">
        <v>524</v>
      </c>
      <c r="B2110" s="39"/>
      <c r="C2110" s="39" t="s">
        <v>524</v>
      </c>
      <c r="D2110" s="40"/>
      <c r="E2110" s="40"/>
      <c r="F2110" s="40"/>
      <c r="G2110" s="41"/>
      <c r="H2110" s="41"/>
      <c r="I2110" s="41"/>
      <c r="J2110" s="42" t="s">
        <v>532</v>
      </c>
      <c r="K2110" s="42"/>
      <c r="L2110" s="42"/>
    </row>
    <row r="2111" spans="1:12" s="43" customFormat="1" ht="15" x14ac:dyDescent="0.25">
      <c r="A2111" s="38" t="s">
        <v>524</v>
      </c>
      <c r="B2111" s="39"/>
      <c r="C2111" s="39" t="s">
        <v>524</v>
      </c>
      <c r="D2111" s="40"/>
      <c r="E2111" s="40"/>
      <c r="F2111" s="40"/>
      <c r="G2111" s="41"/>
      <c r="H2111" s="41"/>
      <c r="I2111" s="41"/>
      <c r="J2111" s="42" t="s">
        <v>532</v>
      </c>
      <c r="K2111" s="42"/>
      <c r="L2111" s="42"/>
    </row>
    <row r="2112" spans="1:12" s="43" customFormat="1" ht="15" x14ac:dyDescent="0.25">
      <c r="A2112" s="38" t="s">
        <v>524</v>
      </c>
      <c r="B2112" s="39"/>
      <c r="C2112" s="39" t="s">
        <v>524</v>
      </c>
      <c r="D2112" s="40"/>
      <c r="E2112" s="40"/>
      <c r="F2112" s="40"/>
      <c r="G2112" s="41"/>
      <c r="H2112" s="41"/>
      <c r="I2112" s="41"/>
      <c r="J2112" s="42" t="s">
        <v>532</v>
      </c>
      <c r="K2112" s="42"/>
      <c r="L2112" s="42"/>
    </row>
    <row r="2113" spans="1:12" s="43" customFormat="1" ht="15" x14ac:dyDescent="0.25">
      <c r="A2113" s="38" t="s">
        <v>524</v>
      </c>
      <c r="B2113" s="39"/>
      <c r="C2113" s="39" t="s">
        <v>524</v>
      </c>
      <c r="D2113" s="40"/>
      <c r="E2113" s="40"/>
      <c r="F2113" s="40"/>
      <c r="G2113" s="41"/>
      <c r="H2113" s="41"/>
      <c r="I2113" s="41"/>
      <c r="J2113" s="42" t="s">
        <v>532</v>
      </c>
      <c r="K2113" s="42"/>
      <c r="L2113" s="42"/>
    </row>
    <row r="2114" spans="1:12" s="43" customFormat="1" ht="15" x14ac:dyDescent="0.25">
      <c r="A2114" s="38" t="s">
        <v>524</v>
      </c>
      <c r="B2114" s="39"/>
      <c r="C2114" s="39" t="s">
        <v>524</v>
      </c>
      <c r="D2114" s="40"/>
      <c r="E2114" s="40"/>
      <c r="F2114" s="40"/>
      <c r="G2114" s="41"/>
      <c r="H2114" s="41"/>
      <c r="I2114" s="41"/>
      <c r="J2114" s="42" t="s">
        <v>532</v>
      </c>
      <c r="K2114" s="42"/>
      <c r="L2114" s="42"/>
    </row>
    <row r="2115" spans="1:12" x14ac:dyDescent="0.25">
      <c r="A2115" s="44">
        <v>2018</v>
      </c>
      <c r="B2115" s="44"/>
      <c r="C2115" s="44" t="s">
        <v>524</v>
      </c>
      <c r="D2115" s="45"/>
      <c r="F2115" s="45"/>
      <c r="J2115" s="47" t="s">
        <v>533</v>
      </c>
    </row>
  </sheetData>
  <conditionalFormatting sqref="G15:H18 G1884:H2114 G1881:H1882 G1879:H1879 G1877:H1877 G1874:H1875 G1871:H1872 G1869:H1869 G1866:H1867 G1863:H1864 G1857:H1861 G1854:H1855 G1850:H1852 G1846:H1848 G1842:H1844 G1840:H1840 G1836:H1838 G1829:H1834 G1825:H1827 G1819:H1823 G1817:H1817 G1812:H1815 G1807:H1810 G1802:H1805 G1796:H1800 G1789:H1794 G1787:H1787 G1785:H1785 G1783:H1783 G1781:H1781 G1779:H1779 G1777:H1777 G1775:H1775 G1772:H1773 G1770:H1770 G1768:H1768 G1766:H1766 G1764:H1764 G1762:H1762 G1760:H1760 G1757:H1758 G1755:H1755 G1753:H1753 G1750:H1751 G1748:H1748 G1746:H1746 G1744:H1744 G1742:H1742 G1735:H1740 G1730:H1733 G1728:H1728 G1726:H1726 G1723:H1724 G1720:H1721 G1716:H1718 G1714:H1714 G1712:H1712 G1708:H1710 G1706:H1706 G1704:H1704 G1702:H1702 G1700:H1700 G1697:H1698 G1694:H1695 G1692:H1692 G1689:H1690 G1685:H1687 G1683:H1683 G1681:H1681 G1678:H1679 G1676:H1676 G1674:H1674 G1672:H1672 G1670:H1670 G1666:H1668 G1664:H1664 G1662:H1662 G1660:H1660 G1658:H1658 G1656:H1656 G1654:H1654 G1644:H1652 G1638:H1642 G1629:H1636 G1606:H1627 G1601:H1604 G1596:H1599 G1589:H1594 G1585:H1587 G1574:H1583 G1570:H1572 G1566:H1568 G1561:H1564 G1557:H1559 G1549:H1555 G1547:H1547 G1545:H1545 G1543:H1543 G1541:H1541 G1539:H1539 G1536:H1537 G1534:H1534 G1531:H1532 G1528:H1529 G1526:H1526 G1523:H1524 G1521:H1521 G1508:H1519 G1488:H1506 G1451:H1486 G1413:H1449 G1381:H1411 G1370:H1379 G1356:H1368 G1329:H1354 G1324:H1327 G1322:H1322 G1317:H1320 G1312:H1315 G1306:H1310 G1299:H1304 G1296:H1297 G1291:H1294 G1288:H1289 G1285:H1286 G1273:H1283 G1261:H1271 G1257:H1259 G1252:H1255 G1249:H1250 G1241:H1247 G1231:H1239 G1221:H1229 G1215:H1219 G1209:H1213 G1203:H1207 G1197:H1201 G1195:H1195 G1188:H1193 G1183:H1186 G1173:H1181 G1164:H1171 G1159:H1162 G1156:H1157 G1152:H1154 G1150:H1150 G1148:H1148 G1146:H1146 G1143:H1144 G1140:H1141 G1136:H1138 G1132:H1134 G1128:H1130 G1125:H1126 G1123:H1123 G1121:H1121 G1117:H1119 G1113:H1115 G1111:H1111 G1109:H1109 G1096:H1107 G1094:H1094 G1090:H1092 G1088:H1088 G1086:H1086 G1082:H1084 G1080:H1080 G1078:H1078 G1076:H1076 G1074:H1074 G1072:H1072 G1070:H1070 G1068:H1068 G1066:H1066 G1064:H1064 G1062:H1062 G1060:H1060 G1058:H1058 G1055:H1056 G1053:H1053 G1051:H1051 G1049:H1049 G1047:H1047 G1045:H1045 G1042:H1043 G1040:H1040 G1038:H1038 G1036:H1036 G1034:H1034 G1029:H1032 G1027:H1027 G1021:H1025 G1019:H1019 G1017:H1017 G1015:H1015 G1013:H1013 G1011:H1011 G1009:H1009 G1007:H1007 G1005:H1005 G1003:H1003 G1001:H1001 G999:H999 G997:H997 G995:H995 G993:H993 G990:H991 G987:H988 G985:H985 G983:H983 G981:H981 G979:H979 G977:H977 G974:H975 G972:H972 G970:H970 G968:H968 G966:H966 G964:H964 G962:H962 G959:H960 G957:H957 G955:H955 G953:H953 G951:H951 G949:H949 G947:H947 G945:H945 G943:H943 G941:H941 G938:H939 G936:H936 G934:H934 G932:H932 G930:H930 G928:H928 G926:H926 G924:H924 G922:H922 G920:H920 G918:H918 G916:H916 G914:H914 G912:H912 G909:H910 G907:H907 G904:H905 G902:H902 G900:H900 G897:H898 G895:H895 G892:H893 G890:H890 G888:H888 G886:H886 G884:H884 G882:H882 G878:H880 G876:H876 G874:H874 G872:H872 G869:H870 G867:H867 G865:H865 G863:H863 G860:H861 G856:H858 G853:H854 G850:H851 G847:H848 G844:H845 G841:H842 G839:H839 G836:H837 G834:H834 G831:H832 G829:H829 G826:H827 G822:H824 G819:H820 G817:H817 G815:H815 G813:H813 G811:H811 G809:H809 G807:H807 G805:H805 G803:H803 G801:H801 G798:H799 G795:H796 G793:H793 G791:H791 G788:H789 G785:H786 G783:H783 G780:H781 G778:H778 G773:H776 G771:H771 G769:H769 G767:H767 G765:H765 G762:H763 G758:H760 G756:H756 G754:H754 G752:H752 G750:H750 G746:H748 G744:H744 G740:H742 G737:H738 G733:H735 G731:H731 G729:H729 G727:H727 G722:H725 G720:H720 G718:H718 G716:H716 G714:H714 G712:H712 G710:H710 G708:H708 G705:H706 G703:H703 G700:H701 G697:H698 G695:H695 G693:H693 G690:H691 G688:H688 G686:H686 G683:H684 G681:H681 G678:H679 G676:H676 G674:H674 G672:H672 G666:H670 G664:H664 G662:H662 G660:H660 G657:H658 G653:H655 G651:H651 G639:H649 G629:H637 G627:H627 G625:H625 G623:H623 G621:H621 G619:H619 G617:H617 G615:H615 G611:H613 G599:H609 G596:H597 G589:H594 G587:H587 G584:H585 G579:H582 G577:H577 G575:H575 G573:H573 G571:H571 G569:H569 G567:H567 G564:H565 G561:H562 G559:H559 G557:H557 G554:H555 G552:H552 G549:H550 G547:H547 G545:H545 G543:H543 G541:H541 G539:H539 G537:H537 G535:H535 G533:H533 G530:H531 G526:H528 G521:H524 G516:H519 G510:H514 G507:H508 G502:H505 G500:H500 G496:H498 G494:H494 G492:H492 G488:H490 G486:H486 G484:H484 G478:H482 G469:H476 G464:H467 G462:H462 G455:H460 G451:H453 G449:H449 G447:H447 G445:H445 G442:H443 G440:H440 G438:H438 G436:H436 G434:H434 G432:H432 G430:H430 G428:H428 G426:H426 G410:H424 G408:H408 G404:H406 G400:H402 G398:H398 G396:H396 G394:H394 G391:H392 G389:H389 G387:H387 G385:H385 G383:H383 G378:H381 G376:H376 G374:H374 G371:H372 G369:H369 G363:H367 G360:H361 G357:H358 G355:H355 G350:H353 G347:H348 G344:H345 G341:H342 G335:H339 G332:H333 G330:H330 G328:H328 G326:H326 G319:H324 G317:H317 G315:H315 G311:H313 G308:H309 G305:H306 G300:H303 G296:H298 G293:H294 G287:H291 G282:H285 G277:H280 G274:H275 G270:H272 G265:H268 G261:H263 G256:H259 G254:H254 G250:H252 G235:H248 G230:H233 G224:H228 G220:H222 G218:H218 G216:H216 G212:H214 G209:H210 G206:H207 G204:H204 G201:H202 G197:H199 G182:H195 G179:H180 G175:H177 G171:H173 G168:H169 G166:H166 G163:H164 G151:H161 G146:H149 G142:H144 G124:H140 G117:H122 G103:H115 G98:H101 G85:H96 G77:H83 G73:H75 G70:H71 G66:H68 G64:H64 G62:H62 G60:H60 G56:H58 G49:H54 G45:H47 G41:H43 G39:H39 G37:H37 G35:H35 G32:H33 G20:H30">
    <cfRule type="cellIs" dxfId="4" priority="5" stopIfTrue="1" operator="greaterThanOrEqual">
      <formula>60%</formula>
    </cfRule>
  </conditionalFormatting>
  <conditionalFormatting sqref="G15:H18 G1884:H2114 G1881:H1882 G1879:H1879 G1877:H1877 G1874:H1875 G1871:H1872 G1869:H1869 G1866:H1867 G1863:H1864 G1857:H1861 G1854:H1855 G1850:H1852 G1846:H1848 G1842:H1844 G1840:H1840 G1836:H1838 G1829:H1834 G1825:H1827 G1819:H1823 G1817:H1817 G1812:H1815 G1807:H1810 G1802:H1805 G1796:H1800 G1789:H1794 G1787:H1787 G1785:H1785 G1783:H1783 G1781:H1781 G1779:H1779 G1777:H1777 G1775:H1775 G1772:H1773 G1770:H1770 G1768:H1768 G1766:H1766 G1764:H1764 G1762:H1762 G1760:H1760 G1757:H1758 G1755:H1755 G1753:H1753 G1750:H1751 G1748:H1748 G1746:H1746 G1744:H1744 G1742:H1742 G1735:H1740 G1730:H1733 G1728:H1728 G1726:H1726 G1723:H1724 G1720:H1721 G1716:H1718 G1714:H1714 G1712:H1712 G1708:H1710 G1706:H1706 G1704:H1704 G1702:H1702 G1700:H1700 G1697:H1698 G1694:H1695 G1692:H1692 G1689:H1690 G1685:H1687 G1683:H1683 G1681:H1681 G1678:H1679 G1676:H1676 G1674:H1674 G1672:H1672 G1670:H1670 G1666:H1668 G1664:H1664 G1662:H1662 G1660:H1660 G1658:H1658 G1656:H1656 G1654:H1654 G1644:H1652 G1638:H1642 G1629:H1636 G1606:H1627 G1601:H1604 G1596:H1599 G1589:H1594 G1585:H1587 G1574:H1583 G1570:H1572 G1566:H1568 G1561:H1564 G1557:H1559 G1549:H1555 G1547:H1547 G1545:H1545 G1543:H1543 G1541:H1541 G1539:H1539 G1536:H1537 G1534:H1534 G1531:H1532 G1528:H1529 G1526:H1526 G1523:H1524 G1521:H1521 G1508:H1519 G1488:H1506 G1451:H1486 G1413:H1449 G1381:H1411 G1370:H1379 G1356:H1368 G1329:H1354 G1324:H1327 G1322:H1322 G1317:H1320 G1312:H1315 G1306:H1310 G1299:H1304 G1296:H1297 G1291:H1294 G1288:H1289 G1285:H1286 G1273:H1283 G1261:H1271 G1257:H1259 G1252:H1255 G1249:H1250 G1241:H1247 G1231:H1239 G1221:H1229 G1215:H1219 G1209:H1213 G1203:H1207 G1197:H1201 G1195:H1195 G1188:H1193 G1183:H1186 G1173:H1181 G1164:H1171 G1159:H1162 G1156:H1157 G1152:H1154 G1150:H1150 G1148:H1148 G1146:H1146 G1143:H1144 G1140:H1141 G1136:H1138 G1132:H1134 G1128:H1130 G1125:H1126 G1123:H1123 G1121:H1121 G1117:H1119 G1113:H1115 G1111:H1111 G1109:H1109 G1096:H1107 G1094:H1094 G1090:H1092 G1088:H1088 G1086:H1086 G1082:H1084 G1080:H1080 G1078:H1078 G1076:H1076 G1074:H1074 G1072:H1072 G1070:H1070 G1068:H1068 G1066:H1066 G1064:H1064 G1062:H1062 G1060:H1060 G1058:H1058 G1055:H1056 G1053:H1053 G1051:H1051 G1049:H1049 G1047:H1047 G1045:H1045 G1042:H1043 G1040:H1040 G1038:H1038 G1036:H1036 G1034:H1034 G1029:H1032 G1027:H1027 G1021:H1025 G1019:H1019 G1017:H1017 G1015:H1015 G1013:H1013 G1011:H1011 G1009:H1009 G1007:H1007 G1005:H1005 G1003:H1003 G1001:H1001 G999:H999 G997:H997 G995:H995 G993:H993 G990:H991 G987:H988 G985:H985 G983:H983 G981:H981 G979:H979 G977:H977 G974:H975 G972:H972 G970:H970 G968:H968 G966:H966 G964:H964 G962:H962 G959:H960 G957:H957 G955:H955 G953:H953 G951:H951 G949:H949 G947:H947 G945:H945 G943:H943 G941:H941 G938:H939 G936:H936 G934:H934 G932:H932 G930:H930 G928:H928 G926:H926 G924:H924 G922:H922 G920:H920 G918:H918 G916:H916 G914:H914 G912:H912 G909:H910 G907:H907 G904:H905 G902:H902 G900:H900 G897:H898 G895:H895 G892:H893 G890:H890 G888:H888 G886:H886 G884:H884 G882:H882 G878:H880 G876:H876 G874:H874 G872:H872 G869:H870 G867:H867 G865:H865 G863:H863 G860:H861 G856:H858 G853:H854 G850:H851 G847:H848 G844:H845 G841:H842 G839:H839 G836:H837 G834:H834 G831:H832 G829:H829 G826:H827 G822:H824 G819:H820 G817:H817 G815:H815 G813:H813 G811:H811 G809:H809 G807:H807 G805:H805 G803:H803 G801:H801 G798:H799 G795:H796 G793:H793 G791:H791 G788:H789 G785:H786 G783:H783 G780:H781 G778:H778 G773:H776 G771:H771 G769:H769 G767:H767 G765:H765 G762:H763 G758:H760 G756:H756 G754:H754 G752:H752 G750:H750 G746:H748 G744:H744 G740:H742 G737:H738 G733:H735 G731:H731 G729:H729 G727:H727 G722:H725 G720:H720 G718:H718 G716:H716 G714:H714 G712:H712 G710:H710 G708:H708 G705:H706 G703:H703 G700:H701 G697:H698 G695:H695 G693:H693 G690:H691 G688:H688 G686:H686 G683:H684 G681:H681 G678:H679 G676:H676 G674:H674 G672:H672 G666:H670 G664:H664 G662:H662 G660:H660 G657:H658 G653:H655 G651:H651 G639:H649 G629:H637 G627:H627 G625:H625 G623:H623 G621:H621 G619:H619 G617:H617 G615:H615 G611:H613 G599:H609 G596:H597 G589:H594 G587:H587 G584:H585 G579:H582 G577:H577 G575:H575 G573:H573 G571:H571 G569:H569 G567:H567 G564:H565 G561:H562 G559:H559 G557:H557 G554:H555 G552:H552 G549:H550 G547:H547 G545:H545 G543:H543 G541:H541 G539:H539 G537:H537 G535:H535 G533:H533 G530:H531 G526:H528 G521:H524 G516:H519 G510:H514 G507:H508 G502:H505 G500:H500 G496:H498 G494:H494 G492:H492 G488:H490 G486:H486 G484:H484 G478:H482 G469:H476 G464:H467 G462:H462 G455:H460 G451:H453 G449:H449 G447:H447 G445:H445 G442:H443 G440:H440 G438:H438 G436:H436 G434:H434 G432:H432 G430:H430 G428:H428 G426:H426 G410:H424 G408:H408 G404:H406 G400:H402 G398:H398 G396:H396 G394:H394 G391:H392 G389:H389 G387:H387 G385:H385 G383:H383 G378:H381 G376:H376 G374:H374 G371:H372 G369:H369 G363:H367 G360:H361 G357:H358 G355:H355 G350:H353 G347:H348 G344:H345 G341:H342 G335:H339 G332:H333 G330:H330 G328:H328 G326:H326 G319:H324 G317:H317 G315:H315 G311:H313 G308:H309 G305:H306 G300:H303 G296:H298 G293:H294 G287:H291 G282:H285 G277:H280 G274:H275 G270:H272 G265:H268 G261:H263 G256:H259 G254:H254 G250:H252 G235:H248 G230:H233 G224:H228 G220:H222 G218:H218 G216:H216 G212:H214 G209:H210 G206:H207 G204:H204 G201:H202 G197:H199 G182:H195 G179:H180 G175:H177 G171:H173 G168:H169 G166:H166 G163:H164 G151:H161 G146:H149 G142:H144 G124:H140 G117:H122 G103:H115 G98:H101 G85:H96 G77:H83 G73:H75 G70:H71 G66:H68 G64:H64 G62:H62 G60:H60 G56:H58 G49:H54 G45:H47 G41:H43 G39:H39 G37:H37 G35:H35 G32:H33 G20:H30">
    <cfRule type="cellIs" dxfId="3" priority="4" stopIfTrue="1" operator="between">
      <formula>58%</formula>
      <formula>59.999%</formula>
    </cfRule>
  </conditionalFormatting>
  <conditionalFormatting sqref="G15:H18 G1884:H2114 G1881:H1882 G1879:H1879 G1877:H1877 G1874:H1875 G1871:H1872 G1869:H1869 G1866:H1867 G1863:H1864 G1857:H1861 G1854:H1855 G1850:H1852 G1846:H1848 G1842:H1844 G1840:H1840 G1836:H1838 G1829:H1834 G1825:H1827 G1819:H1823 G1817:H1817 G1812:H1815 G1807:H1810 G1802:H1805 G1796:H1800 G1789:H1794 G1787:H1787 G1785:H1785 G1783:H1783 G1781:H1781 G1779:H1779 G1777:H1777 G1775:H1775 G1772:H1773 G1770:H1770 G1768:H1768 G1766:H1766 G1764:H1764 G1762:H1762 G1760:H1760 G1757:H1758 G1755:H1755 G1753:H1753 G1750:H1751 G1748:H1748 G1746:H1746 G1744:H1744 G1742:H1742 G1735:H1740 G1730:H1733 G1728:H1728 G1726:H1726 G1723:H1724 G1720:H1721 G1716:H1718 G1714:H1714 G1712:H1712 G1708:H1710 G1706:H1706 G1704:H1704 G1702:H1702 G1700:H1700 G1697:H1698 G1694:H1695 G1692:H1692 G1689:H1690 G1685:H1687 G1683:H1683 G1681:H1681 G1678:H1679 G1676:H1676 G1674:H1674 G1672:H1672 G1670:H1670 G1666:H1668 G1664:H1664 G1662:H1662 G1660:H1660 G1658:H1658 G1656:H1656 G1654:H1654 G1644:H1652 G1638:H1642 G1629:H1636 G1606:H1627 G1601:H1604 G1596:H1599 G1589:H1594 G1585:H1587 G1574:H1583 G1570:H1572 G1566:H1568 G1561:H1564 G1557:H1559 G1549:H1555 G1547:H1547 G1545:H1545 G1543:H1543 G1541:H1541 G1539:H1539 G1536:H1537 G1534:H1534 G1531:H1532 G1528:H1529 G1526:H1526 G1523:H1524 G1521:H1521 G1508:H1519 G1488:H1506 G1451:H1486 G1413:H1449 G1381:H1411 G1370:H1379 G1356:H1368 G1329:H1354 G1324:H1327 G1322:H1322 G1317:H1320 G1312:H1315 G1306:H1310 G1299:H1304 G1296:H1297 G1291:H1294 G1288:H1289 G1285:H1286 G1273:H1283 G1261:H1271 G1257:H1259 G1252:H1255 G1249:H1250 G1241:H1247 G1231:H1239 G1221:H1229 G1215:H1219 G1209:H1213 G1203:H1207 G1197:H1201 G1195:H1195 G1188:H1193 G1183:H1186 G1173:H1181 G1164:H1171 G1159:H1162 G1156:H1157 G1152:H1154 G1150:H1150 G1148:H1148 G1146:H1146 G1143:H1144 G1140:H1141 G1136:H1138 G1132:H1134 G1128:H1130 G1125:H1126 G1123:H1123 G1121:H1121 G1117:H1119 G1113:H1115 G1111:H1111 G1109:H1109 G1096:H1107 G1094:H1094 G1090:H1092 G1088:H1088 G1086:H1086 G1082:H1084 G1080:H1080 G1078:H1078 G1076:H1076 G1074:H1074 G1072:H1072 G1070:H1070 G1068:H1068 G1066:H1066 G1064:H1064 G1062:H1062 G1060:H1060 G1058:H1058 G1055:H1056 G1053:H1053 G1051:H1051 G1049:H1049 G1047:H1047 G1045:H1045 G1042:H1043 G1040:H1040 G1038:H1038 G1036:H1036 G1034:H1034 G1029:H1032 G1027:H1027 G1021:H1025 G1019:H1019 G1017:H1017 G1015:H1015 G1013:H1013 G1011:H1011 G1009:H1009 G1007:H1007 G1005:H1005 G1003:H1003 G1001:H1001 G999:H999 G997:H997 G995:H995 G993:H993 G990:H991 G987:H988 G985:H985 G983:H983 G981:H981 G979:H979 G977:H977 G974:H975 G972:H972 G970:H970 G968:H968 G966:H966 G964:H964 G962:H962 G959:H960 G957:H957 G955:H955 G953:H953 G951:H951 G949:H949 G947:H947 G945:H945 G943:H943 G941:H941 G938:H939 G936:H936 G934:H934 G932:H932 G930:H930 G928:H928 G926:H926 G924:H924 G922:H922 G920:H920 G918:H918 G916:H916 G914:H914 G912:H912 G909:H910 G907:H907 G904:H905 G902:H902 G900:H900 G897:H898 G895:H895 G892:H893 G890:H890 G888:H888 G886:H886 G884:H884 G882:H882 G878:H880 G876:H876 G874:H874 G872:H872 G869:H870 G867:H867 G865:H865 G863:H863 G860:H861 G856:H858 G853:H854 G850:H851 G847:H848 G844:H845 G841:H842 G839:H839 G836:H837 G834:H834 G831:H832 G829:H829 G826:H827 G822:H824 G819:H820 G817:H817 G815:H815 G813:H813 G811:H811 G809:H809 G807:H807 G805:H805 G803:H803 G801:H801 G798:H799 G795:H796 G793:H793 G791:H791 G788:H789 G785:H786 G783:H783 G780:H781 G778:H778 G773:H776 G771:H771 G769:H769 G767:H767 G765:H765 G762:H763 G758:H760 G756:H756 G754:H754 G752:H752 G750:H750 G746:H748 G744:H744 G740:H742 G737:H738 G733:H735 G731:H731 G729:H729 G727:H727 G722:H725 G720:H720 G718:H718 G716:H716 G714:H714 G712:H712 G710:H710 G708:H708 G705:H706 G703:H703 G700:H701 G697:H698 G695:H695 G693:H693 G690:H691 G688:H688 G686:H686 G683:H684 G681:H681 G678:H679 G676:H676 G674:H674 G672:H672 G666:H670 G664:H664 G662:H662 G660:H660 G657:H658 G653:H655 G651:H651 G639:H649 G629:H637 G627:H627 G625:H625 G623:H623 G621:H621 G619:H619 G617:H617 G615:H615 G611:H613 G599:H609 G596:H597 G589:H594 G587:H587 G584:H585 G579:H582 G577:H577 G575:H575 G573:H573 G571:H571 G569:H569 G567:H567 G564:H565 G561:H562 G559:H559 G557:H557 G554:H555 G552:H552 G549:H550 G547:H547 G545:H545 G543:H543 G541:H541 G539:H539 G537:H537 G535:H535 G533:H533 G530:H531 G526:H528 G521:H524 G516:H519 G510:H514 G507:H508 G502:H505 G500:H500 G496:H498 G494:H494 G492:H492 G488:H490 G486:H486 G484:H484 G478:H482 G469:H476 G464:H467 G462:H462 G455:H460 G451:H453 G449:H449 G447:H447 G445:H445 G442:H443 G440:H440 G438:H438 G436:H436 G434:H434 G432:H432 G430:H430 G428:H428 G426:H426 G410:H424 G408:H408 G404:H406 G400:H402 G398:H398 G396:H396 G394:H394 G391:H392 G389:H389 G387:H387 G385:H385 G383:H383 G378:H381 G376:H376 G374:H374 G371:H372 G369:H369 G363:H367 G360:H361 G357:H358 G355:H355 G350:H353 G347:H348 G344:H345 G341:H342 G335:H339 G332:H333 G330:H330 G328:H328 G326:H326 G319:H324 G317:H317 G315:H315 G311:H313 G308:H309 G305:H306 G300:H303 G296:H298 G293:H294 G287:H291 G282:H285 G277:H280 G274:H275 G270:H272 G265:H268 G261:H263 G256:H259 G254:H254 G250:H252 G235:H248 G230:H233 G224:H228 G220:H222 G218:H218 G216:H216 G212:H214 G209:H210 G206:H207 G204:H204 G201:H202 G197:H199 G182:H195 G179:H180 G175:H177 G171:H173 G168:H169 G166:H166 G163:H164 G151:H161 G146:H149 G142:H144 G124:H140 G117:H122 G103:H115 G98:H101 G85:H96 G77:H83 G73:H75 G70:H71 G66:H68 G64:H64 G62:H62 G60:H60 G56:H58 G49:H54 G45:H47 G41:H43 G39:H39 G37:H37 G35:H35 G32:H33 G20:H30">
    <cfRule type="cellIs" dxfId="2" priority="3" stopIfTrue="1" operator="lessThan">
      <formula>0.58</formula>
    </cfRule>
  </conditionalFormatting>
  <conditionalFormatting sqref="I2:I4 I1884:I2114 I1881:I1882 I1879 I1877 I1874:I1875 I1871:I1872 I1869 I1866:I1867 I1863:I1864 I1857:I1861 I1854:I1855 I1850:I1852 I1846:I1848 I1842:I1844 I1840 I1836:I1838 I1829:I1834 I1825:I1827 I1819:I1823 I1817 I1812:I1815 I1807:I1810 I1802:I1805 I1796:I1800 I1789:I1794 I1787 I1785 I1783 I1781 I1779 I1777 I1775 I1772:I1773 I1770 I1768 I1766 I1764 I1762 I1760 I1757:I1758 I1755 I1753 I1750:I1751 I1748 I1746 I1744 I1742 I1735:I1740 I1730:I1733 I1728 I1726 I1723:I1724 I1720:I1721 I1716:I1718 I1714 I1712 I1708:I1710 I1706 I1704 I1702 I1700 I1697:I1698 I1694:I1695 I1692 I1689:I1690 I1685:I1687 I1683 I1681 I1678:I1679 I1676 I1674 I1672 I1670 I1666:I1668 I1664 I1662 I1660 I1658 I1656 I1654 I1644:I1652 I1638:I1642 I1629:I1636 I1606:I1627 I1601:I1604 I1596:I1599 I1589:I1594 I1585:I1587 I1574:I1583 I1570:I1572 I1566:I1568 I1561:I1564 I1557:I1559 I1549:I1555 I1547 I1545 I1543 I1541 I1539 I1536:I1537 I1534 I1531:I1532 I1528:I1529 I1526 I1523:I1524 I1521 I1508:I1519 I1488:I1506 I1451:I1486 I1413:I1449 I1381:I1411 I1370:I1379 I1356:I1368 I1329:I1354 I1324:I1327 I1322 I1317:I1320 I1312:I1315 I1306:I1310 I1299:I1304 I1296:I1297 I1291:I1294 I1288:I1289 I1285:I1286 I1273:I1283 I1261:I1271 I1257:I1259 I1252:I1255 I1249:I1250 I1241:I1247 I1231:I1239 I1221:I1229 I1215:I1219 I1209:I1213 I1203:I1207 I1197:I1201 I1195 I1188:I1193 I1183:I1186 I1173:I1181 I1164:I1171 I1159:I1162 I1156:I1157 I1152:I1154 I1150 I1148 I1146 I1143:I1144 I1140:I1141 I1136:I1138 I1132:I1134 I1128:I1130 I1125:I1126 I1123 I1121 I1117:I1119 I1113:I1115 I1111 I1109 I1096:I1107 I1094 I1090:I1092 I1088 I1086 I1082:I1084 I1080 I1078 I1076 I1074 I1072 I1070 I1068 I1066 I1064 I1062 I1060 I1058 I1055:I1056 I1053 I1051 I1049 I1047 I1045 I1042:I1043 I1040 I1038 I1036 I1034 I1029:I1032 I1027 I1021:I1025 I1019 I1017 I1015 I1013 I1011 I1009 I1007 I1005 I1003 I1001 I999 I997 I995 I993 I990:I991 I987:I988 I985 I983 I981 I979 I977 I974:I975 I972 I970 I968 I966 I964 I962 I959:I960 I957 I955 I953 I951 I949 I947 I945 I943 I941 I938:I939 I936 I934 I932 I930 I928 I926 I924 I922 I920 I918 I916 I914 I912 I909:I910 I907 I904:I905 I902 I900 I897:I898 I895 I892:I893 I890 I888 I886 I884 I882 I878:I880 I876 I874 I872 I869:I870 I867 I865 I863 I860:I861 I856:I858 I853:I854 I850:I851 I847:I848 I844:I845 I841:I842 I839 I836:I837 I834 I831:I832 I829 I826:I827 I822:I824 I819:I820 I817 I815 I813 I811 I809 I807 I805 I803 I801 I798:I799 I795:I796 I793 I791 I788:I789 I785:I786 I783 I780:I781 I778 I773:I776 I771 I769 I767 I765 I762:I763 I758:I760 I756 I754 I752 I750 I746:I748 I744 I740:I742 I737:I738 I733:I735 I731 I729 I727 I722:I725 I720 I718 I716 I714 I712 I710 I708 I705:I706 I703 I700:I701 I697:I698 I695 I693 I690:I691 I688 I686 I683:I684 I681 I678:I679 I676 I674 I672 I666:I670 I664 I662 I660 I657:I658 I653:I655 I651 I639:I649 I629:I637 I627 I625 I623 I621 I619 I617 I615 I611:I613 I599:I609 I596:I597 I589:I594 I587 I584:I585 I579:I582 I577 I575 I573 I571 I569 I567 I564:I565 I561:I562 I559 I557 I554:I555 I552 I549:I550 I547 I545 I543 I541 I539 I537 I535 I533 I530:I531 I526:I528 I521:I524 I516:I519 I510:I514 I507:I508 I502:I505 I500 I496:I498 I494 I492 I488:I490 I486 I484 I478:I482 I469:I476 I464:I467 I462 I455:I460 I451:I453 I449 I447 I445 I442:I443 I440 I438 I436 I434 I432 I430 I428 I426 I410:I424 I408 I404:I406 I400:I402 I398 I396 I394 I391:I392 I389 I387 I385 I383 I378:I381 I376 I374 I371:I372 I369 I363:I367 I360:I361 I357:I358 I355 I350:I353 I347:I348 I344:I345 I341:I342 I335:I339 I332:I333 I330 I328 I326 I319:I324 I317 I315 I311:I313 I308:I309 I305:I306 I300:I303 I296:I298 I293:I294 I287:I291 I282:I285 I277:I280 I274:I275 I270:I272 I265:I268 I261:I263 I256:I259 I254 I250:I252 I235:I248 I230:I233 I224:I228 I220:I222 I218 I216 I212:I214 I209:I210 I206:I207 I204 I201:I202 I197:I199 I182:I195 I179:I180 I175:I177 I171:I173 I168:I169 I166 I163:I164 I151:I161 I146:I149 I142:I144 I124:I140 I117:I122 I103:I115 I98:I101 I85:I96 I77:I83 I73:I75 I70:I71 I66:I68 I64 I62 I60 I56:I58 I49:I54 I45:I47 I41:I43 I39 I37 I35 I32:I33 I20:I30 I15:I18 I10:I13 I6:I8">
    <cfRule type="cellIs" dxfId="1" priority="2" operator="greaterThan">
      <formula>0.03</formula>
    </cfRule>
  </conditionalFormatting>
  <conditionalFormatting sqref="I2:I4 I1884:I2114 I1881:I1882 I1879 I1877 I1874:I1875 I1871:I1872 I1869 I1866:I1867 I1863:I1864 I1857:I1861 I1854:I1855 I1850:I1852 I1846:I1848 I1842:I1844 I1840 I1836:I1838 I1829:I1834 I1825:I1827 I1819:I1823 I1817 I1812:I1815 I1807:I1810 I1802:I1805 I1796:I1800 I1789:I1794 I1787 I1785 I1783 I1781 I1779 I1777 I1775 I1772:I1773 I1770 I1768 I1766 I1764 I1762 I1760 I1757:I1758 I1755 I1753 I1750:I1751 I1748 I1746 I1744 I1742 I1735:I1740 I1730:I1733 I1728 I1726 I1723:I1724 I1720:I1721 I1716:I1718 I1714 I1712 I1708:I1710 I1706 I1704 I1702 I1700 I1697:I1698 I1694:I1695 I1692 I1689:I1690 I1685:I1687 I1683 I1681 I1678:I1679 I1676 I1674 I1672 I1670 I1666:I1668 I1664 I1662 I1660 I1658 I1656 I1654 I1644:I1652 I1638:I1642 I1629:I1636 I1606:I1627 I1601:I1604 I1596:I1599 I1589:I1594 I1585:I1587 I1574:I1583 I1570:I1572 I1566:I1568 I1561:I1564 I1557:I1559 I1549:I1555 I1547 I1545 I1543 I1541 I1539 I1536:I1537 I1534 I1531:I1532 I1528:I1529 I1526 I1523:I1524 I1521 I1508:I1519 I1488:I1506 I1451:I1486 I1413:I1449 I1381:I1411 I1370:I1379 I1356:I1368 I1329:I1354 I1324:I1327 I1322 I1317:I1320 I1312:I1315 I1306:I1310 I1299:I1304 I1296:I1297 I1291:I1294 I1288:I1289 I1285:I1286 I1273:I1283 I1261:I1271 I1257:I1259 I1252:I1255 I1249:I1250 I1241:I1247 I1231:I1239 I1221:I1229 I1215:I1219 I1209:I1213 I1203:I1207 I1197:I1201 I1195 I1188:I1193 I1183:I1186 I1173:I1181 I1164:I1171 I1159:I1162 I1156:I1157 I1152:I1154 I1150 I1148 I1146 I1143:I1144 I1140:I1141 I1136:I1138 I1132:I1134 I1128:I1130 I1125:I1126 I1123 I1121 I1117:I1119 I1113:I1115 I1111 I1109 I1096:I1107 I1094 I1090:I1092 I1088 I1086 I1082:I1084 I1080 I1078 I1076 I1074 I1072 I1070 I1068 I1066 I1064 I1062 I1060 I1058 I1055:I1056 I1053 I1051 I1049 I1047 I1045 I1042:I1043 I1040 I1038 I1036 I1034 I1029:I1032 I1027 I1021:I1025 I1019 I1017 I1015 I1013 I1011 I1009 I1007 I1005 I1003 I1001 I999 I997 I995 I993 I990:I991 I987:I988 I985 I983 I981 I979 I977 I974:I975 I972 I970 I968 I966 I964 I962 I959:I960 I957 I955 I953 I951 I949 I947 I945 I943 I941 I938:I939 I936 I934 I932 I930 I928 I926 I924 I922 I920 I918 I916 I914 I912 I909:I910 I907 I904:I905 I902 I900 I897:I898 I895 I892:I893 I890 I888 I886 I884 I882 I878:I880 I876 I874 I872 I869:I870 I867 I865 I863 I860:I861 I856:I858 I853:I854 I850:I851 I847:I848 I844:I845 I841:I842 I839 I836:I837 I834 I831:I832 I829 I826:I827 I822:I824 I819:I820 I817 I815 I813 I811 I809 I807 I805 I803 I801 I798:I799 I795:I796 I793 I791 I788:I789 I785:I786 I783 I780:I781 I778 I773:I776 I771 I769 I767 I765 I762:I763 I758:I760 I756 I754 I752 I750 I746:I748 I744 I740:I742 I737:I738 I733:I735 I731 I729 I727 I722:I725 I720 I718 I716 I714 I712 I710 I708 I705:I706 I703 I700:I701 I697:I698 I695 I693 I690:I691 I688 I686 I683:I684 I681 I678:I679 I676 I674 I672 I666:I670 I664 I662 I660 I657:I658 I653:I655 I651 I639:I649 I629:I637 I627 I625 I623 I621 I619 I617 I615 I611:I613 I599:I609 I596:I597 I589:I594 I587 I584:I585 I579:I582 I577 I575 I573 I571 I569 I567 I564:I565 I561:I562 I559 I557 I554:I555 I552 I549:I550 I547 I545 I543 I541 I539 I537 I535 I533 I530:I531 I526:I528 I521:I524 I516:I519 I510:I514 I507:I508 I502:I505 I500 I496:I498 I494 I492 I488:I490 I486 I484 I478:I482 I469:I476 I464:I467 I462 I455:I460 I451:I453 I449 I447 I445 I442:I443 I440 I438 I436 I434 I432 I430 I428 I426 I410:I424 I408 I404:I406 I400:I402 I398 I396 I394 I391:I392 I389 I387 I385 I383 I378:I381 I376 I374 I371:I372 I369 I363:I367 I360:I361 I357:I358 I355 I350:I353 I347:I348 I344:I345 I341:I342 I335:I339 I332:I333 I330 I328 I326 I319:I324 I317 I315 I311:I313 I308:I309 I305:I306 I300:I303 I296:I298 I293:I294 I287:I291 I282:I285 I277:I280 I274:I275 I270:I272 I265:I268 I261:I263 I256:I259 I254 I250:I252 I235:I248 I230:I233 I224:I228 I220:I222 I218 I216 I212:I214 I209:I210 I206:I207 I204 I201:I202 I197:I199 I182:I195 I179:I180 I175:I177 I171:I173 I168:I169 I166 I163:I164 I151:I161 I146:I149 I142:I144 I124:I140 I117:I122 I103:I115 I98:I101 I85:I96 I77:I83 I73:I75 I70:I71 I66:I68 I64 I62 I60 I56:I58 I49:I54 I45:I47 I41:I43 I39 I37 I35 I32:I33 I20:I30 I15:I18 I10:I13 I6:I8">
    <cfRule type="cellIs" dxfId="0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53238D-7066-41E4-8305-65A3EC4EB2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 2018</vt:lpstr>
      <vt:lpstr>Query</vt:lpstr>
      <vt:lpstr>Feuil6</vt:lpstr>
      <vt:lpstr>'PR 2018'!Impression_des_titres</vt:lpstr>
      <vt:lpstr>'PR 2018'!Zone_d_impression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jeanclaude.m</dc:creator>
  <cp:lastModifiedBy>Antoine GUICHARDON</cp:lastModifiedBy>
  <cp:lastPrinted>2019-01-11T16:47:20Z</cp:lastPrinted>
  <dcterms:created xsi:type="dcterms:W3CDTF">2015-09-16T13:40:13Z</dcterms:created>
  <dcterms:modified xsi:type="dcterms:W3CDTF">2019-01-29T11:16:41Z</dcterms:modified>
</cp:coreProperties>
</file>