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330" yWindow="30" windowWidth="16380" windowHeight="12765"/>
  </bookViews>
  <sheets>
    <sheet name="PAYLOAD" sheetId="1" r:id="rId1"/>
    <sheet name="DATA" sheetId="2" r:id="rId2"/>
    <sheet name="MAP_CAR" sheetId="3" r:id="rId3"/>
  </sheets>
  <definedNames>
    <definedName name="_xlnm._FilterDatabase" localSheetId="1" hidden="1">DATA!$B$6:$G$6</definedName>
    <definedName name="AERODROMES__RCA">DATA!$I$8:$I$60</definedName>
    <definedName name="AERODROMES_RCA">DATA!$I$7:$I$60</definedName>
    <definedName name="LEGS">DATA!$B$7:$B$152</definedName>
    <definedName name="REFUEL">DATA!$I$170:$I$171</definedName>
    <definedName name="Terrain_RCA">DATA!$I$7:$O$60</definedName>
    <definedName name="Terrains_RCA">DATA!$I$9:$I$46</definedName>
  </definedNames>
  <calcPr calcId="125725"/>
</workbook>
</file>

<file path=xl/calcChain.xml><?xml version="1.0" encoding="utf-8"?>
<calcChain xmlns="http://schemas.openxmlformats.org/spreadsheetml/2006/main">
  <c r="J10" i="1"/>
  <c r="C22"/>
  <c r="J9"/>
  <c r="J98" i="2"/>
  <c r="G12" i="1"/>
  <c r="H12" s="1"/>
  <c r="C14"/>
  <c r="G9"/>
  <c r="I9" s="1"/>
  <c r="J105" i="2"/>
  <c r="J104" s="1"/>
  <c r="J103" s="1"/>
  <c r="J102" s="1"/>
  <c r="J101" s="1"/>
  <c r="J100" s="1"/>
  <c r="J99" s="1"/>
  <c r="J106"/>
  <c r="G21" i="1"/>
  <c r="G20"/>
  <c r="I20" s="1"/>
  <c r="G19"/>
  <c r="G18"/>
  <c r="I18" s="1"/>
  <c r="G17"/>
  <c r="I17" s="1"/>
  <c r="G13"/>
  <c r="H13" s="1"/>
  <c r="G11"/>
  <c r="H11" s="1"/>
  <c r="G10"/>
  <c r="H10" s="1"/>
  <c r="J21"/>
  <c r="J20"/>
  <c r="J19"/>
  <c r="J18"/>
  <c r="J17"/>
  <c r="J13"/>
  <c r="J12"/>
  <c r="J11"/>
  <c r="I13" l="1"/>
  <c r="I11"/>
  <c r="I10"/>
  <c r="I12"/>
  <c r="H17"/>
  <c r="H21"/>
  <c r="I21"/>
  <c r="H20"/>
  <c r="H19"/>
  <c r="I19"/>
  <c r="H18"/>
  <c r="H9"/>
  <c r="C138" i="2"/>
  <c r="C29" s="1"/>
  <c r="D29" s="1"/>
  <c r="E29" s="1"/>
  <c r="C125"/>
  <c r="D125" s="1"/>
  <c r="E125" s="1"/>
  <c r="C102"/>
  <c r="C23" s="1"/>
  <c r="D23" s="1"/>
  <c r="E23" s="1"/>
  <c r="C94"/>
  <c r="D94" s="1"/>
  <c r="E94" s="1"/>
  <c r="C80"/>
  <c r="C18" s="1"/>
  <c r="D18" s="1"/>
  <c r="E18" s="1"/>
  <c r="C64"/>
  <c r="D64" s="1"/>
  <c r="E64" s="1"/>
  <c r="C14"/>
  <c r="D14" s="1"/>
  <c r="E14" s="1"/>
  <c r="C44"/>
  <c r="C11" s="1"/>
  <c r="D11" s="1"/>
  <c r="E11" s="1"/>
  <c r="D43"/>
  <c r="E43" s="1"/>
  <c r="D79"/>
  <c r="E79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89"/>
  <c r="E89" s="1"/>
  <c r="D90"/>
  <c r="E90" s="1"/>
  <c r="D91"/>
  <c r="E91" s="1"/>
  <c r="D92"/>
  <c r="E92" s="1"/>
  <c r="D93"/>
  <c r="E93" s="1"/>
  <c r="D95"/>
  <c r="E95" s="1"/>
  <c r="D96"/>
  <c r="E96" s="1"/>
  <c r="D97"/>
  <c r="E97" s="1"/>
  <c r="D98"/>
  <c r="E98" s="1"/>
  <c r="D99"/>
  <c r="E99" s="1"/>
  <c r="D100"/>
  <c r="E100" s="1"/>
  <c r="D101"/>
  <c r="E101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110"/>
  <c r="E110" s="1"/>
  <c r="D111"/>
  <c r="E111" s="1"/>
  <c r="D112"/>
  <c r="E112" s="1"/>
  <c r="D113"/>
  <c r="E113" s="1"/>
  <c r="D114"/>
  <c r="D115"/>
  <c r="E115" s="1"/>
  <c r="D116"/>
  <c r="E116" s="1"/>
  <c r="D117"/>
  <c r="E117" s="1"/>
  <c r="D118"/>
  <c r="E118" s="1"/>
  <c r="D119"/>
  <c r="E119" s="1"/>
  <c r="D120"/>
  <c r="E120" s="1"/>
  <c r="D121"/>
  <c r="E121" s="1"/>
  <c r="D122"/>
  <c r="E122" s="1"/>
  <c r="D123"/>
  <c r="E123" s="1"/>
  <c r="D124"/>
  <c r="E124" s="1"/>
  <c r="D126"/>
  <c r="E126" s="1"/>
  <c r="D127"/>
  <c r="E127" s="1"/>
  <c r="D128"/>
  <c r="E128" s="1"/>
  <c r="D129"/>
  <c r="E129" s="1"/>
  <c r="D130"/>
  <c r="E130" s="1"/>
  <c r="D131"/>
  <c r="E131" s="1"/>
  <c r="D132"/>
  <c r="E132" s="1"/>
  <c r="D133"/>
  <c r="E133" s="1"/>
  <c r="D134"/>
  <c r="E134" s="1"/>
  <c r="D135"/>
  <c r="E135" s="1"/>
  <c r="D136"/>
  <c r="E136" s="1"/>
  <c r="D137"/>
  <c r="D139"/>
  <c r="E139" s="1"/>
  <c r="D140"/>
  <c r="E140" s="1"/>
  <c r="D141"/>
  <c r="E141" s="1"/>
  <c r="D142"/>
  <c r="E142" s="1"/>
  <c r="D143"/>
  <c r="E143" s="1"/>
  <c r="D144"/>
  <c r="E144" s="1"/>
  <c r="D145"/>
  <c r="E145" s="1"/>
  <c r="D146"/>
  <c r="E146" s="1"/>
  <c r="D147"/>
  <c r="D148"/>
  <c r="D149"/>
  <c r="E149" s="1"/>
  <c r="D150"/>
  <c r="E150" s="1"/>
  <c r="D151"/>
  <c r="E151" s="1"/>
  <c r="D152"/>
  <c r="E152" s="1"/>
  <c r="D153"/>
  <c r="E153" s="1"/>
  <c r="D154"/>
  <c r="E154" s="1"/>
  <c r="D155"/>
  <c r="E155" s="1"/>
  <c r="D156"/>
  <c r="E156" s="1"/>
  <c r="D157"/>
  <c r="E157" s="1"/>
  <c r="D158"/>
  <c r="E158" s="1"/>
  <c r="D159"/>
  <c r="E159" s="1"/>
  <c r="D160"/>
  <c r="E160" s="1"/>
  <c r="E114"/>
  <c r="E137"/>
  <c r="E147"/>
  <c r="E148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7"/>
  <c r="E67" s="1"/>
  <c r="D65"/>
  <c r="E65" s="1"/>
  <c r="D63"/>
  <c r="E63" s="1"/>
  <c r="D61"/>
  <c r="E61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2"/>
  <c r="E42" s="1"/>
  <c r="D41"/>
  <c r="E41" s="1"/>
  <c r="D37"/>
  <c r="E37" s="1"/>
  <c r="D36"/>
  <c r="E36" s="1"/>
  <c r="D35"/>
  <c r="E35" s="1"/>
  <c r="D34"/>
  <c r="E34" s="1"/>
  <c r="D33"/>
  <c r="E33" s="1"/>
  <c r="D32"/>
  <c r="E32" s="1"/>
  <c r="D30"/>
  <c r="E30" s="1"/>
  <c r="D27"/>
  <c r="E27" s="1"/>
  <c r="D25"/>
  <c r="E25" s="1"/>
  <c r="D22"/>
  <c r="E22" s="1"/>
  <c r="D20"/>
  <c r="E20" s="1"/>
  <c r="D19"/>
  <c r="E19" s="1"/>
  <c r="D17"/>
  <c r="E17" s="1"/>
  <c r="C38"/>
  <c r="D38" s="1"/>
  <c r="E38" s="1"/>
  <c r="C28"/>
  <c r="D28" s="1"/>
  <c r="E28" s="1"/>
  <c r="C24"/>
  <c r="D24" s="1"/>
  <c r="E24" s="1"/>
  <c r="C9"/>
  <c r="D9" s="1"/>
  <c r="E9" s="1"/>
  <c r="C13"/>
  <c r="D13" s="1"/>
  <c r="E13" s="1"/>
  <c r="C15" l="1"/>
  <c r="D15" s="1"/>
  <c r="E15" s="1"/>
  <c r="C21"/>
  <c r="D21" s="1"/>
  <c r="E21" s="1"/>
  <c r="C62"/>
  <c r="D62" s="1"/>
  <c r="E62" s="1"/>
  <c r="C26"/>
  <c r="D26" s="1"/>
  <c r="E26" s="1"/>
  <c r="D138"/>
  <c r="E138" s="1"/>
  <c r="D80"/>
  <c r="E80" s="1"/>
  <c r="D102"/>
  <c r="E102" s="1"/>
  <c r="C16"/>
  <c r="D16" s="1"/>
  <c r="E16" s="1"/>
  <c r="C40"/>
  <c r="D40" s="1"/>
  <c r="E40" s="1"/>
  <c r="C39"/>
  <c r="C10" l="1"/>
  <c r="D10" s="1"/>
  <c r="E10" s="1"/>
  <c r="D39"/>
  <c r="E39" s="1"/>
</calcChain>
</file>

<file path=xl/sharedStrings.xml><?xml version="1.0" encoding="utf-8"?>
<sst xmlns="http://schemas.openxmlformats.org/spreadsheetml/2006/main" count="606" uniqueCount="328">
  <si>
    <t>Nb de PAX</t>
  </si>
  <si>
    <t>BANGUI-MOBAYE</t>
  </si>
  <si>
    <t>BANGUI-ALINDAO</t>
  </si>
  <si>
    <t>ALINDAO-BANGUI</t>
  </si>
  <si>
    <t>MOBAYE-BANGUI</t>
  </si>
  <si>
    <t>MOBAYE-ALINDAO</t>
  </si>
  <si>
    <t>ALINDAO-MOBAYE</t>
  </si>
  <si>
    <t>ROUTING N°1</t>
  </si>
  <si>
    <t>ROUTING N°2</t>
  </si>
  <si>
    <t>MTOW (lbs)</t>
  </si>
  <si>
    <t>PAYLOAD (KG)</t>
  </si>
  <si>
    <t>Avitaillement</t>
  </si>
  <si>
    <t>NON</t>
  </si>
  <si>
    <t>OUI</t>
  </si>
  <si>
    <t>BANGUI-KAGA</t>
  </si>
  <si>
    <t>BANGUI-PAOUA</t>
  </si>
  <si>
    <t>BANGUI-CARNOT</t>
  </si>
  <si>
    <t>BANGUI-BERBERATI</t>
  </si>
  <si>
    <t>BANGUI-KOUANGO</t>
  </si>
  <si>
    <t>BANGUI-NGAKOBO</t>
  </si>
  <si>
    <t>BANGUI-BAMBARI</t>
  </si>
  <si>
    <t>BANGUI-NDELE</t>
  </si>
  <si>
    <t>BANGUI-BANGASSOU</t>
  </si>
  <si>
    <t>BANGUI-BRIA</t>
  </si>
  <si>
    <t>BANGUI-BOSSANGOA</t>
  </si>
  <si>
    <t>BANGUI-BODA</t>
  </si>
  <si>
    <t>BANGUI-BOUAR</t>
  </si>
  <si>
    <t>BANGUI-BATANGAFO</t>
  </si>
  <si>
    <t>KAGA-BANGUI</t>
  </si>
  <si>
    <t>PAOUA-BANGUI</t>
  </si>
  <si>
    <t>CARNOT-BANGUI</t>
  </si>
  <si>
    <t>BERBERATI-BANGUI</t>
  </si>
  <si>
    <t>KOUANGO-BANGUI</t>
  </si>
  <si>
    <t>NGAKOBO-BANGUI</t>
  </si>
  <si>
    <t>BAMBARI-BANGUI</t>
  </si>
  <si>
    <t>NDELE-BANGUI</t>
  </si>
  <si>
    <t>BANGASSOU-BANGUI</t>
  </si>
  <si>
    <t>BRIA-BANGUI</t>
  </si>
  <si>
    <t>BOSSANGOA-BANGUI</t>
  </si>
  <si>
    <t>BODA-BANGUI</t>
  </si>
  <si>
    <t>BOUAR-BANGUI</t>
  </si>
  <si>
    <t>BATANGAFO-BANGUI</t>
  </si>
  <si>
    <t>KOUANGO-NGAKOBO</t>
  </si>
  <si>
    <t>NGAKOBO-KOUANGO</t>
  </si>
  <si>
    <t>KOUANGO-ALINDAO</t>
  </si>
  <si>
    <t>ALINDAO-KOUANGO</t>
  </si>
  <si>
    <t>KOUANGO-KAGA</t>
  </si>
  <si>
    <t>KOUANGO-MOBAYE</t>
  </si>
  <si>
    <t>MOBAYE-KOUANGO</t>
  </si>
  <si>
    <t>NGAKOBO-MOBAYE</t>
  </si>
  <si>
    <t>MOBAYE-NGAKOBO</t>
  </si>
  <si>
    <t>PAOUA-KABO</t>
  </si>
  <si>
    <t>KABO-PAOUA</t>
  </si>
  <si>
    <t>BANGASSOU-OBO</t>
  </si>
  <si>
    <t>OBO-BANGASSOU</t>
  </si>
  <si>
    <t>CARNOT-PAOUA</t>
  </si>
  <si>
    <t>PAOUA-CARNOT</t>
  </si>
  <si>
    <t>PAOUA-BATANGAFO</t>
  </si>
  <si>
    <t>BATANGAFO-PAOUA</t>
  </si>
  <si>
    <t>BATANGAFO-KABO</t>
  </si>
  <si>
    <t>KABO-BATANGAFO</t>
  </si>
  <si>
    <t>KAGA-NDELE</t>
  </si>
  <si>
    <t>NDELE-KAGA</t>
  </si>
  <si>
    <t>PAOUA-KAGA</t>
  </si>
  <si>
    <t>KAGA-PAOUA</t>
  </si>
  <si>
    <t>Routing</t>
  </si>
  <si>
    <t xml:space="preserve"> </t>
  </si>
  <si>
    <t>-</t>
  </si>
  <si>
    <t>Conso (lbs)</t>
  </si>
  <si>
    <t>Nb sièges</t>
  </si>
  <si>
    <t>BRIA-BAKOUMA</t>
  </si>
  <si>
    <t>BAKOUMA-BRIA</t>
  </si>
  <si>
    <t>BANGUI-BAKOUMA</t>
  </si>
  <si>
    <t>BAKOUMA-BANGUI</t>
  </si>
  <si>
    <t>BAKOUMA-BANGASSOU</t>
  </si>
  <si>
    <t>BANGASSOU-BAKOUMA</t>
  </si>
  <si>
    <t>Masse de base (lbs)</t>
  </si>
  <si>
    <t>CARNOT-BOZOUM</t>
  </si>
  <si>
    <t>BOZOUM-CARNOT</t>
  </si>
  <si>
    <t>BOZOUM-BANGUI</t>
  </si>
  <si>
    <t>BANGUI-BOZOUM</t>
  </si>
  <si>
    <t>BOUCA-BANGUI</t>
  </si>
  <si>
    <t>BANGUI-BOUCA</t>
  </si>
  <si>
    <t>BOZOUM-BOCARANGA</t>
  </si>
  <si>
    <t>BOCARANGA-BOZOUM</t>
  </si>
  <si>
    <t>BOGUILA-BOSSANGOA</t>
  </si>
  <si>
    <t>AD</t>
  </si>
  <si>
    <t>Latitude</t>
  </si>
  <si>
    <t>Longitude</t>
  </si>
  <si>
    <t>ALINDAO</t>
  </si>
  <si>
    <t>BAKOUMA</t>
  </si>
  <si>
    <t>BAMBARI</t>
  </si>
  <si>
    <t>BANGASSOU</t>
  </si>
  <si>
    <t>BANGUI</t>
  </si>
  <si>
    <t>BATANGAFO</t>
  </si>
  <si>
    <t>BERBERATI</t>
  </si>
  <si>
    <t>BOCARANGA</t>
  </si>
  <si>
    <t>BOSSANGOA</t>
  </si>
  <si>
    <t>BODA</t>
  </si>
  <si>
    <t>BOUAR</t>
  </si>
  <si>
    <t>BOUCA</t>
  </si>
  <si>
    <t>BOGUILA</t>
  </si>
  <si>
    <t>BOZOUM</t>
  </si>
  <si>
    <t>OBO MISSION</t>
  </si>
  <si>
    <t>PAOUA</t>
  </si>
  <si>
    <t>KAGA</t>
  </si>
  <si>
    <t>NDELE</t>
  </si>
  <si>
    <t>BRIA</t>
  </si>
  <si>
    <t>CARNOT</t>
  </si>
  <si>
    <t>KABO</t>
  </si>
  <si>
    <t>KOUANGO</t>
  </si>
  <si>
    <t>MOBAYE</t>
  </si>
  <si>
    <t>NGAKOBO</t>
  </si>
  <si>
    <t>Distance (NM)</t>
  </si>
  <si>
    <t>Lim DEC (lbs)</t>
  </si>
  <si>
    <t>TSV (mn)</t>
  </si>
  <si>
    <t xml:space="preserve">CALCUL PAYLOAD MAXIMUM           </t>
  </si>
  <si>
    <t>SI (E10=OUI ; J9 + SOMME(H10:H13)/2,2 ; SI (E11=OUI ; J9 + SOMME(H11:H13)/2,2 ; SI (E12=OUI ; PAYLOAD 3 + (H12+H13)/2,2</t>
  </si>
  <si>
    <t>KAGA-BATANGAFO</t>
  </si>
  <si>
    <t>BATANGAFO-KAGA</t>
  </si>
  <si>
    <t>BATANGAFO-BOUCA</t>
  </si>
  <si>
    <t>BOUCA-BATANGAFO</t>
  </si>
  <si>
    <t>BOUCA-KAGA</t>
  </si>
  <si>
    <t>KAGA-BOUCA</t>
  </si>
  <si>
    <t>BRIA-KOCHO</t>
  </si>
  <si>
    <t>KOCHO-BRIA</t>
  </si>
  <si>
    <t>KOCHO-BANGASSOU</t>
  </si>
  <si>
    <t>BANGASSOU-RAFAI</t>
  </si>
  <si>
    <t>RAFAI-BANGASSOU</t>
  </si>
  <si>
    <t>RAFAI-ZEMIO</t>
  </si>
  <si>
    <t>ZEMIO-OBO</t>
  </si>
  <si>
    <t>ZEMIO-BAMBOUTI</t>
  </si>
  <si>
    <t>ZEMIO-RAFAI</t>
  </si>
  <si>
    <t>ZEMIO-BANGASSOU</t>
  </si>
  <si>
    <t>BRIA-NDELE</t>
  </si>
  <si>
    <t>NDELE-BRIA</t>
  </si>
  <si>
    <t>NDELE-TIROUNGOULOU</t>
  </si>
  <si>
    <t>TIROUNGOULOU-BIRAO</t>
  </si>
  <si>
    <t>TIROUNGOULOU-NDELE</t>
  </si>
  <si>
    <t>BIRAO-TIROUNGOULOU</t>
  </si>
  <si>
    <t>BIRAO-NDELE</t>
  </si>
  <si>
    <t>KABO-NDELE</t>
  </si>
  <si>
    <t>NDELE-KABO</t>
  </si>
  <si>
    <t>BODA-BERBERATI</t>
  </si>
  <si>
    <t>BERBERATI-BODA</t>
  </si>
  <si>
    <t>BERBERATI-NOLA</t>
  </si>
  <si>
    <t>BERBERATI-BOUAR</t>
  </si>
  <si>
    <t>BERBERATI-CARNOT</t>
  </si>
  <si>
    <t>CARNOT-BERBERATI</t>
  </si>
  <si>
    <t>BANGUI-BAYANGA</t>
  </si>
  <si>
    <t>BAYANGA-BANGUI</t>
  </si>
  <si>
    <t>BAYANGA-NOLA</t>
  </si>
  <si>
    <t>NOLA-BANGUI</t>
  </si>
  <si>
    <t>NOLA-BERBERATI</t>
  </si>
  <si>
    <t>NOLA-BAYANGA</t>
  </si>
  <si>
    <t>NOLA-BODA</t>
  </si>
  <si>
    <t>BODA-NOLA</t>
  </si>
  <si>
    <t>BODA-CARNOT</t>
  </si>
  <si>
    <t>CARNOT-BODA</t>
  </si>
  <si>
    <t>ZEMIO</t>
  </si>
  <si>
    <t>NOLA</t>
  </si>
  <si>
    <t>BAYANGA</t>
  </si>
  <si>
    <t>RAFAI</t>
  </si>
  <si>
    <t>BAMBOUTI</t>
  </si>
  <si>
    <t>TIROUNGOULOU</t>
  </si>
  <si>
    <t>BIRAO</t>
  </si>
  <si>
    <t>KOCHO</t>
  </si>
  <si>
    <t>CARNOT-BOUAR</t>
  </si>
  <si>
    <t>BOUAR-CARNOT</t>
  </si>
  <si>
    <t>BOUAR-BOZOUM</t>
  </si>
  <si>
    <t>BOUAR-BOCARANGA</t>
  </si>
  <si>
    <t>BOUAR-BOSSANGOA</t>
  </si>
  <si>
    <t>BOSSANGOA-BOUAR</t>
  </si>
  <si>
    <t>BOZOUM-BOUAR</t>
  </si>
  <si>
    <t>BOCARANGA-PAOUA</t>
  </si>
  <si>
    <t>BOCARANGA-BOGUILA</t>
  </si>
  <si>
    <t>BOCARANGA-BOSSANGOA</t>
  </si>
  <si>
    <t>BOSSANGOA-BOCARANGA</t>
  </si>
  <si>
    <t>BOGUILA-PAOUA</t>
  </si>
  <si>
    <t>BOGUILA-BATANGAFO</t>
  </si>
  <si>
    <t>BOGUILA-BOUCA</t>
  </si>
  <si>
    <t>BOGUILA-BANGUI</t>
  </si>
  <si>
    <t>BANGUI-BOGUILA</t>
  </si>
  <si>
    <t>BAMBOUTI-OBO</t>
  </si>
  <si>
    <t>BAMBOUTI-BANGASSOU</t>
  </si>
  <si>
    <t>BANGASSOU-BAMBOUTI</t>
  </si>
  <si>
    <t>BAMBARI-ALINDAO</t>
  </si>
  <si>
    <t>BAMBARI-MOBAYE</t>
  </si>
  <si>
    <t>BAMBARI-KOUANGO</t>
  </si>
  <si>
    <t>BAMBARI-KAGA</t>
  </si>
  <si>
    <t>BAMBARI-KOCHO</t>
  </si>
  <si>
    <t>BAMBARI-BRIA</t>
  </si>
  <si>
    <t>BAMBARI-BANGASSOU</t>
  </si>
  <si>
    <t>ALINDAO-BAMBARI</t>
  </si>
  <si>
    <t>ALINDAO-BANGASSOU</t>
  </si>
  <si>
    <t>BAMBARI-NGAKOBO</t>
  </si>
  <si>
    <t>NGAKOBO-BAMBARI</t>
  </si>
  <si>
    <t>Délestage (lbs)</t>
  </si>
  <si>
    <t>BOCARANGA-BANGUI</t>
  </si>
  <si>
    <t>BANGUI-BIRAO</t>
  </si>
  <si>
    <t>BOUAR-PAOUA</t>
  </si>
  <si>
    <t>KAGA-KABO</t>
  </si>
  <si>
    <t>KABO-KAGA</t>
  </si>
  <si>
    <t>BANGUI-NOLA</t>
  </si>
  <si>
    <t>KOCHO-BAKOUMA</t>
  </si>
  <si>
    <t>ALINDAO-PAOUA</t>
  </si>
  <si>
    <t>PAOUA-ALINDAO</t>
  </si>
  <si>
    <t>MTOW</t>
  </si>
  <si>
    <t>Distance (Km)</t>
  </si>
  <si>
    <r>
      <t xml:space="preserve">IMPORTANT : Ce document n'est qu'une </t>
    </r>
    <r>
      <rPr>
        <b/>
        <u/>
        <sz val="10"/>
        <color rgb="FFFF0000"/>
        <rFont val="Arial"/>
        <family val="2"/>
      </rPr>
      <t>aide à la préparation</t>
    </r>
    <r>
      <rPr>
        <b/>
        <sz val="10"/>
        <color rgb="FFFF0000"/>
        <rFont val="Arial"/>
        <family val="2"/>
      </rPr>
      <t xml:space="preserve"> et existe donc à titre indicatif.                                                                                                             La décision finale restera celle des pilotes en fonction des conditions du jour.</t>
    </r>
  </si>
  <si>
    <t>FUEL</t>
  </si>
  <si>
    <t>MLW</t>
  </si>
  <si>
    <t>Code OACI</t>
  </si>
  <si>
    <t>FEFA</t>
  </si>
  <si>
    <t>FEGM</t>
  </si>
  <si>
    <t>FEFM</t>
  </si>
  <si>
    <t>FEGB</t>
  </si>
  <si>
    <t>FEFG</t>
  </si>
  <si>
    <t>FEFF</t>
  </si>
  <si>
    <t>FEGF</t>
  </si>
  <si>
    <t>FEFT</t>
  </si>
  <si>
    <t>FEFS</t>
  </si>
  <si>
    <t>FEFO</t>
  </si>
  <si>
    <t>FEGU</t>
  </si>
  <si>
    <t>FEGZ</t>
  </si>
  <si>
    <t>FEFR</t>
  </si>
  <si>
    <t>FEFC</t>
  </si>
  <si>
    <t>FEFQ</t>
  </si>
  <si>
    <t>FEGC</t>
  </si>
  <si>
    <t>FEFI</t>
  </si>
  <si>
    <t>FEGK</t>
  </si>
  <si>
    <t>FEFE</t>
  </si>
  <si>
    <t>FEFN</t>
  </si>
  <si>
    <t>FEGN</t>
  </si>
  <si>
    <t>FEFP</t>
  </si>
  <si>
    <t>Base :</t>
  </si>
  <si>
    <t>Avion :</t>
  </si>
  <si>
    <t>REG :</t>
  </si>
  <si>
    <t>C208B</t>
  </si>
  <si>
    <t>SIBUT</t>
  </si>
  <si>
    <t>FEFU</t>
  </si>
  <si>
    <t>MBOKI</t>
  </si>
  <si>
    <t>KEMBE</t>
  </si>
  <si>
    <t>GAMBOULA</t>
  </si>
  <si>
    <t>FEGG</t>
  </si>
  <si>
    <t>FEFK</t>
  </si>
  <si>
    <t>FEGE</t>
  </si>
  <si>
    <t>YALINGA</t>
  </si>
  <si>
    <t>FEFY</t>
  </si>
  <si>
    <t>ZEMIO VILLE</t>
  </si>
  <si>
    <t>FEFW</t>
  </si>
  <si>
    <t>Fuel en cas d'urgence, ou appeler avant T/O</t>
  </si>
  <si>
    <t>Infos utiles / Menaces</t>
  </si>
  <si>
    <t>200 premiers mètres seuil 29 mauvais état</t>
  </si>
  <si>
    <t>Incursions de piste par personnes possibles</t>
  </si>
  <si>
    <t>Traffic UNO régulier</t>
  </si>
  <si>
    <t>// Contrôler masses</t>
  </si>
  <si>
    <t>SECTEURS</t>
  </si>
  <si>
    <t>GORDIL</t>
  </si>
  <si>
    <t>FEGL</t>
  </si>
  <si>
    <t>FEGD</t>
  </si>
  <si>
    <t>DEKOA</t>
  </si>
  <si>
    <t>DAMARA</t>
  </si>
  <si>
    <t>FEFD</t>
  </si>
  <si>
    <t>BOSSEMBELE</t>
  </si>
  <si>
    <t>FEFL</t>
  </si>
  <si>
    <t>FEFB</t>
  </si>
  <si>
    <t>GRIMARI</t>
  </si>
  <si>
    <t>FEGI</t>
  </si>
  <si>
    <t>KAVADJA</t>
  </si>
  <si>
    <t>OUANDA DJALLE</t>
  </si>
  <si>
    <t>OUADDA</t>
  </si>
  <si>
    <t>SARKI</t>
  </si>
  <si>
    <t>GADZI</t>
  </si>
  <si>
    <t>Non Utilisable cause végétation / axe non visible</t>
  </si>
  <si>
    <t>GORDIL MELLE</t>
  </si>
  <si>
    <t>Piste 12/30</t>
  </si>
  <si>
    <t>Piste 17/35</t>
  </si>
  <si>
    <t>Héliport</t>
  </si>
  <si>
    <t>BANMINGUI</t>
  </si>
  <si>
    <t>Seuil 03 décalé car mauvais état</t>
  </si>
  <si>
    <t>Seuil 23 sol meuble, Collines axe 23</t>
  </si>
  <si>
    <t>Prévoir 1h d'escale si Refueling, test eau nécessaire</t>
  </si>
  <si>
    <t>VOR BT opérationnel</t>
  </si>
  <si>
    <t>Contacter à 20NM</t>
  </si>
  <si>
    <t>Pas de Parking, Attention aux chèvres</t>
  </si>
  <si>
    <t>Pas de parking, Attention aux antennes à l'OUEST</t>
  </si>
  <si>
    <t>Rigole traversant la piste</t>
  </si>
  <si>
    <t>Haute antenne Axe 35, Etat piste irrégulier</t>
  </si>
  <si>
    <t>Fuel On request N°tel : 75 649214</t>
  </si>
  <si>
    <t>Piste à ouvrir</t>
  </si>
  <si>
    <t>Piste non utilisable</t>
  </si>
  <si>
    <t>Pas de pompe carburant, Collines et antennes au NE</t>
  </si>
  <si>
    <t>FE02</t>
  </si>
  <si>
    <t>1200 x 25 m</t>
  </si>
  <si>
    <t>Piste inutilisable 750 x 30 m</t>
  </si>
  <si>
    <t>Piste inutilisable sud de la ville 725 x 30 m</t>
  </si>
  <si>
    <t>10 / 28 (1700 x 40 m)</t>
  </si>
  <si>
    <t>Nombreux reliefs tout autour</t>
  </si>
  <si>
    <t>Contact radio limité au NE</t>
  </si>
  <si>
    <t>Accôtements non stabilisés</t>
  </si>
  <si>
    <t>Environnement très valonné</t>
  </si>
  <si>
    <t>OBO POSTE</t>
  </si>
  <si>
    <t>650 x 20 m</t>
  </si>
  <si>
    <t>FEGO</t>
  </si>
  <si>
    <t>FEGR</t>
  </si>
  <si>
    <t>FE03</t>
  </si>
  <si>
    <t>Piste inutilisable (800 × 20 m)</t>
  </si>
  <si>
    <t>Pas de parking / Arbres des deux côtés de la piste</t>
  </si>
  <si>
    <t>TOUMBA</t>
  </si>
  <si>
    <t>FEFZ</t>
  </si>
  <si>
    <t>FE01</t>
  </si>
  <si>
    <t>Utilisable en cas de secours uniquement (non reconnue)</t>
  </si>
  <si>
    <t>Utiliser l'autre piste en ville</t>
  </si>
  <si>
    <t>REFUEL</t>
  </si>
  <si>
    <t>Contact radio ou visuel et présence MINUSCA obligatoire</t>
  </si>
  <si>
    <t>Réserve finale</t>
  </si>
  <si>
    <t>Divert Fuel</t>
  </si>
  <si>
    <t>Divert AD</t>
  </si>
  <si>
    <t>ZONGO</t>
  </si>
  <si>
    <t>lbs</t>
  </si>
  <si>
    <t>lbs/h</t>
  </si>
  <si>
    <t>knots</t>
  </si>
  <si>
    <t>VP</t>
  </si>
  <si>
    <t>Conso horaire en croisière</t>
  </si>
  <si>
    <t>Caractéristiques C208B</t>
  </si>
  <si>
    <t>" UNHAS CAR "</t>
  </si>
  <si>
    <t>Document édité par ASF-France</t>
  </si>
</sst>
</file>

<file path=xl/styles.xml><?xml version="1.0" encoding="utf-8"?>
<styleSheet xmlns="http://schemas.openxmlformats.org/spreadsheetml/2006/main">
  <numFmts count="1">
    <numFmt numFmtId="164" formatCode="0.000"/>
  </numFmts>
  <fonts count="3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4" tint="-0.249977111117893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4"/>
      <color rgb="FF077AC1"/>
      <name val="Arial Rounded MT Bold"/>
      <family val="2"/>
    </font>
    <font>
      <b/>
      <sz val="16"/>
      <color rgb="FF077AC1"/>
      <name val="Arial Rounded MT Bold"/>
      <family val="2"/>
    </font>
    <font>
      <b/>
      <sz val="14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u/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u val="double"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8"/>
      <color theme="0"/>
      <name val="Arial Rounded MT Bold"/>
      <family val="2"/>
    </font>
    <font>
      <b/>
      <sz val="16"/>
      <color theme="1"/>
      <name val="Arial Rounded MT Bold"/>
      <family val="2"/>
    </font>
    <font>
      <b/>
      <sz val="11"/>
      <color theme="1"/>
      <name val="Arial Rounded MT Bold"/>
      <family val="2"/>
    </font>
    <font>
      <b/>
      <sz val="18"/>
      <color theme="1"/>
      <name val="Arial Rounded MT Bold"/>
      <family val="2"/>
    </font>
    <font>
      <b/>
      <sz val="14"/>
      <color theme="1"/>
      <name val="Arial Rounded MT Bold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3E0F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double">
        <color theme="3"/>
      </bottom>
      <diagonal/>
    </border>
    <border>
      <left/>
      <right/>
      <top/>
      <bottom style="double">
        <color theme="3"/>
      </bottom>
      <diagonal/>
    </border>
    <border>
      <left/>
      <right style="double">
        <color theme="3"/>
      </right>
      <top/>
      <bottom style="double">
        <color theme="3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double">
        <color theme="3"/>
      </top>
      <bottom style="thick">
        <color rgb="FFFF0000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2" fillId="0" borderId="0" xfId="0" applyFont="1"/>
    <xf numFmtId="0" fontId="6" fillId="0" borderId="0" xfId="0" applyFont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0" fillId="0" borderId="0" xfId="0" applyAlignment="1">
      <alignment vertical="top"/>
    </xf>
    <xf numFmtId="0" fontId="11" fillId="0" borderId="0" xfId="0" applyFont="1"/>
    <xf numFmtId="1" fontId="0" fillId="0" borderId="0" xfId="0" applyNumberFormat="1" applyBorder="1" applyAlignment="1"/>
    <xf numFmtId="0" fontId="12" fillId="0" borderId="0" xfId="0" applyFont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14" fontId="7" fillId="0" borderId="0" xfId="0" applyNumberFormat="1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0" fillId="0" borderId="0" xfId="0" applyBorder="1"/>
    <xf numFmtId="0" fontId="17" fillId="0" borderId="0" xfId="0" applyFont="1" applyAlignment="1" applyProtection="1">
      <alignment horizontal="left" vertical="center"/>
      <protection hidden="1"/>
    </xf>
    <xf numFmtId="0" fontId="2" fillId="3" borderId="29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" fontId="0" fillId="3" borderId="32" xfId="0" applyNumberFormat="1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34" xfId="0" applyNumberFormat="1" applyBorder="1" applyAlignment="1"/>
    <xf numFmtId="0" fontId="10" fillId="0" borderId="0" xfId="0" applyFont="1" applyBorder="1" applyAlignment="1">
      <alignment vertical="center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vertical="center" wrapText="1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2" fillId="6" borderId="28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0" fillId="3" borderId="5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5" fillId="0" borderId="56" xfId="0" applyFont="1" applyBorder="1" applyAlignment="1" applyProtection="1">
      <alignment horizontal="left" vertical="center"/>
      <protection hidden="1"/>
    </xf>
    <xf numFmtId="0" fontId="22" fillId="0" borderId="0" xfId="0" applyFont="1" applyBorder="1" applyAlignment="1" applyProtection="1">
      <alignment vertical="center"/>
      <protection hidden="1"/>
    </xf>
    <xf numFmtId="0" fontId="0" fillId="0" borderId="56" xfId="0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Fill="1" applyBorder="1"/>
    <xf numFmtId="0" fontId="0" fillId="0" borderId="0" xfId="0" applyFill="1" applyBorder="1" applyAlignment="1" applyProtection="1">
      <alignment vertical="center"/>
      <protection hidden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Fill="1" applyBorder="1"/>
    <xf numFmtId="0" fontId="16" fillId="0" borderId="0" xfId="0" applyFont="1" applyFill="1" applyBorder="1" applyAlignment="1" applyProtection="1">
      <alignment vertical="center"/>
      <protection hidden="1"/>
    </xf>
    <xf numFmtId="0" fontId="2" fillId="3" borderId="35" xfId="0" applyFont="1" applyFill="1" applyBorder="1" applyAlignment="1">
      <alignment horizontal="center" vertical="center"/>
    </xf>
    <xf numFmtId="0" fontId="0" fillId="3" borderId="59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5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0" fillId="0" borderId="0" xfId="0" applyFill="1"/>
    <xf numFmtId="0" fontId="2" fillId="0" borderId="7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Alignment="1" applyProtection="1">
      <alignment vertical="center"/>
      <protection hidden="1"/>
    </xf>
    <xf numFmtId="0" fontId="0" fillId="0" borderId="1" xfId="0" applyFill="1" applyBorder="1" applyAlignment="1">
      <alignment horizontal="center" vertical="center"/>
    </xf>
    <xf numFmtId="0" fontId="11" fillId="0" borderId="0" xfId="0" applyFont="1" applyFill="1"/>
    <xf numFmtId="1" fontId="0" fillId="0" borderId="34" xfId="0" applyNumberFormat="1" applyFill="1" applyBorder="1" applyAlignment="1"/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/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3" borderId="64" xfId="0" applyFont="1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64" xfId="0" applyFill="1" applyBorder="1" applyAlignment="1" applyProtection="1">
      <alignment horizontal="center" vertical="center"/>
      <protection hidden="1"/>
    </xf>
    <xf numFmtId="0" fontId="0" fillId="3" borderId="64" xfId="0" applyFill="1" applyBorder="1" applyAlignment="1" applyProtection="1">
      <alignment horizontal="center" vertical="center"/>
      <protection hidden="1"/>
    </xf>
    <xf numFmtId="0" fontId="0" fillId="3" borderId="64" xfId="0" applyFill="1" applyBorder="1" applyAlignment="1">
      <alignment horizontal="center" vertical="center"/>
    </xf>
    <xf numFmtId="0" fontId="24" fillId="3" borderId="64" xfId="0" applyFont="1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66" xfId="0" applyFont="1" applyFill="1" applyBorder="1" applyAlignment="1">
      <alignment horizontal="center" vertical="center"/>
    </xf>
    <xf numFmtId="0" fontId="2" fillId="6" borderId="62" xfId="0" applyFont="1" applyFill="1" applyBorder="1" applyAlignment="1">
      <alignment horizontal="center" vertical="center"/>
    </xf>
    <xf numFmtId="0" fontId="24" fillId="0" borderId="6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64" xfId="0" applyFill="1" applyBorder="1"/>
    <xf numFmtId="0" fontId="0" fillId="3" borderId="23" xfId="0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horizontal="left" vertical="center"/>
      <protection hidden="1"/>
    </xf>
    <xf numFmtId="0" fontId="0" fillId="3" borderId="7" xfId="0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  <protection hidden="1"/>
    </xf>
    <xf numFmtId="0" fontId="0" fillId="3" borderId="8" xfId="0" applyFill="1" applyBorder="1" applyAlignment="1" applyProtection="1">
      <alignment horizontal="center" vertical="center"/>
      <protection hidden="1"/>
    </xf>
    <xf numFmtId="0" fontId="0" fillId="0" borderId="8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5" fillId="0" borderId="7" xfId="0" applyFont="1" applyFill="1" applyBorder="1" applyAlignment="1">
      <alignment horizontal="center" vertical="center"/>
    </xf>
    <xf numFmtId="0" fontId="0" fillId="9" borderId="24" xfId="0" applyFill="1" applyBorder="1" applyAlignment="1">
      <alignment horizontal="right" vertical="center"/>
    </xf>
    <xf numFmtId="0" fontId="0" fillId="9" borderId="67" xfId="0" applyFill="1" applyBorder="1" applyAlignment="1">
      <alignment horizontal="left" vertical="center"/>
    </xf>
    <xf numFmtId="0" fontId="0" fillId="9" borderId="25" xfId="0" applyFill="1" applyBorder="1" applyAlignment="1">
      <alignment horizontal="right" vertical="center"/>
    </xf>
    <xf numFmtId="0" fontId="0" fillId="9" borderId="68" xfId="0" applyFill="1" applyBorder="1" applyAlignment="1">
      <alignment horizontal="left" vertical="center"/>
    </xf>
    <xf numFmtId="0" fontId="0" fillId="9" borderId="23" xfId="0" applyFill="1" applyBorder="1" applyAlignment="1">
      <alignment horizontal="right" vertical="center"/>
    </xf>
    <xf numFmtId="0" fontId="0" fillId="9" borderId="77" xfId="0" applyFill="1" applyBorder="1" applyAlignment="1">
      <alignment horizontal="left" vertical="center"/>
    </xf>
    <xf numFmtId="0" fontId="0" fillId="0" borderId="0" xfId="0" applyAlignment="1" applyProtection="1">
      <alignment horizontal="center" vertical="center"/>
      <protection hidden="1"/>
    </xf>
    <xf numFmtId="0" fontId="25" fillId="11" borderId="14" xfId="0" applyFont="1" applyFill="1" applyBorder="1" applyAlignment="1">
      <alignment horizontal="center" vertical="center"/>
    </xf>
    <xf numFmtId="0" fontId="20" fillId="11" borderId="2" xfId="0" applyFont="1" applyFill="1" applyBorder="1" applyAlignment="1">
      <alignment horizontal="center" vertical="center"/>
    </xf>
    <xf numFmtId="0" fontId="25" fillId="11" borderId="2" xfId="0" applyFont="1" applyFill="1" applyBorder="1" applyAlignment="1">
      <alignment horizontal="center" vertical="center"/>
    </xf>
    <xf numFmtId="0" fontId="16" fillId="11" borderId="2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28" fillId="10" borderId="27" xfId="0" applyFont="1" applyFill="1" applyBorder="1" applyAlignment="1" applyProtection="1">
      <alignment horizontal="center" vertical="center"/>
      <protection hidden="1"/>
    </xf>
    <xf numFmtId="0" fontId="29" fillId="10" borderId="13" xfId="0" applyFont="1" applyFill="1" applyBorder="1" applyAlignment="1" applyProtection="1">
      <alignment horizontal="center" vertical="center"/>
      <protection hidden="1"/>
    </xf>
    <xf numFmtId="0" fontId="30" fillId="10" borderId="28" xfId="0" applyFont="1" applyFill="1" applyBorder="1" applyAlignment="1" applyProtection="1">
      <alignment horizontal="center" vertical="center"/>
      <protection hidden="1"/>
    </xf>
    <xf numFmtId="0" fontId="30" fillId="10" borderId="15" xfId="0" applyFont="1" applyFill="1" applyBorder="1" applyAlignment="1" applyProtection="1">
      <alignment horizontal="center" vertical="center"/>
      <protection hidden="1"/>
    </xf>
    <xf numFmtId="0" fontId="31" fillId="10" borderId="15" xfId="0" applyFont="1" applyFill="1" applyBorder="1" applyAlignment="1" applyProtection="1">
      <alignment horizontal="center" vertical="center"/>
      <protection hidden="1"/>
    </xf>
    <xf numFmtId="0" fontId="31" fillId="10" borderId="22" xfId="0" applyFont="1" applyFill="1" applyBorder="1" applyAlignment="1" applyProtection="1">
      <alignment horizontal="center" vertical="center"/>
      <protection hidden="1"/>
    </xf>
    <xf numFmtId="0" fontId="36" fillId="10" borderId="42" xfId="0" applyFont="1" applyFill="1" applyBorder="1" applyAlignment="1" applyProtection="1">
      <alignment horizontal="center" vertical="center"/>
      <protection hidden="1"/>
    </xf>
    <xf numFmtId="0" fontId="34" fillId="5" borderId="35" xfId="0" applyFont="1" applyFill="1" applyBorder="1" applyAlignment="1">
      <alignment horizontal="center" vertical="center"/>
    </xf>
    <xf numFmtId="0" fontId="34" fillId="5" borderId="73" xfId="0" applyFont="1" applyFill="1" applyBorder="1" applyAlignment="1">
      <alignment horizontal="center" vertical="center"/>
    </xf>
    <xf numFmtId="0" fontId="34" fillId="5" borderId="71" xfId="0" applyFont="1" applyFill="1" applyBorder="1" applyAlignment="1" applyProtection="1">
      <alignment horizontal="center" vertical="center"/>
      <protection locked="0" hidden="1"/>
    </xf>
    <xf numFmtId="1" fontId="34" fillId="10" borderId="6" xfId="0" applyNumberFormat="1" applyFont="1" applyFill="1" applyBorder="1" applyAlignment="1" applyProtection="1">
      <alignment horizontal="center" vertical="center"/>
      <protection hidden="1"/>
    </xf>
    <xf numFmtId="1" fontId="34" fillId="10" borderId="29" xfId="0" applyNumberFormat="1" applyFont="1" applyFill="1" applyBorder="1" applyAlignment="1">
      <alignment horizontal="center" vertical="center"/>
    </xf>
    <xf numFmtId="1" fontId="34" fillId="10" borderId="5" xfId="0" applyNumberFormat="1" applyFont="1" applyFill="1" applyBorder="1" applyAlignment="1">
      <alignment horizontal="center" vertical="center"/>
    </xf>
    <xf numFmtId="1" fontId="34" fillId="10" borderId="12" xfId="0" applyNumberFormat="1" applyFont="1" applyFill="1" applyBorder="1" applyAlignment="1" applyProtection="1">
      <alignment horizontal="center" vertical="center"/>
      <protection hidden="1"/>
    </xf>
    <xf numFmtId="1" fontId="34" fillId="10" borderId="23" xfId="0" applyNumberFormat="1" applyFont="1" applyFill="1" applyBorder="1" applyAlignment="1" applyProtection="1">
      <alignment horizontal="center" vertical="center"/>
      <protection hidden="1"/>
    </xf>
    <xf numFmtId="1" fontId="35" fillId="9" borderId="43" xfId="0" applyNumberFormat="1" applyFont="1" applyFill="1" applyBorder="1" applyAlignment="1" applyProtection="1">
      <alignment horizontal="center" vertical="center"/>
      <protection hidden="1"/>
    </xf>
    <xf numFmtId="0" fontId="36" fillId="10" borderId="44" xfId="0" applyFont="1" applyFill="1" applyBorder="1" applyAlignment="1" applyProtection="1">
      <alignment horizontal="center" vertical="center"/>
      <protection hidden="1"/>
    </xf>
    <xf numFmtId="0" fontId="34" fillId="5" borderId="36" xfId="0" applyFont="1" applyFill="1" applyBorder="1" applyAlignment="1">
      <alignment horizontal="center" vertical="center"/>
    </xf>
    <xf numFmtId="0" fontId="34" fillId="5" borderId="74" xfId="0" applyFont="1" applyFill="1" applyBorder="1" applyAlignment="1">
      <alignment horizontal="center" vertical="center"/>
    </xf>
    <xf numFmtId="0" fontId="34" fillId="5" borderId="59" xfId="0" applyFont="1" applyFill="1" applyBorder="1" applyAlignment="1" applyProtection="1">
      <alignment horizontal="center" vertical="center"/>
      <protection locked="0" hidden="1"/>
    </xf>
    <xf numFmtId="1" fontId="34" fillId="5" borderId="8" xfId="0" applyNumberFormat="1" applyFont="1" applyFill="1" applyBorder="1" applyAlignment="1" applyProtection="1">
      <alignment horizontal="center" vertical="center"/>
      <protection locked="0" hidden="1"/>
    </xf>
    <xf numFmtId="1" fontId="34" fillId="10" borderId="1" xfId="0" applyNumberFormat="1" applyFont="1" applyFill="1" applyBorder="1" applyAlignment="1">
      <alignment horizontal="center" vertical="center"/>
    </xf>
    <xf numFmtId="1" fontId="34" fillId="10" borderId="24" xfId="0" applyNumberFormat="1" applyFont="1" applyFill="1" applyBorder="1" applyAlignment="1" applyProtection="1">
      <alignment horizontal="center" vertical="center"/>
      <protection hidden="1"/>
    </xf>
    <xf numFmtId="0" fontId="36" fillId="10" borderId="45" xfId="0" applyFont="1" applyFill="1" applyBorder="1" applyAlignment="1" applyProtection="1">
      <alignment horizontal="center" vertical="center"/>
      <protection hidden="1"/>
    </xf>
    <xf numFmtId="0" fontId="34" fillId="5" borderId="75" xfId="0" applyFont="1" applyFill="1" applyBorder="1" applyAlignment="1">
      <alignment horizontal="center" vertical="center"/>
    </xf>
    <xf numFmtId="0" fontId="34" fillId="5" borderId="76" xfId="0" applyFont="1" applyFill="1" applyBorder="1" applyAlignment="1">
      <alignment horizontal="center" vertical="center"/>
    </xf>
    <xf numFmtId="0" fontId="34" fillId="5" borderId="72" xfId="0" applyFont="1" applyFill="1" applyBorder="1" applyAlignment="1" applyProtection="1">
      <alignment horizontal="center" vertical="center"/>
      <protection locked="0" hidden="1"/>
    </xf>
    <xf numFmtId="1" fontId="34" fillId="10" borderId="46" xfId="0" applyNumberFormat="1" applyFont="1" applyFill="1" applyBorder="1" applyAlignment="1">
      <alignment horizontal="center" vertical="center"/>
    </xf>
    <xf numFmtId="1" fontId="34" fillId="10" borderId="47" xfId="0" applyNumberFormat="1" applyFont="1" applyFill="1" applyBorder="1" applyAlignment="1" applyProtection="1">
      <alignment horizontal="center" vertical="center"/>
      <protection hidden="1"/>
    </xf>
    <xf numFmtId="1" fontId="35" fillId="9" borderId="79" xfId="0" applyNumberFormat="1" applyFont="1" applyFill="1" applyBorder="1" applyAlignment="1" applyProtection="1">
      <alignment horizontal="center" vertical="center"/>
      <protection hidden="1"/>
    </xf>
    <xf numFmtId="0" fontId="36" fillId="9" borderId="41" xfId="0" applyFont="1" applyFill="1" applyBorder="1" applyAlignment="1" applyProtection="1">
      <alignment horizontal="center" vertical="center"/>
      <protection hidden="1"/>
    </xf>
    <xf numFmtId="1" fontId="34" fillId="10" borderId="4" xfId="0" applyNumberFormat="1" applyFont="1" applyFill="1" applyBorder="1" applyAlignment="1" applyProtection="1">
      <alignment horizontal="center" vertical="center"/>
      <protection hidden="1"/>
    </xf>
    <xf numFmtId="0" fontId="34" fillId="10" borderId="12" xfId="0" applyFont="1" applyFill="1" applyBorder="1" applyAlignment="1" applyProtection="1">
      <alignment horizontal="center" vertical="center"/>
      <protection hidden="1"/>
    </xf>
    <xf numFmtId="0" fontId="34" fillId="10" borderId="26" xfId="0" applyFont="1" applyFill="1" applyBorder="1" applyAlignment="1" applyProtection="1">
      <alignment horizontal="center" vertical="center"/>
      <protection hidden="1"/>
    </xf>
    <xf numFmtId="1" fontId="34" fillId="10" borderId="29" xfId="0" applyNumberFormat="1" applyFont="1" applyFill="1" applyBorder="1" applyAlignment="1" applyProtection="1">
      <alignment horizontal="center" vertical="center"/>
      <protection hidden="1"/>
    </xf>
    <xf numFmtId="0" fontId="34" fillId="10" borderId="24" xfId="0" applyFont="1" applyFill="1" applyBorder="1" applyAlignment="1" applyProtection="1">
      <alignment horizontal="center" vertical="center"/>
      <protection hidden="1"/>
    </xf>
    <xf numFmtId="1" fontId="34" fillId="10" borderId="48" xfId="0" applyNumberFormat="1" applyFont="1" applyFill="1" applyBorder="1" applyAlignment="1" applyProtection="1">
      <alignment horizontal="center" vertical="center"/>
      <protection hidden="1"/>
    </xf>
    <xf numFmtId="0" fontId="34" fillId="10" borderId="47" xfId="0" applyFont="1" applyFill="1" applyBorder="1" applyAlignment="1" applyProtection="1">
      <alignment horizontal="center" vertical="center"/>
      <protection hidden="1"/>
    </xf>
    <xf numFmtId="0" fontId="2" fillId="3" borderId="70" xfId="0" applyFont="1" applyFill="1" applyBorder="1" applyAlignment="1" applyProtection="1">
      <alignment horizontal="center" vertical="center"/>
      <protection locked="0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0" xfId="0" applyFont="1" applyFill="1" applyBorder="1" applyAlignment="1" applyProtection="1">
      <alignment horizontal="center" vertical="center"/>
      <protection locked="0"/>
    </xf>
    <xf numFmtId="0" fontId="0" fillId="3" borderId="59" xfId="0" applyFont="1" applyFill="1" applyBorder="1" applyAlignment="1" applyProtection="1">
      <alignment horizontal="center" vertical="center"/>
      <protection locked="0"/>
    </xf>
    <xf numFmtId="0" fontId="0" fillId="3" borderId="23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2" fillId="3" borderId="3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8" xfId="0" applyNumberFormat="1" applyFont="1" applyFill="1" applyBorder="1" applyAlignment="1" applyProtection="1">
      <alignment horizontal="center" vertical="center"/>
      <protection locked="0"/>
    </xf>
    <xf numFmtId="0" fontId="0" fillId="3" borderId="58" xfId="0" applyFont="1" applyFill="1" applyBorder="1" applyAlignment="1" applyProtection="1">
      <alignment horizontal="center" vertical="center"/>
      <protection locked="0"/>
    </xf>
    <xf numFmtId="0" fontId="0" fillId="3" borderId="24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 hidden="1"/>
    </xf>
    <xf numFmtId="0" fontId="0" fillId="3" borderId="24" xfId="0" applyFill="1" applyBorder="1" applyAlignment="1" applyProtection="1">
      <alignment horizontal="center" vertical="center"/>
      <protection locked="0" hidden="1"/>
    </xf>
    <xf numFmtId="0" fontId="0" fillId="3" borderId="24" xfId="0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58" xfId="0" applyFill="1" applyBorder="1" applyAlignment="1" applyProtection="1">
      <alignment horizontal="center" vertical="center"/>
      <protection locked="0"/>
    </xf>
    <xf numFmtId="0" fontId="0" fillId="0" borderId="58" xfId="0" applyFill="1" applyBorder="1" applyAlignment="1" applyProtection="1">
      <alignment horizontal="center" vertical="center"/>
      <protection locked="0"/>
    </xf>
    <xf numFmtId="0" fontId="24" fillId="0" borderId="24" xfId="0" applyFont="1" applyFill="1" applyBorder="1" applyAlignment="1" applyProtection="1">
      <alignment horizontal="center" vertical="center"/>
      <protection locked="0"/>
    </xf>
    <xf numFmtId="0" fontId="24" fillId="3" borderId="24" xfId="0" applyFont="1" applyFill="1" applyBorder="1" applyAlignment="1" applyProtection="1">
      <alignment horizontal="center" vertical="center"/>
      <protection locked="0"/>
    </xf>
    <xf numFmtId="164" fontId="0" fillId="3" borderId="8" xfId="0" applyNumberFormat="1" applyFill="1" applyBorder="1" applyAlignment="1" applyProtection="1">
      <alignment horizontal="center" vertical="center"/>
      <protection locked="0"/>
    </xf>
    <xf numFmtId="0" fontId="2" fillId="3" borderId="63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164" fontId="0" fillId="3" borderId="32" xfId="0" applyNumberFormat="1" applyFont="1" applyFill="1" applyBorder="1" applyAlignment="1" applyProtection="1">
      <alignment horizontal="center" vertical="center"/>
      <protection locked="0"/>
    </xf>
    <xf numFmtId="0" fontId="2" fillId="0" borderId="63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164" fontId="0" fillId="0" borderId="32" xfId="0" applyNumberFormat="1" applyFont="1" applyFill="1" applyBorder="1" applyAlignment="1" applyProtection="1">
      <alignment horizontal="center" vertical="center"/>
      <protection locked="0"/>
    </xf>
    <xf numFmtId="164" fontId="0" fillId="0" borderId="33" xfId="0" applyNumberFormat="1" applyFont="1" applyFill="1" applyBorder="1" applyAlignment="1" applyProtection="1">
      <alignment horizontal="center" vertical="center"/>
      <protection locked="0"/>
    </xf>
    <xf numFmtId="164" fontId="0" fillId="3" borderId="33" xfId="0" applyNumberFormat="1" applyFont="1" applyFill="1" applyBorder="1" applyAlignment="1" applyProtection="1">
      <alignment horizontal="center" vertical="center"/>
      <protection locked="0"/>
    </xf>
    <xf numFmtId="164" fontId="0" fillId="0" borderId="53" xfId="0" applyNumberFormat="1" applyFont="1" applyFill="1" applyBorder="1" applyAlignment="1" applyProtection="1">
      <alignment horizontal="center" vertical="center"/>
      <protection locked="0"/>
    </xf>
    <xf numFmtId="0" fontId="0" fillId="0" borderId="60" xfId="0" applyFont="1" applyFill="1" applyBorder="1" applyAlignment="1" applyProtection="1">
      <alignment horizontal="center" vertical="center"/>
      <protection locked="0"/>
    </xf>
    <xf numFmtId="0" fontId="0" fillId="0" borderId="53" xfId="0" applyFont="1" applyFill="1" applyBorder="1" applyAlignment="1" applyProtection="1">
      <alignment horizontal="center" vertical="center"/>
      <protection locked="0"/>
    </xf>
    <xf numFmtId="0" fontId="0" fillId="0" borderId="53" xfId="0" applyFill="1" applyBorder="1" applyAlignment="1" applyProtection="1">
      <alignment horizontal="center" vertical="center"/>
      <protection locked="0"/>
    </xf>
    <xf numFmtId="164" fontId="0" fillId="3" borderId="53" xfId="0" applyNumberFormat="1" applyFont="1" applyFill="1" applyBorder="1" applyAlignment="1" applyProtection="1">
      <alignment horizontal="center" vertical="center"/>
      <protection locked="0"/>
    </xf>
    <xf numFmtId="0" fontId="0" fillId="3" borderId="60" xfId="0" applyFont="1" applyFill="1" applyBorder="1" applyAlignment="1" applyProtection="1">
      <alignment horizontal="center" vertical="center"/>
      <protection locked="0"/>
    </xf>
    <xf numFmtId="0" fontId="0" fillId="3" borderId="53" xfId="0" applyFont="1" applyFill="1" applyBorder="1" applyAlignment="1" applyProtection="1">
      <alignment horizontal="center" vertical="center"/>
      <protection locked="0"/>
    </xf>
    <xf numFmtId="0" fontId="0" fillId="3" borderId="53" xfId="0" applyFill="1" applyBorder="1" applyAlignment="1" applyProtection="1">
      <alignment horizontal="center" vertical="center"/>
      <protection locked="0"/>
    </xf>
    <xf numFmtId="164" fontId="0" fillId="0" borderId="53" xfId="0" applyNumberForma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164" fontId="0" fillId="3" borderId="25" xfId="0" applyNumberFormat="1" applyFont="1" applyFill="1" applyBorder="1" applyAlignment="1" applyProtection="1">
      <alignment horizontal="center" vertical="center"/>
      <protection locked="0"/>
    </xf>
    <xf numFmtId="164" fontId="0" fillId="3" borderId="11" xfId="0" applyNumberFormat="1" applyFont="1" applyFill="1" applyBorder="1" applyAlignment="1" applyProtection="1">
      <alignment horizontal="center" vertical="center"/>
      <protection locked="0"/>
    </xf>
    <xf numFmtId="0" fontId="0" fillId="3" borderId="57" xfId="0" applyFont="1" applyFill="1" applyBorder="1" applyAlignment="1" applyProtection="1">
      <alignment horizontal="center" vertical="center"/>
      <protection locked="0"/>
    </xf>
    <xf numFmtId="0" fontId="0" fillId="3" borderId="25" xfId="0" applyFont="1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33" fillId="10" borderId="54" xfId="0" applyFont="1" applyFill="1" applyBorder="1" applyAlignment="1" applyProtection="1">
      <alignment horizontal="center" vertical="center"/>
      <protection hidden="1"/>
    </xf>
    <xf numFmtId="0" fontId="33" fillId="10" borderId="2" xfId="0" applyFont="1" applyFill="1" applyBorder="1" applyAlignment="1" applyProtection="1">
      <alignment horizontal="center" vertical="center"/>
      <protection hidden="1"/>
    </xf>
    <xf numFmtId="0" fontId="33" fillId="10" borderId="55" xfId="0" applyFont="1" applyFill="1" applyBorder="1" applyAlignment="1" applyProtection="1">
      <alignment horizontal="center" vertical="center"/>
      <protection hidden="1"/>
    </xf>
    <xf numFmtId="14" fontId="7" fillId="0" borderId="0" xfId="0" applyNumberFormat="1" applyFont="1" applyAlignment="1" applyProtection="1">
      <alignment horizontal="center" vertical="center"/>
      <protection hidden="1"/>
    </xf>
    <xf numFmtId="0" fontId="4" fillId="2" borderId="49" xfId="0" applyFont="1" applyFill="1" applyBorder="1" applyAlignment="1" applyProtection="1">
      <alignment horizontal="center" vertical="center" wrapText="1"/>
      <protection hidden="1"/>
    </xf>
    <xf numFmtId="0" fontId="4" fillId="2" borderId="50" xfId="0" applyFont="1" applyFill="1" applyBorder="1" applyAlignment="1" applyProtection="1">
      <alignment horizontal="center" vertical="center" wrapText="1"/>
      <protection hidden="1"/>
    </xf>
    <xf numFmtId="0" fontId="4" fillId="2" borderId="51" xfId="0" applyFont="1" applyFill="1" applyBorder="1" applyAlignment="1" applyProtection="1">
      <alignment horizontal="center" vertical="center" wrapText="1"/>
      <protection hidden="1"/>
    </xf>
    <xf numFmtId="0" fontId="18" fillId="4" borderId="17" xfId="0" applyFont="1" applyFill="1" applyBorder="1" applyAlignment="1" applyProtection="1">
      <alignment horizontal="center" vertical="center" wrapText="1"/>
      <protection hidden="1"/>
    </xf>
    <xf numFmtId="0" fontId="18" fillId="4" borderId="16" xfId="0" applyFont="1" applyFill="1" applyBorder="1" applyAlignment="1" applyProtection="1">
      <alignment horizontal="center" vertical="center" wrapText="1"/>
      <protection hidden="1"/>
    </xf>
    <xf numFmtId="0" fontId="18" fillId="4" borderId="18" xfId="0" applyFont="1" applyFill="1" applyBorder="1" applyAlignment="1" applyProtection="1">
      <alignment horizontal="center" vertical="center" wrapText="1"/>
      <protection hidden="1"/>
    </xf>
    <xf numFmtId="0" fontId="19" fillId="4" borderId="19" xfId="0" applyFont="1" applyFill="1" applyBorder="1" applyAlignment="1" applyProtection="1">
      <alignment horizontal="center" vertical="center" wrapText="1"/>
      <protection hidden="1"/>
    </xf>
    <xf numFmtId="0" fontId="19" fillId="4" borderId="20" xfId="0" applyFont="1" applyFill="1" applyBorder="1" applyAlignment="1" applyProtection="1">
      <alignment horizontal="center" vertical="center" wrapText="1"/>
      <protection hidden="1"/>
    </xf>
    <xf numFmtId="0" fontId="19" fillId="4" borderId="21" xfId="0" applyFont="1" applyFill="1" applyBorder="1" applyAlignment="1" applyProtection="1">
      <alignment horizontal="center" vertical="center" wrapText="1"/>
      <protection hidden="1"/>
    </xf>
    <xf numFmtId="0" fontId="27" fillId="7" borderId="38" xfId="0" applyFont="1" applyFill="1" applyBorder="1" applyAlignment="1" applyProtection="1">
      <alignment horizontal="center" vertical="center"/>
      <protection hidden="1"/>
    </xf>
    <xf numFmtId="0" fontId="27" fillId="7" borderId="39" xfId="0" applyFont="1" applyFill="1" applyBorder="1" applyAlignment="1" applyProtection="1">
      <alignment horizontal="center" vertical="center"/>
      <protection hidden="1"/>
    </xf>
    <xf numFmtId="0" fontId="27" fillId="7" borderId="40" xfId="0" applyFont="1" applyFill="1" applyBorder="1" applyAlignment="1" applyProtection="1">
      <alignment horizontal="center" vertical="center"/>
      <protection hidden="1"/>
    </xf>
    <xf numFmtId="0" fontId="32" fillId="7" borderId="38" xfId="0" applyFont="1" applyFill="1" applyBorder="1" applyAlignment="1" applyProtection="1">
      <alignment horizontal="center" vertical="center"/>
      <protection hidden="1"/>
    </xf>
    <xf numFmtId="0" fontId="32" fillId="7" borderId="39" xfId="0" applyFont="1" applyFill="1" applyBorder="1" applyAlignment="1" applyProtection="1">
      <alignment horizontal="center" vertical="center"/>
      <protection hidden="1"/>
    </xf>
    <xf numFmtId="0" fontId="32" fillId="7" borderId="40" xfId="0" applyFont="1" applyFill="1" applyBorder="1" applyAlignment="1" applyProtection="1">
      <alignment horizontal="center" vertical="center"/>
      <protection hidden="1"/>
    </xf>
    <xf numFmtId="0" fontId="26" fillId="8" borderId="24" xfId="0" applyFont="1" applyFill="1" applyBorder="1" applyAlignment="1">
      <alignment horizontal="center" vertical="center"/>
    </xf>
    <xf numFmtId="0" fontId="26" fillId="8" borderId="67" xfId="0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0" fontId="15" fillId="9" borderId="10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3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5" fillId="9" borderId="29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61" xfId="0" applyFont="1" applyFill="1" applyBorder="1" applyAlignment="1">
      <alignment horizontal="center" vertical="center"/>
    </xf>
    <xf numFmtId="0" fontId="26" fillId="8" borderId="25" xfId="0" applyFont="1" applyFill="1" applyBorder="1" applyAlignment="1">
      <alignment horizontal="center" vertical="center"/>
    </xf>
    <xf numFmtId="0" fontId="26" fillId="8" borderId="68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16" fillId="7" borderId="7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80" xfId="0" applyFont="1" applyBorder="1" applyAlignment="1" applyProtection="1">
      <alignment vertical="top"/>
      <protection hidden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6E6E6"/>
      <color rgb="FF077AC1"/>
      <color rgb="FFA3E0FB"/>
      <color rgb="FFE2E2E2"/>
      <color rgb="FFF7FF8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571500</xdr:colOff>
      <xdr:row>5</xdr:row>
      <xdr:rowOff>114300</xdr:rowOff>
    </xdr:from>
    <xdr:to>
      <xdr:col>22</xdr:col>
      <xdr:colOff>323850</xdr:colOff>
      <xdr:row>22</xdr:row>
      <xdr:rowOff>0</xdr:rowOff>
    </xdr:to>
    <xdr:sp macro="" textlink="">
      <xdr:nvSpPr>
        <xdr:cNvPr id="9" name="Rectangle à coins arrondis 8"/>
        <xdr:cNvSpPr/>
      </xdr:nvSpPr>
      <xdr:spPr>
        <a:xfrm>
          <a:off x="10125075" y="2047875"/>
          <a:ext cx="6896100" cy="4972050"/>
        </a:xfrm>
        <a:prstGeom prst="roundRect">
          <a:avLst/>
        </a:prstGeom>
        <a:solidFill>
          <a:schemeClr val="accent1">
            <a:alpha val="4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12</xdr:col>
      <xdr:colOff>552450</xdr:colOff>
      <xdr:row>1</xdr:row>
      <xdr:rowOff>38100</xdr:rowOff>
    </xdr:from>
    <xdr:to>
      <xdr:col>15</xdr:col>
      <xdr:colOff>168856</xdr:colOff>
      <xdr:row>3</xdr:row>
      <xdr:rowOff>559622</xdr:rowOff>
    </xdr:to>
    <xdr:pic macro="[0]!Réinitialisation_Empty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48775" y="638175"/>
          <a:ext cx="1883356" cy="132162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18</xdr:col>
      <xdr:colOff>152400</xdr:colOff>
      <xdr:row>1</xdr:row>
      <xdr:rowOff>33528</xdr:rowOff>
    </xdr:from>
    <xdr:to>
      <xdr:col>20</xdr:col>
      <xdr:colOff>476250</xdr:colOff>
      <xdr:row>4</xdr:row>
      <xdr:rowOff>199073</xdr:rowOff>
    </xdr:to>
    <xdr:pic macro="[0]!Réinitialisation_EL_CLASSICO.Réinitialisation_EL_CLASSICO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6325" y="633603"/>
          <a:ext cx="1543050" cy="152762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12</xdr:col>
      <xdr:colOff>619125</xdr:colOff>
      <xdr:row>5</xdr:row>
      <xdr:rowOff>295272</xdr:rowOff>
    </xdr:from>
    <xdr:to>
      <xdr:col>21</xdr:col>
      <xdr:colOff>323850</xdr:colOff>
      <xdr:row>21</xdr:row>
      <xdr:rowOff>247650</xdr:rowOff>
    </xdr:to>
    <xdr:sp macro="" textlink="">
      <xdr:nvSpPr>
        <xdr:cNvPr id="10" name="ZoneTexte 9"/>
        <xdr:cNvSpPr txBox="1"/>
      </xdr:nvSpPr>
      <xdr:spPr>
        <a:xfrm>
          <a:off x="10953750" y="2562222"/>
          <a:ext cx="5629275" cy="4867278"/>
        </a:xfrm>
        <a:prstGeom prst="rect">
          <a:avLst/>
        </a:prstGeom>
        <a:solidFill>
          <a:schemeClr val="lt1">
            <a:alpha val="0"/>
          </a:schemeClr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b="1" i="0" u="sng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Informations / Utilisation du tableau :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</a:p>
        <a:p>
          <a:endParaRPr lang="fr-FR" sz="1600" b="1" i="0" u="none" strike="noStrike">
            <a:solidFill>
              <a:schemeClr val="bg1">
                <a:lumMod val="95000"/>
              </a:schemeClr>
            </a:solidFill>
            <a:latin typeface="+mn-lt"/>
            <a:ea typeface="+mn-ea"/>
            <a:cs typeface="+mn-cs"/>
          </a:endParaRPr>
        </a:p>
        <a:p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-  Note 1 :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Uniquement les cases blanches sont destinées à être remplies.</a:t>
          </a:r>
        </a:p>
        <a:p>
          <a:endParaRPr lang="fr-FR" sz="1600" b="1" i="0" u="none" strike="noStrike">
            <a:solidFill>
              <a:schemeClr val="bg1">
                <a:lumMod val="95000"/>
              </a:schemeClr>
            </a:solidFill>
            <a:latin typeface="+mn-lt"/>
            <a:ea typeface="+mn-ea"/>
            <a:cs typeface="+mn-cs"/>
          </a:endParaRPr>
        </a:p>
        <a:p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-  Note 2 :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La PAYLOAD MAX est à vérifier pour toute modification du nombre de PAX dans le routing.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</a:p>
        <a:p>
          <a:endParaRPr lang="fr-FR" sz="1600" b="1" i="0" u="none" strike="noStrike">
            <a:solidFill>
              <a:schemeClr val="bg1">
                <a:lumMod val="95000"/>
              </a:schemeClr>
            </a:solidFill>
            <a:latin typeface="+mn-lt"/>
            <a:ea typeface="+mn-ea"/>
            <a:cs typeface="+mn-cs"/>
          </a:endParaRPr>
        </a:p>
        <a:p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-  Note 3: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La MTOW est la masse au décollage limitée, soit par la structure, soit par les caractéristiques du terrain si inférieur à 9072 lbs.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</a:p>
        <a:p>
          <a:endParaRPr lang="fr-FR" sz="1600" b="1" i="0" u="none" strike="noStrike">
            <a:solidFill>
              <a:schemeClr val="bg1">
                <a:lumMod val="95000"/>
              </a:schemeClr>
            </a:solidFill>
            <a:latin typeface="+mn-lt"/>
            <a:ea typeface="+mn-ea"/>
            <a:cs typeface="+mn-cs"/>
          </a:endParaRPr>
        </a:p>
        <a:p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-  Note 4 :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  <a:r>
            <a:rPr lang="fr-FR" sz="1600" b="1" i="0" u="none" strike="noStrike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Si la PAYLOAD est faible : possibilité de l'augmenter en sélectionnant "OUI" dans la case Refuel au départ du terrain approvisionné en carburant.</a:t>
          </a:r>
          <a:r>
            <a:rPr lang="fr-FR" sz="1600" b="1">
              <a:solidFill>
                <a:schemeClr val="bg1">
                  <a:lumMod val="95000"/>
                </a:schemeClr>
              </a:solidFill>
            </a:rPr>
            <a:t> </a:t>
          </a:r>
        </a:p>
        <a:p>
          <a:endParaRPr lang="fr-FR" sz="1600" b="1">
            <a:solidFill>
              <a:schemeClr val="bg1">
                <a:lumMod val="95000"/>
              </a:schemeClr>
            </a:solidFill>
          </a:endParaRPr>
        </a:p>
        <a:p>
          <a:r>
            <a:rPr lang="fr-FR" sz="1600" b="1">
              <a:solidFill>
                <a:schemeClr val="bg1">
                  <a:lumMod val="95000"/>
                </a:schemeClr>
              </a:solidFill>
            </a:rPr>
            <a:t>-Note</a:t>
          </a:r>
          <a:r>
            <a:rPr lang="fr-FR" sz="1600" b="1" baseline="0">
              <a:solidFill>
                <a:schemeClr val="bg1">
                  <a:lumMod val="95000"/>
                </a:schemeClr>
              </a:solidFill>
            </a:rPr>
            <a:t> 5 : Le passage du routing 1 à 2, peut-être interprété par une escale Bangui ou par un terrain approvisionné en fuel (PAOUA, KAGA, BANGASSOU, KOCHO, BRIA, etc.)</a:t>
          </a:r>
          <a:endParaRPr lang="fr-FR" sz="16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2</xdr:col>
      <xdr:colOff>962025</xdr:colOff>
      <xdr:row>8</xdr:row>
      <xdr:rowOff>114300</xdr:rowOff>
    </xdr:from>
    <xdr:to>
      <xdr:col>3</xdr:col>
      <xdr:colOff>85725</xdr:colOff>
      <xdr:row>8</xdr:row>
      <xdr:rowOff>160019</xdr:rowOff>
    </xdr:to>
    <xdr:sp macro="" textlink="">
      <xdr:nvSpPr>
        <xdr:cNvPr id="11" name="Flèche droite 10"/>
        <xdr:cNvSpPr/>
      </xdr:nvSpPr>
      <xdr:spPr>
        <a:xfrm>
          <a:off x="3067050" y="3419475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971550</xdr:colOff>
      <xdr:row>9</xdr:row>
      <xdr:rowOff>114300</xdr:rowOff>
    </xdr:from>
    <xdr:to>
      <xdr:col>3</xdr:col>
      <xdr:colOff>95250</xdr:colOff>
      <xdr:row>9</xdr:row>
      <xdr:rowOff>160019</xdr:rowOff>
    </xdr:to>
    <xdr:sp macro="" textlink="">
      <xdr:nvSpPr>
        <xdr:cNvPr id="12" name="Flèche droite 11"/>
        <xdr:cNvSpPr/>
      </xdr:nvSpPr>
      <xdr:spPr>
        <a:xfrm>
          <a:off x="3076575" y="3695700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962025</xdr:colOff>
      <xdr:row>10</xdr:row>
      <xdr:rowOff>123825</xdr:rowOff>
    </xdr:from>
    <xdr:to>
      <xdr:col>3</xdr:col>
      <xdr:colOff>85725</xdr:colOff>
      <xdr:row>10</xdr:row>
      <xdr:rowOff>169544</xdr:rowOff>
    </xdr:to>
    <xdr:sp macro="" textlink="">
      <xdr:nvSpPr>
        <xdr:cNvPr id="13" name="Flèche droite 12"/>
        <xdr:cNvSpPr/>
      </xdr:nvSpPr>
      <xdr:spPr>
        <a:xfrm>
          <a:off x="3067050" y="3981450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962025</xdr:colOff>
      <xdr:row>11</xdr:row>
      <xdr:rowOff>123825</xdr:rowOff>
    </xdr:from>
    <xdr:to>
      <xdr:col>3</xdr:col>
      <xdr:colOff>85725</xdr:colOff>
      <xdr:row>11</xdr:row>
      <xdr:rowOff>169544</xdr:rowOff>
    </xdr:to>
    <xdr:sp macro="" textlink="">
      <xdr:nvSpPr>
        <xdr:cNvPr id="14" name="Flèche droite 13"/>
        <xdr:cNvSpPr/>
      </xdr:nvSpPr>
      <xdr:spPr>
        <a:xfrm>
          <a:off x="3067050" y="4257675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971550</xdr:colOff>
      <xdr:row>12</xdr:row>
      <xdr:rowOff>104775</xdr:rowOff>
    </xdr:from>
    <xdr:to>
      <xdr:col>3</xdr:col>
      <xdr:colOff>95250</xdr:colOff>
      <xdr:row>12</xdr:row>
      <xdr:rowOff>150494</xdr:rowOff>
    </xdr:to>
    <xdr:sp macro="" textlink="">
      <xdr:nvSpPr>
        <xdr:cNvPr id="15" name="Flèche droite 14"/>
        <xdr:cNvSpPr/>
      </xdr:nvSpPr>
      <xdr:spPr>
        <a:xfrm>
          <a:off x="3076575" y="4514850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933450</xdr:colOff>
      <xdr:row>16</xdr:row>
      <xdr:rowOff>114300</xdr:rowOff>
    </xdr:from>
    <xdr:to>
      <xdr:col>3</xdr:col>
      <xdr:colOff>57150</xdr:colOff>
      <xdr:row>16</xdr:row>
      <xdr:rowOff>160019</xdr:rowOff>
    </xdr:to>
    <xdr:sp macro="" textlink="">
      <xdr:nvSpPr>
        <xdr:cNvPr id="16" name="Flèche droite 15"/>
        <xdr:cNvSpPr/>
      </xdr:nvSpPr>
      <xdr:spPr>
        <a:xfrm>
          <a:off x="3038475" y="5915025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942975</xdr:colOff>
      <xdr:row>17</xdr:row>
      <xdr:rowOff>114300</xdr:rowOff>
    </xdr:from>
    <xdr:to>
      <xdr:col>3</xdr:col>
      <xdr:colOff>66675</xdr:colOff>
      <xdr:row>17</xdr:row>
      <xdr:rowOff>160019</xdr:rowOff>
    </xdr:to>
    <xdr:sp macro="" textlink="">
      <xdr:nvSpPr>
        <xdr:cNvPr id="17" name="Flèche droite 16"/>
        <xdr:cNvSpPr/>
      </xdr:nvSpPr>
      <xdr:spPr>
        <a:xfrm>
          <a:off x="3048000" y="6191250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933450</xdr:colOff>
      <xdr:row>18</xdr:row>
      <xdr:rowOff>114300</xdr:rowOff>
    </xdr:from>
    <xdr:to>
      <xdr:col>3</xdr:col>
      <xdr:colOff>57150</xdr:colOff>
      <xdr:row>18</xdr:row>
      <xdr:rowOff>160019</xdr:rowOff>
    </xdr:to>
    <xdr:sp macro="" textlink="">
      <xdr:nvSpPr>
        <xdr:cNvPr id="18" name="Flèche droite 17"/>
        <xdr:cNvSpPr/>
      </xdr:nvSpPr>
      <xdr:spPr>
        <a:xfrm>
          <a:off x="3038475" y="6467475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923925</xdr:colOff>
      <xdr:row>19</xdr:row>
      <xdr:rowOff>114300</xdr:rowOff>
    </xdr:from>
    <xdr:to>
      <xdr:col>3</xdr:col>
      <xdr:colOff>47625</xdr:colOff>
      <xdr:row>19</xdr:row>
      <xdr:rowOff>160019</xdr:rowOff>
    </xdr:to>
    <xdr:sp macro="" textlink="">
      <xdr:nvSpPr>
        <xdr:cNvPr id="19" name="Flèche droite 18"/>
        <xdr:cNvSpPr/>
      </xdr:nvSpPr>
      <xdr:spPr>
        <a:xfrm>
          <a:off x="3028950" y="6743700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914400</xdr:colOff>
      <xdr:row>20</xdr:row>
      <xdr:rowOff>114300</xdr:rowOff>
    </xdr:from>
    <xdr:to>
      <xdr:col>3</xdr:col>
      <xdr:colOff>38100</xdr:colOff>
      <xdr:row>20</xdr:row>
      <xdr:rowOff>160019</xdr:rowOff>
    </xdr:to>
    <xdr:sp macro="" textlink="">
      <xdr:nvSpPr>
        <xdr:cNvPr id="20" name="Flèche droite 19"/>
        <xdr:cNvSpPr/>
      </xdr:nvSpPr>
      <xdr:spPr>
        <a:xfrm>
          <a:off x="3019425" y="7019925"/>
          <a:ext cx="180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26"/>
  <sheetViews>
    <sheetView showGridLines="0" tabSelected="1" zoomScaleNormal="100" workbookViewId="0">
      <selection activeCell="H4" sqref="H4"/>
    </sheetView>
  </sheetViews>
  <sheetFormatPr baseColWidth="10" defaultColWidth="9.140625" defaultRowHeight="15"/>
  <cols>
    <col min="1" max="1" width="26.7109375" style="3" customWidth="1"/>
    <col min="2" max="2" width="4.85546875" style="3" customWidth="1"/>
    <col min="3" max="3" width="15.85546875" style="3" customWidth="1"/>
    <col min="4" max="4" width="15.28515625" style="48" customWidth="1"/>
    <col min="5" max="5" width="10.42578125" style="3" customWidth="1"/>
    <col min="6" max="6" width="8.140625" style="3" customWidth="1"/>
    <col min="7" max="7" width="12.140625" style="3" customWidth="1"/>
    <col min="8" max="8" width="9.28515625" style="3" customWidth="1"/>
    <col min="9" max="9" width="10.5703125" style="3" customWidth="1"/>
    <col min="10" max="10" width="11.140625" style="3" customWidth="1"/>
    <col min="11" max="11" width="23.28515625" style="3" customWidth="1"/>
    <col min="12" max="12" width="9.140625" style="3"/>
    <col min="13" max="13" width="15.7109375" style="3" customWidth="1"/>
    <col min="14" max="16384" width="9.140625" style="3"/>
  </cols>
  <sheetData>
    <row r="1" spans="2:23" ht="23.25" customHeight="1" thickBot="1">
      <c r="C1" s="228"/>
      <c r="D1" s="228"/>
      <c r="E1" s="228"/>
      <c r="F1" s="16"/>
      <c r="G1" s="16"/>
      <c r="H1" s="16"/>
    </row>
    <row r="2" spans="2:23" ht="39" customHeight="1" thickTop="1">
      <c r="B2" s="232" t="s">
        <v>116</v>
      </c>
      <c r="C2" s="233"/>
      <c r="D2" s="233"/>
      <c r="E2" s="233"/>
      <c r="F2" s="233"/>
      <c r="G2" s="233"/>
      <c r="H2" s="233"/>
      <c r="I2" s="233"/>
      <c r="J2" s="233"/>
      <c r="K2" s="234"/>
    </row>
    <row r="3" spans="2:23" ht="24" customHeight="1" thickBot="1">
      <c r="B3" s="235" t="s">
        <v>326</v>
      </c>
      <c r="C3" s="236"/>
      <c r="D3" s="236"/>
      <c r="E3" s="236"/>
      <c r="F3" s="236"/>
      <c r="G3" s="236"/>
      <c r="H3" s="236"/>
      <c r="I3" s="236"/>
      <c r="J3" s="236"/>
      <c r="K3" s="237"/>
      <c r="M3" s="17"/>
      <c r="N3" s="17"/>
      <c r="O3" s="17"/>
    </row>
    <row r="4" spans="2:23" ht="44.25" customHeight="1" thickTop="1" thickBot="1">
      <c r="B4" s="263" t="s">
        <v>327</v>
      </c>
      <c r="C4" s="263"/>
      <c r="D4" s="263"/>
      <c r="E4" s="263"/>
      <c r="F4" s="4"/>
      <c r="G4" s="4"/>
      <c r="H4" s="4"/>
      <c r="I4" s="4"/>
      <c r="J4" s="4"/>
      <c r="K4" s="4"/>
      <c r="N4" s="18"/>
    </row>
    <row r="5" spans="2:23" ht="45" customHeight="1" thickTop="1" thickBot="1">
      <c r="B5" s="229" t="s">
        <v>209</v>
      </c>
      <c r="C5" s="230"/>
      <c r="D5" s="230"/>
      <c r="E5" s="230"/>
      <c r="F5" s="230"/>
      <c r="G5" s="230"/>
      <c r="H5" s="230"/>
      <c r="I5" s="230"/>
      <c r="J5" s="230"/>
      <c r="K5" s="231"/>
    </row>
    <row r="6" spans="2:23" ht="28.5" customHeight="1" thickTop="1" thickBot="1">
      <c r="C6" s="8"/>
      <c r="D6" s="8"/>
      <c r="E6" s="8"/>
      <c r="F6" s="8"/>
      <c r="G6" s="8"/>
      <c r="H6" s="8"/>
      <c r="I6" s="8"/>
      <c r="J6" s="8"/>
      <c r="K6" s="8"/>
    </row>
    <row r="7" spans="2:23" ht="31.5" customHeight="1" thickTop="1" thickBot="1">
      <c r="B7" s="241" t="s">
        <v>7</v>
      </c>
      <c r="C7" s="242"/>
      <c r="D7" s="242"/>
      <c r="E7" s="242"/>
      <c r="F7" s="242"/>
      <c r="G7" s="242"/>
      <c r="H7" s="242"/>
      <c r="I7" s="242"/>
      <c r="J7" s="242"/>
      <c r="K7" s="243"/>
      <c r="M7" s="221"/>
      <c r="N7" s="221"/>
      <c r="O7" s="221"/>
      <c r="P7" s="221"/>
      <c r="Q7" s="221"/>
      <c r="R7" s="221"/>
      <c r="S7" s="221"/>
      <c r="T7" s="42"/>
      <c r="U7" s="42"/>
      <c r="V7" s="42"/>
      <c r="W7" s="42"/>
    </row>
    <row r="8" spans="2:23" ht="29.25" customHeight="1" thickBot="1">
      <c r="B8" s="225" t="s">
        <v>257</v>
      </c>
      <c r="C8" s="226"/>
      <c r="D8" s="227"/>
      <c r="E8" s="131" t="s">
        <v>0</v>
      </c>
      <c r="F8" s="132" t="s">
        <v>314</v>
      </c>
      <c r="G8" s="133" t="s">
        <v>208</v>
      </c>
      <c r="H8" s="134" t="s">
        <v>115</v>
      </c>
      <c r="I8" s="135" t="s">
        <v>68</v>
      </c>
      <c r="J8" s="136" t="s">
        <v>9</v>
      </c>
      <c r="K8" s="161" t="s">
        <v>10</v>
      </c>
      <c r="M8" s="221"/>
      <c r="N8" s="221"/>
      <c r="O8" s="221"/>
      <c r="P8" s="221"/>
      <c r="Q8" s="221"/>
      <c r="R8" s="221"/>
      <c r="S8" s="221"/>
      <c r="T8" s="42"/>
      <c r="U8" s="42"/>
      <c r="V8" s="42"/>
      <c r="W8" s="42"/>
    </row>
    <row r="9" spans="2:23" ht="21.95" customHeight="1">
      <c r="B9" s="137">
        <v>1</v>
      </c>
      <c r="C9" s="138" t="s">
        <v>93</v>
      </c>
      <c r="D9" s="139" t="s">
        <v>111</v>
      </c>
      <c r="E9" s="140">
        <v>9</v>
      </c>
      <c r="F9" s="141"/>
      <c r="G9" s="142">
        <f>IF(D9="-",0,ACOS(SIN(RADIANS(VLOOKUP(C9,DATA!I7:L60,3,0)))*SIN(RADIANS(VLOOKUP(D9,DATA!I7:L60,3,0)))+COS(RADIANS(VLOOKUP(C9,DATA!I7:L60,3,0)))*COS(RADIANS(VLOOKUP(D9,DATA!I7:L60,3,0)))*COS(RADIANS(VLOOKUP(D9,DATA!I7:L60,4,0)-VLOOKUP(C9,DATA!I7:L60,4,0))))*3440*1.852)</f>
        <v>289.52300819591238</v>
      </c>
      <c r="H9" s="143">
        <f>IF(G9&gt;0,G9/(DATA!L84*1.852)*60+5,"")</f>
        <v>67.531967212940032</v>
      </c>
      <c r="I9" s="144">
        <f>ROUNDUP(IF(G9&gt;0,1.05*G9/(1.852*DATA!L84)*DATA!L85+30,0),0)</f>
        <v>392</v>
      </c>
      <c r="J9" s="145">
        <f>VLOOKUP(C9,DATA!I7:'DATA'!M60,5,0)</f>
        <v>9072</v>
      </c>
      <c r="K9" s="146">
        <v>1106.8181818181818</v>
      </c>
      <c r="M9" s="223"/>
      <c r="N9" s="224"/>
      <c r="O9" s="224"/>
      <c r="P9" s="224"/>
      <c r="Q9" s="224"/>
      <c r="R9" s="224"/>
      <c r="S9" s="224"/>
      <c r="T9" s="224"/>
      <c r="U9" s="43"/>
      <c r="V9" s="43"/>
      <c r="W9" s="42"/>
    </row>
    <row r="10" spans="2:23" ht="21.95" customHeight="1">
      <c r="B10" s="147">
        <v>2</v>
      </c>
      <c r="C10" s="148" t="s">
        <v>111</v>
      </c>
      <c r="D10" s="149" t="s">
        <v>67</v>
      </c>
      <c r="E10" s="150">
        <v>8</v>
      </c>
      <c r="F10" s="151" t="s">
        <v>67</v>
      </c>
      <c r="G10" s="142">
        <f>IF(D10="-",0,ACOS(SIN(RADIANS(VLOOKUP(C10,DATA!I7:L60,3,0)))*SIN(RADIANS(VLOOKUP(D10,DATA!I7:L60,3,0)))+COS(RADIANS(VLOOKUP(C10,DATA!I7:L60,3,0)))*COS(RADIANS(VLOOKUP(D10,DATA!I7:L60,3,0)))*COS(RADIANS(VLOOKUP(D10,DATA!I7:L60,4,0)-VLOOKUP(C10,DATA!I7:L60,4,0))))*3440*1.852)</f>
        <v>0</v>
      </c>
      <c r="H10" s="152" t="str">
        <f>IF(G10&gt;0,G10/(DATA!L84*1.852)*60+5,"")</f>
        <v/>
      </c>
      <c r="I10" s="144">
        <f>ROUNDUP(IF(G10&gt;0,1.05*G10/(1.852*DATA!L84)*DATA!L85+30,0),0)</f>
        <v>0</v>
      </c>
      <c r="J10" s="153">
        <f>VLOOKUP(C10,DATA!I7:M60,5,0)</f>
        <v>9072</v>
      </c>
      <c r="K10" s="146"/>
      <c r="M10" s="223"/>
      <c r="N10" s="224"/>
      <c r="O10" s="224"/>
      <c r="P10" s="224"/>
      <c r="Q10" s="224"/>
      <c r="R10" s="224"/>
      <c r="S10" s="224"/>
      <c r="T10" s="224"/>
      <c r="U10" s="43"/>
      <c r="V10" s="43"/>
      <c r="W10" s="42"/>
    </row>
    <row r="11" spans="2:23" ht="21.95" customHeight="1">
      <c r="B11" s="147">
        <v>3</v>
      </c>
      <c r="C11" s="148" t="s">
        <v>67</v>
      </c>
      <c r="D11" s="149" t="s">
        <v>67</v>
      </c>
      <c r="E11" s="150">
        <v>0</v>
      </c>
      <c r="F11" s="151" t="s">
        <v>67</v>
      </c>
      <c r="G11" s="142">
        <f>IF(D11="-",0,ACOS(SIN(RADIANS(VLOOKUP(C11,DATA!I7:L60,3,0)))*SIN(RADIANS(VLOOKUP(D11,DATA!I7:L60,3,0)))+COS(RADIANS(VLOOKUP(C11,DATA!I7:L60,3,0)))*COS(RADIANS(VLOOKUP(D11,DATA!I7:L60,3,0)))*COS(RADIANS(VLOOKUP(D11,DATA!I7:L60,4,0)-VLOOKUP(C11,DATA!I7:L60,4,0))))*3440*1.852)</f>
        <v>0</v>
      </c>
      <c r="H11" s="152" t="str">
        <f>IF(G11&gt;0,G11/(DATA!L84*1.852)*60+5,"")</f>
        <v/>
      </c>
      <c r="I11" s="144">
        <f>ROUNDUP(IF(G11&gt;0,1.05*G11/(DATA!L84*1.852)*DATA!L85+30,0),0)</f>
        <v>0</v>
      </c>
      <c r="J11" s="153">
        <f>VLOOKUP(C11,DATA!I7:M60,5,0)</f>
        <v>0</v>
      </c>
      <c r="K11" s="146"/>
      <c r="L11" s="3" t="s">
        <v>66</v>
      </c>
      <c r="M11" s="223"/>
      <c r="N11" s="222"/>
      <c r="O11" s="222"/>
      <c r="P11" s="222"/>
      <c r="Q11" s="222"/>
      <c r="R11" s="222"/>
      <c r="S11" s="222"/>
      <c r="T11" s="222"/>
      <c r="U11" s="222"/>
      <c r="V11" s="222"/>
      <c r="W11" s="42"/>
    </row>
    <row r="12" spans="2:23" ht="21.95" customHeight="1">
      <c r="B12" s="147">
        <v>4</v>
      </c>
      <c r="C12" s="148" t="s">
        <v>67</v>
      </c>
      <c r="D12" s="149" t="s">
        <v>67</v>
      </c>
      <c r="E12" s="150">
        <v>0</v>
      </c>
      <c r="F12" s="151" t="s">
        <v>67</v>
      </c>
      <c r="G12" s="142">
        <f>IF(D12="-",0,ACOS(SIN(RADIANS(VLOOKUP(C12,DATA!I7:L60,3,0)))*SIN(RADIANS(VLOOKUP(D12,DATA!I7:L60,3,0)))+COS(RADIANS(VLOOKUP(C12,DATA!I7:L60,3,0)))*COS(RADIANS(VLOOKUP(D12,DATA!I7:L60,3,0)))*COS(RADIANS(VLOOKUP(D12,DATA!I7:L60,4,0)-VLOOKUP(C12,DATA!I7:L60,4,0))))*3440*1.852)</f>
        <v>0</v>
      </c>
      <c r="H12" s="152" t="str">
        <f>IF(G12&gt;0,G12/(DATA!L84*1.852)*60+5,"")</f>
        <v/>
      </c>
      <c r="I12" s="144">
        <f>ROUNDUP(IF(G12&gt;0,1.05*G12/(DATA!L84*1.852)*DATA!L85+30,0),0)</f>
        <v>0</v>
      </c>
      <c r="J12" s="153">
        <f>VLOOKUP(C12,DATA!I7:M60,5,0)</f>
        <v>0</v>
      </c>
      <c r="K12" s="146"/>
      <c r="M12" s="223"/>
      <c r="N12" s="222"/>
      <c r="O12" s="222"/>
      <c r="P12" s="222"/>
      <c r="Q12" s="222"/>
      <c r="R12" s="222"/>
      <c r="S12" s="222"/>
      <c r="T12" s="222"/>
      <c r="U12" s="222"/>
      <c r="V12" s="222"/>
      <c r="W12" s="42"/>
    </row>
    <row r="13" spans="2:23" ht="21.95" customHeight="1" thickBot="1">
      <c r="B13" s="154">
        <v>5</v>
      </c>
      <c r="C13" s="155" t="s">
        <v>67</v>
      </c>
      <c r="D13" s="156" t="s">
        <v>67</v>
      </c>
      <c r="E13" s="157">
        <v>0</v>
      </c>
      <c r="F13" s="151" t="s">
        <v>67</v>
      </c>
      <c r="G13" s="158">
        <f>IF(D13="-",0,ACOS(SIN(RADIANS(VLOOKUP(C13,DATA!I7:L60,3,0)))*SIN(RADIANS(VLOOKUP(D13,DATA!I7:L60,3,0)))+COS(RADIANS(VLOOKUP(C13,DATA!I7:L60,3,0)))*COS(RADIANS(VLOOKUP(D13,DATA!I7:L60,3,0)))*COS(RADIANS(VLOOKUP(D13,DATA!I7:L60,4,0)-VLOOKUP(C13,DATA!I7:L60,4,0))))*3440*1.852)</f>
        <v>0</v>
      </c>
      <c r="H13" s="152" t="str">
        <f>IF(G13&gt;0,G13/(DATA!L84*1.852)*60+5,"")</f>
        <v/>
      </c>
      <c r="I13" s="144">
        <f>ROUNDUP(IF(G13&gt;0,1.05*G13/(DATA!L84*1.852)*DATA!L85+30,0),0)</f>
        <v>0</v>
      </c>
      <c r="J13" s="159">
        <f>VLOOKUP(C13,DATA!I7:M60,5,0)</f>
        <v>0</v>
      </c>
      <c r="K13" s="146"/>
      <c r="M13" s="44"/>
      <c r="N13" s="222"/>
      <c r="O13" s="222"/>
      <c r="P13" s="222"/>
      <c r="Q13" s="222"/>
      <c r="R13" s="222"/>
      <c r="S13" s="222"/>
      <c r="T13" s="222"/>
      <c r="U13" s="222"/>
      <c r="V13" s="222"/>
      <c r="W13" s="222"/>
    </row>
    <row r="14" spans="2:23" ht="33.75" customHeight="1" thickTop="1" thickBot="1">
      <c r="C14" s="50" t="str">
        <f>IF(AND(C10="-",E10&gt;0),CONCATENATE("ATTENTION, LIGNE ",B10, INCOMPLETE ET Nb PAX &gt; 0),IF(AND(C11="-",E11&gt;0),CONCATENATE("ATTENTION, LIGNE ",B11," INCOMPLETE ET Nb PAX &gt; 0"),IF(AND(C12="-",E12&gt;0),CONCATENATE("ATTENTION, LIGNE ",B12," INCOMPLETE ET Nb PAX &gt; 0"),IF(AND(C13="-",E13&gt;0),CONCATENATE("ATTENTION, LIGNE ",B13," INCOMPLETE ET Nb PAX &gt; 0"),""))))</f>
        <v/>
      </c>
      <c r="D14" s="108"/>
      <c r="E14" s="53"/>
      <c r="F14" s="53"/>
      <c r="G14" s="53"/>
      <c r="H14" s="53"/>
      <c r="I14" s="53"/>
      <c r="J14" s="53"/>
      <c r="K14" s="55"/>
      <c r="L14" s="10"/>
      <c r="M14" s="223"/>
      <c r="N14" s="224"/>
      <c r="O14" s="224"/>
      <c r="P14" s="224"/>
      <c r="Q14" s="224"/>
      <c r="R14" s="224"/>
      <c r="S14" s="224"/>
      <c r="T14" s="224"/>
      <c r="U14" s="224"/>
      <c r="V14" s="224"/>
      <c r="W14" s="42"/>
    </row>
    <row r="15" spans="2:23" ht="31.5" customHeight="1" thickTop="1" thickBot="1">
      <c r="B15" s="238" t="s">
        <v>8</v>
      </c>
      <c r="C15" s="239"/>
      <c r="D15" s="239"/>
      <c r="E15" s="239"/>
      <c r="F15" s="239"/>
      <c r="G15" s="239"/>
      <c r="H15" s="239"/>
      <c r="I15" s="239"/>
      <c r="J15" s="239"/>
      <c r="K15" s="240"/>
      <c r="L15" s="15"/>
      <c r="M15" s="223"/>
      <c r="N15" s="224"/>
      <c r="O15" s="224"/>
      <c r="P15" s="224"/>
      <c r="Q15" s="224"/>
      <c r="R15" s="224"/>
      <c r="S15" s="224"/>
      <c r="T15" s="224"/>
      <c r="U15" s="224"/>
      <c r="V15" s="224"/>
      <c r="W15" s="42"/>
    </row>
    <row r="16" spans="2:23" ht="29.25" customHeight="1" thickBot="1">
      <c r="B16" s="225" t="s">
        <v>257</v>
      </c>
      <c r="C16" s="226"/>
      <c r="D16" s="227"/>
      <c r="E16" s="131" t="s">
        <v>0</v>
      </c>
      <c r="F16" s="132" t="s">
        <v>314</v>
      </c>
      <c r="G16" s="133" t="s">
        <v>208</v>
      </c>
      <c r="H16" s="134" t="s">
        <v>115</v>
      </c>
      <c r="I16" s="135" t="s">
        <v>68</v>
      </c>
      <c r="J16" s="136" t="s">
        <v>9</v>
      </c>
      <c r="K16" s="161" t="s">
        <v>10</v>
      </c>
      <c r="M16" s="44"/>
      <c r="N16" s="224"/>
      <c r="O16" s="224"/>
      <c r="P16" s="224"/>
      <c r="Q16" s="224"/>
      <c r="R16" s="224"/>
      <c r="S16" s="224"/>
      <c r="T16" s="224"/>
      <c r="U16" s="224"/>
      <c r="V16" s="224"/>
      <c r="W16" s="45"/>
    </row>
    <row r="17" spans="2:23" ht="21.75" customHeight="1">
      <c r="B17" s="137">
        <v>1</v>
      </c>
      <c r="C17" s="138" t="s">
        <v>93</v>
      </c>
      <c r="D17" s="139" t="s">
        <v>89</v>
      </c>
      <c r="E17" s="140">
        <v>9</v>
      </c>
      <c r="F17" s="141"/>
      <c r="G17" s="162">
        <f>IF(D17="-",0,ACOS(SIN(RADIANS(VLOOKUP(C17,DATA!I7:L60,3,0)))*SIN(RADIANS(VLOOKUP(D17,DATA!I7:L60,3,0)))+COS(RADIANS(VLOOKUP(C17,DATA!I7:L60,3,0)))*COS(RADIANS(VLOOKUP(D17,DATA!I7:L60,3,0)))*COS(RADIANS(VLOOKUP(D17,DATA!I7:L60,4,0)-VLOOKUP(C17,DATA!I7:L60,4,0))))*3440*1.852)</f>
        <v>304.85638767149504</v>
      </c>
      <c r="H17" s="152">
        <f>IF(G17,G17/(DATA!L84*1.852)*60+5,"")</f>
        <v>70.843712240063724</v>
      </c>
      <c r="I17" s="163">
        <f>ROUNDUP(IF(G17&gt;0,1.05*G17/(DATA!L84*1.852)*DATA!L85+30,0),0)</f>
        <v>411</v>
      </c>
      <c r="J17" s="164">
        <f>VLOOKUP(C17,DATA!I7:M60,5,1)</f>
        <v>9072</v>
      </c>
      <c r="K17" s="146">
        <v>1106.8181818181818</v>
      </c>
      <c r="M17" s="42"/>
      <c r="N17" s="224"/>
      <c r="O17" s="224"/>
      <c r="P17" s="224"/>
      <c r="Q17" s="224"/>
      <c r="R17" s="224"/>
      <c r="S17" s="224"/>
      <c r="T17" s="224"/>
      <c r="U17" s="224"/>
      <c r="V17" s="224"/>
      <c r="W17" s="45"/>
    </row>
    <row r="18" spans="2:23" ht="21.95" customHeight="1">
      <c r="B18" s="147">
        <v>2</v>
      </c>
      <c r="C18" s="148" t="s">
        <v>89</v>
      </c>
      <c r="D18" s="149" t="s">
        <v>67</v>
      </c>
      <c r="E18" s="150">
        <v>8</v>
      </c>
      <c r="F18" s="151" t="s">
        <v>67</v>
      </c>
      <c r="G18" s="165">
        <f>IF(D18="-",0,ACOS(SIN(RADIANS(VLOOKUP(C18,DATA!I7:L60,3,0)))*SIN(RADIANS(VLOOKUP(D18,DATA!I7:L60,3,0)))+COS(RADIANS(VLOOKUP(C18,DATA!I7:L60,3,0)))*COS(RADIANS(VLOOKUP(D18,DATA!I7:L60,3,0)))*COS(RADIANS(VLOOKUP(D18,DATA!I7:L60,4,0)-VLOOKUP(C18,DATA!I7:L60,4,0))))*3440*1.852)</f>
        <v>0</v>
      </c>
      <c r="H18" s="152" t="str">
        <f>IF(G18,G18/(DATA!L84*1.852)*60+5,"")</f>
        <v/>
      </c>
      <c r="I18" s="163">
        <f>ROUNDUP(IF(G18&gt;0,1.05*G18/(DATA!L84*1.852)*DATA!L85+30,0),0)</f>
        <v>0</v>
      </c>
      <c r="J18" s="166">
        <f>VLOOKUP(C18,DATA!I7:M60,5,1)</f>
        <v>8380</v>
      </c>
      <c r="K18" s="146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</row>
    <row r="19" spans="2:23" ht="21.95" customHeight="1">
      <c r="B19" s="147">
        <v>3</v>
      </c>
      <c r="C19" s="148" t="s">
        <v>67</v>
      </c>
      <c r="D19" s="149" t="s">
        <v>67</v>
      </c>
      <c r="E19" s="150">
        <v>0</v>
      </c>
      <c r="F19" s="151" t="s">
        <v>67</v>
      </c>
      <c r="G19" s="165">
        <f>IF(D19="-",0,ACOS(SIN(RADIANS(VLOOKUP(C19,DATA!I7:L60,3,0)))*SIN(RADIANS(VLOOKUP(D19,DATA!I7:L60,3,0)))+COS(RADIANS(VLOOKUP(C19,DATA!I7:L60,3,0)))*COS(RADIANS(VLOOKUP(D19,DATA!I7:L60,3,0)))*COS(RADIANS(VLOOKUP(D19,DATA!I7:L60,4,0)-VLOOKUP(C19,DATA!I7:L60,4,0))))*3440*1.852)</f>
        <v>0</v>
      </c>
      <c r="H19" s="152" t="str">
        <f>IF(G19,G19/(DATA!L84*1.852)*60+5,"")</f>
        <v/>
      </c>
      <c r="I19" s="163">
        <f>ROUNDUP(IF(G19&gt;0,1.05*G19/(DATA!L84*1.852)*DATA!L85+30,0),0)</f>
        <v>0</v>
      </c>
      <c r="J19" s="166">
        <f>VLOOKUP(C19,DATA!I7:M60,5,1)</f>
        <v>0</v>
      </c>
      <c r="K19" s="146"/>
      <c r="M19" s="7"/>
      <c r="W19" s="9"/>
    </row>
    <row r="20" spans="2:23" ht="21.95" customHeight="1">
      <c r="B20" s="147">
        <v>4</v>
      </c>
      <c r="C20" s="148" t="s">
        <v>67</v>
      </c>
      <c r="D20" s="149" t="s">
        <v>67</v>
      </c>
      <c r="E20" s="150">
        <v>0</v>
      </c>
      <c r="F20" s="151" t="s">
        <v>67</v>
      </c>
      <c r="G20" s="165">
        <f>IF(D20="-",0,ACOS(SIN(RADIANS(VLOOKUP(C20,DATA!I7:L60,3,0)))*SIN(RADIANS(VLOOKUP(D20,DATA!I7:L60,3,0)))+COS(RADIANS(VLOOKUP(C20,DATA!I7:L60,3,0)))*COS(RADIANS(VLOOKUP(D20,DATA!I7:L60,3,0)))*COS(RADIANS(VLOOKUP(D20,DATA!I7:L60,4,0)-VLOOKUP(C20,DATA!I7:L60,4,0))))*3440*1.852)</f>
        <v>0</v>
      </c>
      <c r="H20" s="152" t="str">
        <f>IF(G20,G20/(DATA!L84*1.852)*60+5,"")</f>
        <v/>
      </c>
      <c r="I20" s="163">
        <f>ROUNDUP(IF(G20&gt;0,1.05*G20/(DATA!L84*1.852)*DATA!L85+30,0),0)</f>
        <v>0</v>
      </c>
      <c r="J20" s="166">
        <f>VLOOKUP(C20,DATA!I7:M60,5,1)</f>
        <v>0</v>
      </c>
      <c r="K20" s="146"/>
      <c r="W20" s="9"/>
    </row>
    <row r="21" spans="2:23" ht="21.95" customHeight="1" thickBot="1">
      <c r="B21" s="154">
        <v>5</v>
      </c>
      <c r="C21" s="155" t="s">
        <v>67</v>
      </c>
      <c r="D21" s="156" t="s">
        <v>67</v>
      </c>
      <c r="E21" s="157">
        <v>0</v>
      </c>
      <c r="F21" s="151" t="s">
        <v>67</v>
      </c>
      <c r="G21" s="167">
        <f>IF(D21="-",0,ACOS(SIN(RADIANS(VLOOKUP(C21,DATA!I7:L60,3,0)))*SIN(RADIANS(VLOOKUP(D21,DATA!I7:L60,3,0)))+COS(RADIANS(VLOOKUP(C21,DATA!I7:L60,3,0)))*COS(RADIANS(VLOOKUP(D21,DATA!I7:L60,3,0)))*COS(RADIANS(VLOOKUP(D21,DATA!I7:L60,4,0)-VLOOKUP(C21,DATA!I7:L60,4,0))))*3440*1.852)</f>
        <v>0</v>
      </c>
      <c r="H21" s="152" t="str">
        <f>IF(G21,G21/(DATA!L84*1.852)*60+5,"")</f>
        <v/>
      </c>
      <c r="I21" s="163">
        <f>ROUNDUP(IF(G21&gt;0,1.05*G21/(DATA!L84*1.852)*DATA!L85+30,0),0)</f>
        <v>0</v>
      </c>
      <c r="J21" s="168">
        <f>VLOOKUP(C21,DATA!I7:M60,5,1)</f>
        <v>0</v>
      </c>
      <c r="K21" s="160"/>
      <c r="R21" s="14"/>
      <c r="S21" s="14"/>
      <c r="T21" s="19"/>
      <c r="U21" s="14"/>
      <c r="V21" s="14"/>
    </row>
    <row r="22" spans="2:23" ht="24.75" customHeight="1" thickTop="1">
      <c r="C22" s="50" t="str">
        <f>IF(AND(C18="-",E18&gt;0),CONCATENATE("ATTENTION, LIGNE ",B18, INCOMPLETE ET Nb PAX &gt; 0),IF(AND(C19="-",E19&gt;0),CONCATENATE("ATTENTION, LIGNE ",B19," INCOMPLETE ET Nb PAX &gt; 0"),IF(AND(C20="-",E20&gt;0),CONCATENATE("ATTENTION, LIGNE ",B20," INCOMPLETE ET Nb PAX &gt; 0"),IF(AND(C21="-",E21&gt;0),CONCATENATE("ATTENTION, LIGNE ",B21," INCOMPLETE ET Nb PAX &gt; 0"),""))))</f>
        <v/>
      </c>
      <c r="D22" s="108"/>
      <c r="E22" s="53"/>
      <c r="F22" s="53"/>
      <c r="G22" s="53"/>
      <c r="H22" s="53"/>
      <c r="I22" s="53"/>
      <c r="J22" s="53"/>
      <c r="L22" s="50"/>
      <c r="M22" s="50"/>
      <c r="N22" s="50"/>
      <c r="O22" s="50"/>
      <c r="P22" s="50"/>
      <c r="Q22" s="50"/>
      <c r="R22" s="14"/>
      <c r="S22" s="14"/>
      <c r="T22" s="19"/>
      <c r="U22" s="14"/>
      <c r="V22" s="14"/>
    </row>
    <row r="23" spans="2:23">
      <c r="F23" s="57"/>
      <c r="G23" s="57"/>
      <c r="H23" s="49"/>
      <c r="I23" s="49"/>
      <c r="J23" s="54"/>
      <c r="R23" s="14"/>
      <c r="S23" s="14"/>
      <c r="U23" s="14"/>
      <c r="V23" s="14"/>
    </row>
    <row r="24" spans="2:23">
      <c r="F24" s="12"/>
      <c r="G24"/>
    </row>
    <row r="25" spans="2:23">
      <c r="F25" s="12"/>
      <c r="G25"/>
    </row>
    <row r="26" spans="2:23">
      <c r="F26" s="12"/>
      <c r="G26"/>
    </row>
  </sheetData>
  <sheetProtection selectLockedCells="1"/>
  <dataConsolidate/>
  <mergeCells count="18">
    <mergeCell ref="N16:V17"/>
    <mergeCell ref="B16:D16"/>
    <mergeCell ref="B15:K15"/>
    <mergeCell ref="B7:K7"/>
    <mergeCell ref="N13:W13"/>
    <mergeCell ref="N14:V15"/>
    <mergeCell ref="M14:M15"/>
    <mergeCell ref="B4:E4"/>
    <mergeCell ref="B8:D8"/>
    <mergeCell ref="C1:E1"/>
    <mergeCell ref="B5:K5"/>
    <mergeCell ref="B2:K2"/>
    <mergeCell ref="B3:K3"/>
    <mergeCell ref="M7:S8"/>
    <mergeCell ref="N11:V12"/>
    <mergeCell ref="M11:M12"/>
    <mergeCell ref="M9:M10"/>
    <mergeCell ref="N9:T10"/>
  </mergeCells>
  <dataValidations count="7">
    <dataValidation type="whole" allowBlank="1" showInputMessage="1" showErrorMessage="1" sqref="G23">
      <formula1>1</formula1>
      <formula2>10</formula2>
    </dataValidation>
    <dataValidation type="list" allowBlank="1" showInputMessage="1" showErrorMessage="1" sqref="E17:E21 E9:E13">
      <formula1>"0,1,2,3,4,5,6,7,8,9,10,11,12"</formula1>
    </dataValidation>
    <dataValidation type="decimal" allowBlank="1" showInputMessage="1" showErrorMessage="1" sqref="F17 I17:J21 F9">
      <formula1>0</formula1>
      <formula2>10000</formula2>
    </dataValidation>
    <dataValidation type="list" showInputMessage="1" showErrorMessage="1" sqref="C12:D13">
      <formula1>AERODROMES_RCA</formula1>
    </dataValidation>
    <dataValidation type="list" showInputMessage="1" showErrorMessage="1" sqref="F18:F21 F10:F13">
      <formula1>"OUI,-"</formula1>
    </dataValidation>
    <dataValidation allowBlank="1" showInputMessage="1" showErrorMessage="1" sqref="G11:H11 H17:H21 H12:H13 H10"/>
    <dataValidation type="list" showInputMessage="1" showErrorMessage="1" sqref="C9:D11 C17:D21">
      <formula1>AERODROMES__RCA</formula1>
    </dataValidation>
  </dataValidations>
  <pageMargins left="0.7" right="0.7" top="0.75" bottom="0.75" header="0.3" footer="0.3"/>
  <pageSetup paperSize="8" orientation="portrait" r:id="rId1"/>
  <drawing r:id="rId2"/>
  <picture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DATA!$B$7:$B$152</xm:f>
          </x14:formula1>
          <xm:sqref>C9:C13 C17:C21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188"/>
  <sheetViews>
    <sheetView topLeftCell="A4" workbookViewId="0">
      <selection activeCell="E9" sqref="E9"/>
    </sheetView>
  </sheetViews>
  <sheetFormatPr baseColWidth="10" defaultRowHeight="15"/>
  <cols>
    <col min="2" max="2" width="25.42578125" customWidth="1"/>
    <col min="3" max="3" width="13.85546875" customWidth="1"/>
    <col min="5" max="5" width="14" customWidth="1"/>
    <col min="6" max="6" width="12.42578125" customWidth="1"/>
    <col min="7" max="7" width="16.28515625" customWidth="1"/>
    <col min="9" max="9" width="19" customWidth="1"/>
    <col min="10" max="10" width="11" customWidth="1"/>
    <col min="11" max="11" width="12.140625" customWidth="1"/>
    <col min="12" max="12" width="11.42578125" customWidth="1"/>
    <col min="13" max="13" width="10.140625" customWidth="1"/>
    <col min="14" max="14" width="9.7109375" customWidth="1"/>
    <col min="15" max="15" width="8.140625" customWidth="1"/>
    <col min="16" max="16" width="19.85546875" customWidth="1"/>
    <col min="17" max="17" width="11.85546875" customWidth="1"/>
    <col min="18" max="18" width="51.42578125" customWidth="1"/>
    <col min="19" max="19" width="11.85546875" customWidth="1"/>
    <col min="20" max="20" width="16" customWidth="1"/>
    <col min="22" max="22" width="13.7109375" customWidth="1"/>
    <col min="23" max="23" width="13.28515625" customWidth="1"/>
    <col min="24" max="24" width="15.7109375" customWidth="1"/>
    <col min="26" max="26" width="16.42578125" customWidth="1"/>
    <col min="28" max="28" width="11.140625" customWidth="1"/>
  </cols>
  <sheetData>
    <row r="1" spans="1:35" s="248" customFormat="1" ht="24.75" hidden="1" customHeight="1">
      <c r="A1" s="248" t="s">
        <v>117</v>
      </c>
    </row>
    <row r="2" spans="1:35" s="248" customFormat="1" ht="25.5" hidden="1" customHeight="1"/>
    <row r="3" spans="1:35" s="248" customFormat="1" ht="25.5" hidden="1" customHeight="1"/>
    <row r="4" spans="1:35" ht="25.5" customHeight="1" thickBot="1">
      <c r="B4" s="126" t="s">
        <v>235</v>
      </c>
      <c r="C4" s="127"/>
      <c r="D4" s="128" t="s">
        <v>236</v>
      </c>
      <c r="E4" s="129" t="s">
        <v>238</v>
      </c>
      <c r="F4" s="128" t="s">
        <v>237</v>
      </c>
      <c r="G4" s="130"/>
      <c r="I4" s="21"/>
      <c r="X4" s="125"/>
      <c r="Y4" s="125"/>
      <c r="Z4" s="125"/>
      <c r="AA4" s="125"/>
      <c r="AB4" s="125"/>
      <c r="AC4" s="125"/>
      <c r="AD4" s="125"/>
      <c r="AE4" s="125"/>
      <c r="AF4" s="125"/>
      <c r="AG4" s="125"/>
    </row>
    <row r="5" spans="1:35" ht="15.75" thickBot="1">
      <c r="B5" s="1"/>
    </row>
    <row r="6" spans="1:35" ht="30" customHeight="1" thickBot="1">
      <c r="B6" s="46" t="s">
        <v>65</v>
      </c>
      <c r="C6" s="47" t="s">
        <v>113</v>
      </c>
      <c r="D6" s="47" t="s">
        <v>115</v>
      </c>
      <c r="E6" s="47" t="s">
        <v>197</v>
      </c>
      <c r="F6" s="47" t="s">
        <v>114</v>
      </c>
      <c r="G6" s="70" t="s">
        <v>11</v>
      </c>
      <c r="I6" s="71" t="s">
        <v>86</v>
      </c>
      <c r="J6" s="46" t="s">
        <v>212</v>
      </c>
      <c r="K6" s="47" t="s">
        <v>87</v>
      </c>
      <c r="L6" s="70" t="s">
        <v>88</v>
      </c>
      <c r="M6" s="72" t="s">
        <v>207</v>
      </c>
      <c r="N6" s="73" t="s">
        <v>211</v>
      </c>
      <c r="O6" s="73" t="s">
        <v>210</v>
      </c>
      <c r="P6" s="46" t="s">
        <v>318</v>
      </c>
      <c r="Q6" s="70" t="s">
        <v>317</v>
      </c>
      <c r="R6" s="100" t="s">
        <v>252</v>
      </c>
    </row>
    <row r="7" spans="1:35" ht="22.5" customHeight="1">
      <c r="B7" s="22" t="s">
        <v>67</v>
      </c>
      <c r="C7" s="23">
        <v>0</v>
      </c>
      <c r="D7" s="23">
        <v>0</v>
      </c>
      <c r="E7" s="23">
        <v>0</v>
      </c>
      <c r="F7" s="23">
        <v>0</v>
      </c>
      <c r="G7" s="24" t="s">
        <v>67</v>
      </c>
      <c r="I7" s="67"/>
      <c r="J7" s="38" t="s">
        <v>67</v>
      </c>
      <c r="K7" s="51" t="s">
        <v>67</v>
      </c>
      <c r="L7" s="69" t="s">
        <v>67</v>
      </c>
      <c r="M7" s="68">
        <v>0</v>
      </c>
      <c r="N7" s="52">
        <v>0</v>
      </c>
      <c r="O7" s="106" t="s">
        <v>67</v>
      </c>
      <c r="P7" s="116" t="s">
        <v>67</v>
      </c>
      <c r="Q7" s="24">
        <v>0</v>
      </c>
      <c r="R7" s="99"/>
    </row>
    <row r="8" spans="1:35" ht="22.5" customHeight="1">
      <c r="B8" s="22"/>
      <c r="C8" s="23">
        <v>0</v>
      </c>
      <c r="D8" s="23">
        <v>0</v>
      </c>
      <c r="E8" s="23">
        <v>0</v>
      </c>
      <c r="F8" s="23">
        <v>0</v>
      </c>
      <c r="G8" s="24" t="s">
        <v>67</v>
      </c>
      <c r="I8" s="169" t="s">
        <v>67</v>
      </c>
      <c r="J8" s="170" t="s">
        <v>67</v>
      </c>
      <c r="K8" s="171" t="s">
        <v>67</v>
      </c>
      <c r="L8" s="172" t="s">
        <v>67</v>
      </c>
      <c r="M8" s="173">
        <v>0</v>
      </c>
      <c r="N8" s="174">
        <v>0</v>
      </c>
      <c r="O8" s="175" t="s">
        <v>67</v>
      </c>
      <c r="P8" s="109" t="s">
        <v>67</v>
      </c>
      <c r="Q8" s="28">
        <v>0</v>
      </c>
      <c r="R8" s="99"/>
    </row>
    <row r="9" spans="1:35" s="75" customFormat="1" ht="20.100000000000001" customHeight="1">
      <c r="B9" s="76" t="s">
        <v>2</v>
      </c>
      <c r="C9" s="77">
        <f xml:space="preserve"> ACOS(SIN(RADIANS(K14))*SIN(RADIANS(K9))+COS(RADIANS(K14))*COS(RADIANS(K9))*COS(RADIANS(L9 - L14)))*3440</f>
        <v>164.60928060015931</v>
      </c>
      <c r="D9" s="77">
        <f>C9/150*60+5</f>
        <v>70.843712240063724</v>
      </c>
      <c r="E9" s="77">
        <f>330*D9/60+40</f>
        <v>429.64041732035054</v>
      </c>
      <c r="F9" s="78">
        <v>9072</v>
      </c>
      <c r="G9" s="79" t="s">
        <v>13</v>
      </c>
      <c r="I9" s="176" t="s">
        <v>89</v>
      </c>
      <c r="J9" s="177" t="s">
        <v>213</v>
      </c>
      <c r="K9" s="178">
        <v>5.0222022480378996</v>
      </c>
      <c r="L9" s="179">
        <v>21.198531703479102</v>
      </c>
      <c r="M9" s="180">
        <v>8380</v>
      </c>
      <c r="N9" s="181">
        <v>8425</v>
      </c>
      <c r="O9" s="182" t="s">
        <v>12</v>
      </c>
      <c r="P9" s="76" t="s">
        <v>93</v>
      </c>
      <c r="Q9" s="79"/>
      <c r="R9" s="93" t="s">
        <v>315</v>
      </c>
      <c r="AD9" s="80"/>
      <c r="AE9" s="80"/>
    </row>
    <row r="10" spans="1:35" ht="20.100000000000001" customHeight="1">
      <c r="B10" s="25" t="s">
        <v>72</v>
      </c>
      <c r="C10" s="26">
        <f>C39</f>
        <v>267.61352173856983</v>
      </c>
      <c r="D10" s="26">
        <f>C10/150*60+5</f>
        <v>112.04540869542794</v>
      </c>
      <c r="E10" s="26">
        <f>(330*D10/60)*1.05+30</f>
        <v>677.06223521609638</v>
      </c>
      <c r="F10" s="29">
        <v>9072</v>
      </c>
      <c r="G10" s="28" t="s">
        <v>13</v>
      </c>
      <c r="I10" s="183" t="s">
        <v>90</v>
      </c>
      <c r="J10" s="184" t="s">
        <v>214</v>
      </c>
      <c r="K10" s="185">
        <v>5.6941001864234</v>
      </c>
      <c r="L10" s="186">
        <v>22.801049272845901</v>
      </c>
      <c r="M10" s="187">
        <v>8370</v>
      </c>
      <c r="N10" s="188">
        <v>9000</v>
      </c>
      <c r="O10" s="188" t="s">
        <v>12</v>
      </c>
      <c r="P10" s="25"/>
      <c r="Q10" s="110"/>
      <c r="R10" s="92"/>
      <c r="AB10" s="5"/>
      <c r="AC10" s="5"/>
      <c r="AD10" s="5"/>
      <c r="AE10" s="5"/>
    </row>
    <row r="11" spans="1:35" s="75" customFormat="1" ht="20.100000000000001" customHeight="1">
      <c r="B11" s="76" t="s">
        <v>20</v>
      </c>
      <c r="C11" s="77">
        <f>C44</f>
        <v>154.27066141201692</v>
      </c>
      <c r="D11" s="77">
        <f>C11/150*60+5</f>
        <v>66.708264564806768</v>
      </c>
      <c r="E11" s="77">
        <f>(330*D11/60)*1.05+30</f>
        <v>415.24022786175908</v>
      </c>
      <c r="F11" s="81">
        <v>9072</v>
      </c>
      <c r="G11" s="79" t="s">
        <v>13</v>
      </c>
      <c r="I11" s="176" t="s">
        <v>91</v>
      </c>
      <c r="J11" s="177" t="s">
        <v>215</v>
      </c>
      <c r="K11" s="178">
        <v>5.8471754392445803</v>
      </c>
      <c r="L11" s="179">
        <v>20.649381464126499</v>
      </c>
      <c r="M11" s="180">
        <v>9072</v>
      </c>
      <c r="N11" s="181">
        <v>9000</v>
      </c>
      <c r="O11" s="189" t="s">
        <v>12</v>
      </c>
      <c r="P11" s="76" t="s">
        <v>93</v>
      </c>
      <c r="Q11" s="111"/>
      <c r="R11" s="94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</row>
    <row r="12" spans="1:35" ht="20.100000000000001" customHeight="1">
      <c r="B12" s="25" t="s">
        <v>22</v>
      </c>
      <c r="C12" s="26">
        <v>258</v>
      </c>
      <c r="D12" s="26">
        <v>108</v>
      </c>
      <c r="E12" s="26">
        <v>633</v>
      </c>
      <c r="F12" s="56">
        <v>9072</v>
      </c>
      <c r="G12" s="28" t="s">
        <v>13</v>
      </c>
      <c r="I12" s="183" t="s">
        <v>163</v>
      </c>
      <c r="J12" s="184" t="s">
        <v>216</v>
      </c>
      <c r="K12" s="185">
        <v>5.4221152797911403</v>
      </c>
      <c r="L12" s="186">
        <v>27.2101014286545</v>
      </c>
      <c r="M12" s="187">
        <v>8040</v>
      </c>
      <c r="N12" s="188">
        <v>7690</v>
      </c>
      <c r="O12" s="190" t="s">
        <v>12</v>
      </c>
      <c r="P12" s="117"/>
      <c r="Q12" s="112"/>
      <c r="R12" s="95" t="s">
        <v>280</v>
      </c>
      <c r="S12" s="5"/>
      <c r="T12" s="5"/>
      <c r="AB12" s="5"/>
      <c r="AC12" s="5"/>
      <c r="AD12" s="5"/>
      <c r="AE12" s="5"/>
    </row>
    <row r="13" spans="1:35" s="75" customFormat="1" ht="20.100000000000001" customHeight="1">
      <c r="B13" s="76" t="s">
        <v>27</v>
      </c>
      <c r="C13" s="77">
        <f xml:space="preserve"> ACOS(SIN(RADIANS(K14))*SIN(RADIANS(K16))+COS(RADIANS(K14))*COS(RADIANS(K16))*COS(RADIANS(L16 - L14)))*3440</f>
        <v>175.64712550770426</v>
      </c>
      <c r="D13" s="77">
        <f t="shared" ref="D13:D30" si="0">C13/150*60+5</f>
        <v>75.258850203081693</v>
      </c>
      <c r="E13" s="77">
        <f>330*D13/60+40</f>
        <v>453.92367611694931</v>
      </c>
      <c r="F13" s="78">
        <v>9072</v>
      </c>
      <c r="G13" s="79" t="s">
        <v>13</v>
      </c>
      <c r="I13" s="176" t="s">
        <v>92</v>
      </c>
      <c r="J13" s="177" t="s">
        <v>217</v>
      </c>
      <c r="K13" s="178">
        <v>4.7863692000000002</v>
      </c>
      <c r="L13" s="179">
        <v>22.779641599999898</v>
      </c>
      <c r="M13" s="180">
        <v>9072</v>
      </c>
      <c r="N13" s="181">
        <v>9000</v>
      </c>
      <c r="O13" s="182" t="s">
        <v>13</v>
      </c>
      <c r="P13" s="76"/>
      <c r="Q13" s="79"/>
      <c r="R13" s="93" t="s">
        <v>282</v>
      </c>
    </row>
    <row r="14" spans="1:35" ht="20.100000000000001" customHeight="1">
      <c r="B14" s="25" t="s">
        <v>149</v>
      </c>
      <c r="C14" s="26">
        <f xml:space="preserve"> ACOS(SIN(RADIANS(K14))*SIN(RADIANS(K17))+COS(RADIANS(K14))*COS(RADIANS(K17))*COS(RADIANS(L17 - L14)))*3440</f>
        <v>161.47440023138222</v>
      </c>
      <c r="D14" s="26">
        <f t="shared" si="0"/>
        <v>69.589760092552893</v>
      </c>
      <c r="E14" s="26">
        <f t="shared" ref="E14:E30" si="1">(330*D14/60)*1.05+30</f>
        <v>431.88086453449301</v>
      </c>
      <c r="F14" s="56">
        <v>9072</v>
      </c>
      <c r="G14" s="28" t="s">
        <v>13</v>
      </c>
      <c r="I14" s="183" t="s">
        <v>93</v>
      </c>
      <c r="J14" s="184" t="s">
        <v>218</v>
      </c>
      <c r="K14" s="185">
        <v>4.3962194216216197</v>
      </c>
      <c r="L14" s="186">
        <v>18.5202026367187</v>
      </c>
      <c r="M14" s="187">
        <v>9072</v>
      </c>
      <c r="N14" s="188">
        <v>9000</v>
      </c>
      <c r="O14" s="188" t="s">
        <v>13</v>
      </c>
      <c r="P14" s="25" t="s">
        <v>319</v>
      </c>
      <c r="Q14" s="110"/>
      <c r="R14" s="96" t="s">
        <v>254</v>
      </c>
    </row>
    <row r="15" spans="1:35" ht="20.100000000000001" customHeight="1">
      <c r="B15" s="76" t="s">
        <v>17</v>
      </c>
      <c r="C15" s="77">
        <f>C64</f>
        <v>163.97624786307969</v>
      </c>
      <c r="D15" s="77">
        <f t="shared" si="0"/>
        <v>70.590499145231874</v>
      </c>
      <c r="E15" s="77">
        <f t="shared" si="1"/>
        <v>437.66013256371406</v>
      </c>
      <c r="F15" s="81">
        <v>9072</v>
      </c>
      <c r="G15" s="79" t="s">
        <v>13</v>
      </c>
      <c r="I15" s="176" t="s">
        <v>279</v>
      </c>
      <c r="J15" s="177" t="s">
        <v>67</v>
      </c>
      <c r="K15" s="178">
        <v>7.5843652925792302</v>
      </c>
      <c r="L15" s="179">
        <v>20.1717659221679</v>
      </c>
      <c r="M15" s="180">
        <v>8840</v>
      </c>
      <c r="N15" s="181">
        <v>9000</v>
      </c>
      <c r="O15" s="182" t="s">
        <v>12</v>
      </c>
      <c r="P15" s="76"/>
      <c r="Q15" s="79"/>
      <c r="R15" s="93"/>
    </row>
    <row r="16" spans="1:35" s="75" customFormat="1" ht="20.100000000000001" customHeight="1">
      <c r="B16" s="25" t="s">
        <v>199</v>
      </c>
      <c r="C16" s="26">
        <f xml:space="preserve"> ACOS(SIN(RADIANS(K14))*SIN(RADIANS(K19))+COS(RADIANS(K14))*COS(RADIANS(K19))*COS(RADIANS(L19 - L14)))*3440</f>
        <v>430.52256967237162</v>
      </c>
      <c r="D16" s="26">
        <f t="shared" si="0"/>
        <v>177.20902786894865</v>
      </c>
      <c r="E16" s="26">
        <f t="shared" si="1"/>
        <v>1053.3821359431786</v>
      </c>
      <c r="F16" s="56">
        <v>9072</v>
      </c>
      <c r="G16" s="28" t="s">
        <v>13</v>
      </c>
      <c r="I16" s="183" t="s">
        <v>94</v>
      </c>
      <c r="J16" s="184" t="s">
        <v>219</v>
      </c>
      <c r="K16" s="185">
        <v>7.31420082200622</v>
      </c>
      <c r="L16" s="186">
        <v>18.308988822514198</v>
      </c>
      <c r="M16" s="187">
        <v>8375</v>
      </c>
      <c r="N16" s="188">
        <v>9000</v>
      </c>
      <c r="O16" s="191" t="s">
        <v>12</v>
      </c>
      <c r="P16" s="25"/>
      <c r="Q16" s="28"/>
      <c r="R16" s="96" t="s">
        <v>281</v>
      </c>
      <c r="S16" s="82"/>
      <c r="AA16" s="82"/>
      <c r="AD16" s="82"/>
      <c r="AE16" s="82"/>
      <c r="AH16" s="82"/>
      <c r="AI16" s="82"/>
    </row>
    <row r="17" spans="2:27" ht="20.100000000000001" customHeight="1">
      <c r="B17" s="76" t="s">
        <v>25</v>
      </c>
      <c r="C17" s="77">
        <v>62</v>
      </c>
      <c r="D17" s="77">
        <f t="shared" si="0"/>
        <v>29.8</v>
      </c>
      <c r="E17" s="77">
        <f t="shared" si="1"/>
        <v>202.09500000000003</v>
      </c>
      <c r="F17" s="78">
        <v>9072</v>
      </c>
      <c r="G17" s="79" t="s">
        <v>13</v>
      </c>
      <c r="I17" s="176" t="s">
        <v>161</v>
      </c>
      <c r="J17" s="177" t="s">
        <v>67</v>
      </c>
      <c r="K17" s="178">
        <v>2.9234622025471801</v>
      </c>
      <c r="L17" s="179">
        <v>16.2651462121338</v>
      </c>
      <c r="M17" s="180">
        <v>8830</v>
      </c>
      <c r="N17" s="181">
        <v>9000</v>
      </c>
      <c r="O17" s="181" t="s">
        <v>12</v>
      </c>
      <c r="P17" s="76"/>
      <c r="Q17" s="113"/>
      <c r="R17" s="107"/>
    </row>
    <row r="18" spans="2:27" s="75" customFormat="1" ht="20.100000000000001" customHeight="1">
      <c r="B18" s="25" t="s">
        <v>182</v>
      </c>
      <c r="C18" s="26">
        <f>C80</f>
        <v>190.02313377842518</v>
      </c>
      <c r="D18" s="26">
        <f t="shared" si="0"/>
        <v>81.009253511370076</v>
      </c>
      <c r="E18" s="26">
        <f t="shared" si="1"/>
        <v>497.82843902816217</v>
      </c>
      <c r="F18" s="29">
        <v>9072</v>
      </c>
      <c r="G18" s="28" t="s">
        <v>13</v>
      </c>
      <c r="I18" s="183" t="s">
        <v>95</v>
      </c>
      <c r="J18" s="184" t="s">
        <v>220</v>
      </c>
      <c r="K18" s="185">
        <v>4.2189642999999997</v>
      </c>
      <c r="L18" s="186">
        <v>15.787090299999999</v>
      </c>
      <c r="M18" s="187">
        <v>9072</v>
      </c>
      <c r="N18" s="188">
        <v>9000</v>
      </c>
      <c r="O18" s="191" t="s">
        <v>12</v>
      </c>
      <c r="P18" s="25"/>
      <c r="Q18" s="28"/>
      <c r="R18" s="96" t="s">
        <v>283</v>
      </c>
      <c r="AA18" s="83"/>
    </row>
    <row r="19" spans="2:27" ht="20.100000000000001" customHeight="1">
      <c r="B19" s="76" t="s">
        <v>24</v>
      </c>
      <c r="C19" s="77">
        <v>143</v>
      </c>
      <c r="D19" s="77">
        <f t="shared" si="0"/>
        <v>62.2</v>
      </c>
      <c r="E19" s="77">
        <f t="shared" si="1"/>
        <v>389.20500000000004</v>
      </c>
      <c r="F19" s="78">
        <v>9072</v>
      </c>
      <c r="G19" s="79" t="s">
        <v>13</v>
      </c>
      <c r="I19" s="176" t="s">
        <v>165</v>
      </c>
      <c r="J19" s="177" t="s">
        <v>229</v>
      </c>
      <c r="K19" s="178">
        <v>10.2368142</v>
      </c>
      <c r="L19" s="179">
        <v>22.7163298</v>
      </c>
      <c r="M19" s="180">
        <v>9072</v>
      </c>
      <c r="N19" s="181">
        <v>9000</v>
      </c>
      <c r="O19" s="182" t="s">
        <v>12</v>
      </c>
      <c r="P19" s="76"/>
      <c r="Q19" s="79"/>
      <c r="R19" s="93" t="s">
        <v>284</v>
      </c>
      <c r="AA19" s="40"/>
    </row>
    <row r="20" spans="2:27" s="75" customFormat="1" ht="20.100000000000001" customHeight="1">
      <c r="B20" s="25" t="s">
        <v>26</v>
      </c>
      <c r="C20" s="26">
        <v>196</v>
      </c>
      <c r="D20" s="26">
        <f t="shared" si="0"/>
        <v>83.4</v>
      </c>
      <c r="E20" s="26">
        <f t="shared" si="1"/>
        <v>511.63500000000005</v>
      </c>
      <c r="F20" s="27">
        <v>9072</v>
      </c>
      <c r="G20" s="28" t="s">
        <v>13</v>
      </c>
      <c r="I20" s="183" t="s">
        <v>96</v>
      </c>
      <c r="J20" s="184" t="s">
        <v>228</v>
      </c>
      <c r="K20" s="185">
        <v>6.9227951000000001</v>
      </c>
      <c r="L20" s="186">
        <v>15.6268715999999</v>
      </c>
      <c r="M20" s="187">
        <v>8360</v>
      </c>
      <c r="N20" s="188">
        <v>9000</v>
      </c>
      <c r="O20" s="191" t="s">
        <v>12</v>
      </c>
      <c r="P20" s="25"/>
      <c r="Q20" s="28"/>
      <c r="R20" s="96" t="s">
        <v>285</v>
      </c>
      <c r="AA20" s="83"/>
    </row>
    <row r="21" spans="2:27" ht="20.100000000000001" customHeight="1">
      <c r="B21" s="76" t="s">
        <v>82</v>
      </c>
      <c r="C21" s="77">
        <f>C94</f>
        <v>128.33415871876659</v>
      </c>
      <c r="D21" s="77">
        <f t="shared" si="0"/>
        <v>56.333663487506641</v>
      </c>
      <c r="E21" s="77">
        <f t="shared" si="1"/>
        <v>355.32690664035084</v>
      </c>
      <c r="F21" s="81">
        <v>9072</v>
      </c>
      <c r="G21" s="79" t="s">
        <v>13</v>
      </c>
      <c r="I21" s="176" t="s">
        <v>98</v>
      </c>
      <c r="J21" s="177" t="s">
        <v>311</v>
      </c>
      <c r="K21" s="178">
        <v>4.3134695000000001</v>
      </c>
      <c r="L21" s="179">
        <v>17.485710299999901</v>
      </c>
      <c r="M21" s="180">
        <v>7610</v>
      </c>
      <c r="N21" s="181">
        <v>7945</v>
      </c>
      <c r="O21" s="182" t="s">
        <v>12</v>
      </c>
      <c r="P21" s="76"/>
      <c r="Q21" s="79"/>
      <c r="R21" s="93" t="s">
        <v>286</v>
      </c>
    </row>
    <row r="22" spans="2:27" s="75" customFormat="1" ht="20.100000000000001" customHeight="1">
      <c r="B22" s="25" t="s">
        <v>80</v>
      </c>
      <c r="C22" s="26">
        <v>178</v>
      </c>
      <c r="D22" s="26">
        <f t="shared" si="0"/>
        <v>76.2</v>
      </c>
      <c r="E22" s="26">
        <f t="shared" si="1"/>
        <v>470.05500000000006</v>
      </c>
      <c r="F22" s="27">
        <v>9072</v>
      </c>
      <c r="G22" s="28" t="s">
        <v>13</v>
      </c>
      <c r="I22" s="183" t="s">
        <v>101</v>
      </c>
      <c r="J22" s="184" t="s">
        <v>67</v>
      </c>
      <c r="K22" s="185">
        <v>7.1339707981749898</v>
      </c>
      <c r="L22" s="186">
        <v>16.9239545222187</v>
      </c>
      <c r="M22" s="187">
        <v>8625</v>
      </c>
      <c r="N22" s="188">
        <v>9000</v>
      </c>
      <c r="O22" s="191" t="s">
        <v>12</v>
      </c>
      <c r="P22" s="25"/>
      <c r="Q22" s="28"/>
      <c r="R22" s="96" t="s">
        <v>287</v>
      </c>
    </row>
    <row r="23" spans="2:27" ht="20.100000000000001" customHeight="1">
      <c r="B23" s="76" t="s">
        <v>23</v>
      </c>
      <c r="C23" s="77">
        <f>C102</f>
        <v>243.6483072322311</v>
      </c>
      <c r="D23" s="77">
        <f t="shared" si="0"/>
        <v>102.45932289289244</v>
      </c>
      <c r="E23" s="77">
        <f t="shared" si="1"/>
        <v>621.70258970645386</v>
      </c>
      <c r="F23" s="81">
        <v>9072</v>
      </c>
      <c r="G23" s="79" t="s">
        <v>13</v>
      </c>
      <c r="I23" s="176" t="s">
        <v>97</v>
      </c>
      <c r="J23" s="177" t="s">
        <v>221</v>
      </c>
      <c r="K23" s="178">
        <v>6.4923935000000004</v>
      </c>
      <c r="L23" s="179">
        <v>17.428868899999902</v>
      </c>
      <c r="M23" s="180">
        <v>9072</v>
      </c>
      <c r="N23" s="181">
        <v>9000</v>
      </c>
      <c r="O23" s="182" t="s">
        <v>12</v>
      </c>
      <c r="P23" s="76"/>
      <c r="Q23" s="79"/>
      <c r="R23" s="93"/>
    </row>
    <row r="24" spans="2:27" ht="20.100000000000001" customHeight="1">
      <c r="B24" s="25" t="s">
        <v>16</v>
      </c>
      <c r="C24" s="26">
        <f xml:space="preserve"> ACOS(SIN(RADIANS(K14))*SIN(RADIANS(K29))+COS(RADIANS(K14))*COS(RADIANS(K29))*COS(RADIANS(L29 - L14)))*3440</f>
        <v>161.39471947731357</v>
      </c>
      <c r="D24" s="26">
        <f t="shared" si="0"/>
        <v>69.55788779092542</v>
      </c>
      <c r="E24" s="26">
        <f t="shared" si="1"/>
        <v>431.69680199259432</v>
      </c>
      <c r="F24" s="27">
        <v>9072</v>
      </c>
      <c r="G24" s="28" t="s">
        <v>13</v>
      </c>
      <c r="I24" s="183" t="s">
        <v>264</v>
      </c>
      <c r="J24" s="184" t="s">
        <v>265</v>
      </c>
      <c r="K24" s="192">
        <v>5.2608418332086497</v>
      </c>
      <c r="L24" s="186">
        <v>17.667391048914801</v>
      </c>
      <c r="M24" s="187">
        <v>0</v>
      </c>
      <c r="N24" s="188">
        <v>0</v>
      </c>
      <c r="O24" s="191" t="s">
        <v>12</v>
      </c>
      <c r="P24" s="25"/>
      <c r="Q24" s="28"/>
      <c r="R24" s="96" t="s">
        <v>278</v>
      </c>
    </row>
    <row r="25" spans="2:27" s="75" customFormat="1" ht="20.100000000000001" customHeight="1">
      <c r="B25" s="76" t="s">
        <v>14</v>
      </c>
      <c r="C25" s="77">
        <v>161</v>
      </c>
      <c r="D25" s="77">
        <f t="shared" si="0"/>
        <v>69.399999999999991</v>
      </c>
      <c r="E25" s="77">
        <f t="shared" si="1"/>
        <v>430.78499999999997</v>
      </c>
      <c r="F25" s="81">
        <v>9072</v>
      </c>
      <c r="G25" s="79" t="s">
        <v>13</v>
      </c>
      <c r="I25" s="176" t="s">
        <v>99</v>
      </c>
      <c r="J25" s="177" t="s">
        <v>222</v>
      </c>
      <c r="K25" s="178">
        <v>5.9579233</v>
      </c>
      <c r="L25" s="179">
        <v>15.637587099999999</v>
      </c>
      <c r="M25" s="180">
        <v>9072</v>
      </c>
      <c r="N25" s="181">
        <v>9000</v>
      </c>
      <c r="O25" s="182" t="s">
        <v>12</v>
      </c>
      <c r="P25" s="76" t="s">
        <v>93</v>
      </c>
      <c r="Q25" s="79"/>
      <c r="R25" s="93"/>
    </row>
    <row r="26" spans="2:27" ht="20.100000000000001" customHeight="1">
      <c r="B26" s="25" t="s">
        <v>18</v>
      </c>
      <c r="C26" s="77">
        <f>C125</f>
        <v>94.499444913129963</v>
      </c>
      <c r="D26" s="26">
        <f t="shared" si="0"/>
        <v>42.799777965251984</v>
      </c>
      <c r="E26" s="26">
        <f t="shared" si="1"/>
        <v>277.1687177493302</v>
      </c>
      <c r="F26" s="56">
        <v>9072</v>
      </c>
      <c r="G26" s="28" t="s">
        <v>13</v>
      </c>
      <c r="I26" s="183" t="s">
        <v>100</v>
      </c>
      <c r="J26" s="184" t="s">
        <v>223</v>
      </c>
      <c r="K26" s="185">
        <v>6.5194179030411998</v>
      </c>
      <c r="L26" s="186">
        <v>18.2722004896962</v>
      </c>
      <c r="M26" s="187">
        <v>9072</v>
      </c>
      <c r="N26" s="188">
        <v>9000</v>
      </c>
      <c r="O26" s="191" t="s">
        <v>12</v>
      </c>
      <c r="P26" s="25"/>
      <c r="Q26" s="28"/>
      <c r="R26" s="96" t="s">
        <v>288</v>
      </c>
    </row>
    <row r="27" spans="2:27" s="75" customFormat="1" ht="20.100000000000001" customHeight="1">
      <c r="B27" s="76" t="s">
        <v>1</v>
      </c>
      <c r="C27" s="77">
        <v>156</v>
      </c>
      <c r="D27" s="77">
        <f t="shared" si="0"/>
        <v>67.400000000000006</v>
      </c>
      <c r="E27" s="77">
        <f t="shared" si="1"/>
        <v>419.23500000000007</v>
      </c>
      <c r="F27" s="81">
        <v>9072</v>
      </c>
      <c r="G27" s="79" t="s">
        <v>13</v>
      </c>
      <c r="I27" s="176" t="s">
        <v>102</v>
      </c>
      <c r="J27" s="177" t="s">
        <v>224</v>
      </c>
      <c r="K27" s="178">
        <v>6.3413559999999896</v>
      </c>
      <c r="L27" s="179">
        <v>16.322465899999901</v>
      </c>
      <c r="M27" s="180">
        <v>8505</v>
      </c>
      <c r="N27" s="181">
        <v>9000</v>
      </c>
      <c r="O27" s="182" t="s">
        <v>12</v>
      </c>
      <c r="P27" s="76" t="s">
        <v>93</v>
      </c>
      <c r="Q27" s="79"/>
      <c r="R27" s="93"/>
    </row>
    <row r="28" spans="2:27" ht="20.100000000000001" customHeight="1">
      <c r="B28" s="25" t="s">
        <v>21</v>
      </c>
      <c r="C28" s="26">
        <f>ACOS(SIN(RADIANS(K14))*SIN(RADIANS(K45))+COS(RADIANS(K14))*COS(RADIANS(K45))*COS(RADIANS(L45 - L14)))*3440</f>
        <v>272.89688525505676</v>
      </c>
      <c r="D28" s="26">
        <f t="shared" si="0"/>
        <v>114.1587541020227</v>
      </c>
      <c r="E28" s="26">
        <f t="shared" si="1"/>
        <v>689.26680493918116</v>
      </c>
      <c r="F28" s="56">
        <v>9072</v>
      </c>
      <c r="G28" s="28" t="s">
        <v>13</v>
      </c>
      <c r="I28" s="183" t="s">
        <v>107</v>
      </c>
      <c r="J28" s="184" t="s">
        <v>225</v>
      </c>
      <c r="K28" s="185">
        <v>6.52883024081504</v>
      </c>
      <c r="L28" s="186">
        <v>21.988773877126501</v>
      </c>
      <c r="M28" s="187">
        <v>9072</v>
      </c>
      <c r="N28" s="188">
        <v>9000</v>
      </c>
      <c r="O28" s="191" t="s">
        <v>13</v>
      </c>
      <c r="P28" s="76" t="s">
        <v>93</v>
      </c>
      <c r="Q28" s="28"/>
      <c r="R28" s="96" t="s">
        <v>289</v>
      </c>
    </row>
    <row r="29" spans="2:27" s="75" customFormat="1" ht="20.100000000000001" customHeight="1">
      <c r="B29" s="76" t="s">
        <v>19</v>
      </c>
      <c r="C29" s="77">
        <f>C138</f>
        <v>140.90716541560255</v>
      </c>
      <c r="D29" s="77">
        <f t="shared" si="0"/>
        <v>61.36286616624102</v>
      </c>
      <c r="E29" s="77">
        <f t="shared" si="1"/>
        <v>384.3705521100419</v>
      </c>
      <c r="F29" s="81">
        <v>9072</v>
      </c>
      <c r="G29" s="79" t="s">
        <v>13</v>
      </c>
      <c r="I29" s="176" t="s">
        <v>108</v>
      </c>
      <c r="J29" s="177" t="s">
        <v>226</v>
      </c>
      <c r="K29" s="178">
        <v>4.9404211999999896</v>
      </c>
      <c r="L29" s="179">
        <v>15.8789403</v>
      </c>
      <c r="M29" s="180">
        <v>8780</v>
      </c>
      <c r="N29" s="181">
        <v>9000</v>
      </c>
      <c r="O29" s="182" t="s">
        <v>12</v>
      </c>
      <c r="P29" s="76" t="s">
        <v>93</v>
      </c>
      <c r="Q29" s="79"/>
      <c r="R29" s="105"/>
    </row>
    <row r="30" spans="2:27" s="75" customFormat="1" ht="20.100000000000001" customHeight="1">
      <c r="B30" s="25" t="s">
        <v>203</v>
      </c>
      <c r="C30" s="26">
        <v>161</v>
      </c>
      <c r="D30" s="26">
        <f t="shared" si="0"/>
        <v>69.399999999999991</v>
      </c>
      <c r="E30" s="26">
        <f t="shared" si="1"/>
        <v>430.78499999999997</v>
      </c>
      <c r="F30" s="56">
        <v>9072</v>
      </c>
      <c r="G30" s="28" t="s">
        <v>13</v>
      </c>
      <c r="I30" s="183" t="s">
        <v>262</v>
      </c>
      <c r="J30" s="184" t="s">
        <v>263</v>
      </c>
      <c r="K30" s="185">
        <v>4.9556032522095501</v>
      </c>
      <c r="L30" s="186">
        <v>18.6955583117361</v>
      </c>
      <c r="M30" s="193">
        <v>0</v>
      </c>
      <c r="N30" s="191">
        <v>0</v>
      </c>
      <c r="O30" s="191" t="s">
        <v>12</v>
      </c>
      <c r="P30" s="25"/>
      <c r="Q30" s="28"/>
      <c r="R30" s="96" t="s">
        <v>295</v>
      </c>
    </row>
    <row r="31" spans="2:27" s="75" customFormat="1" ht="20.100000000000001" customHeight="1">
      <c r="B31" s="76" t="s">
        <v>15</v>
      </c>
      <c r="C31" s="77">
        <v>211</v>
      </c>
      <c r="D31" s="77">
        <v>89</v>
      </c>
      <c r="E31" s="77">
        <v>523</v>
      </c>
      <c r="F31" s="81">
        <v>9072</v>
      </c>
      <c r="G31" s="79" t="s">
        <v>13</v>
      </c>
      <c r="I31" s="176" t="s">
        <v>261</v>
      </c>
      <c r="J31" s="177" t="s">
        <v>260</v>
      </c>
      <c r="K31" s="178">
        <v>6.3221397900964504</v>
      </c>
      <c r="L31" s="179">
        <v>19.0767694709727</v>
      </c>
      <c r="M31" s="194">
        <v>0</v>
      </c>
      <c r="N31" s="182">
        <v>0</v>
      </c>
      <c r="O31" s="182" t="s">
        <v>12</v>
      </c>
      <c r="P31" s="76"/>
      <c r="Q31" s="79"/>
      <c r="R31" s="93" t="s">
        <v>296</v>
      </c>
    </row>
    <row r="32" spans="2:27" s="75" customFormat="1" ht="20.100000000000001" customHeight="1">
      <c r="B32" s="25" t="s">
        <v>193</v>
      </c>
      <c r="C32" s="26">
        <v>59</v>
      </c>
      <c r="D32" s="26">
        <f t="shared" ref="D32:D65" si="2">C32/150*60+5</f>
        <v>28.599999999999998</v>
      </c>
      <c r="E32" s="26">
        <f t="shared" ref="E32:E65" si="3">(330*D32/60)*1.05+30</f>
        <v>195.16500000000002</v>
      </c>
      <c r="F32" s="56">
        <v>8380</v>
      </c>
      <c r="G32" s="28" t="s">
        <v>12</v>
      </c>
      <c r="I32" s="183" t="s">
        <v>273</v>
      </c>
      <c r="J32" s="184" t="s">
        <v>67</v>
      </c>
      <c r="K32" s="185">
        <v>4.7890328127733897</v>
      </c>
      <c r="L32" s="186">
        <v>16.698679405773799</v>
      </c>
      <c r="M32" s="187">
        <v>9072</v>
      </c>
      <c r="N32" s="188">
        <v>9000</v>
      </c>
      <c r="O32" s="191" t="s">
        <v>12</v>
      </c>
      <c r="P32" s="25"/>
      <c r="Q32" s="28"/>
      <c r="R32" s="96" t="s">
        <v>290</v>
      </c>
    </row>
    <row r="33" spans="2:36" s="75" customFormat="1" ht="20.100000000000001" customHeight="1">
      <c r="B33" s="76" t="s">
        <v>194</v>
      </c>
      <c r="C33" s="77"/>
      <c r="D33" s="77">
        <f t="shared" si="2"/>
        <v>5</v>
      </c>
      <c r="E33" s="77">
        <f t="shared" si="3"/>
        <v>58.875</v>
      </c>
      <c r="F33" s="81">
        <v>8380</v>
      </c>
      <c r="G33" s="79" t="s">
        <v>12</v>
      </c>
      <c r="I33" s="176" t="s">
        <v>243</v>
      </c>
      <c r="J33" s="177" t="s">
        <v>244</v>
      </c>
      <c r="K33" s="178">
        <v>4.1381518218983402</v>
      </c>
      <c r="L33" s="179">
        <v>15.154187469438099</v>
      </c>
      <c r="M33" s="180">
        <v>8190</v>
      </c>
      <c r="N33" s="181">
        <v>9000</v>
      </c>
      <c r="O33" s="182" t="s">
        <v>67</v>
      </c>
      <c r="P33" s="76"/>
      <c r="Q33" s="79"/>
      <c r="R33" s="93" t="s">
        <v>274</v>
      </c>
    </row>
    <row r="34" spans="2:36" s="75" customFormat="1" ht="20.100000000000001" customHeight="1">
      <c r="B34" s="25" t="s">
        <v>3</v>
      </c>
      <c r="C34" s="26">
        <v>165</v>
      </c>
      <c r="D34" s="26">
        <f t="shared" si="2"/>
        <v>71</v>
      </c>
      <c r="E34" s="26">
        <f t="shared" si="3"/>
        <v>440.02500000000003</v>
      </c>
      <c r="F34" s="56">
        <v>8380</v>
      </c>
      <c r="G34" s="28" t="s">
        <v>12</v>
      </c>
      <c r="I34" s="183" t="s">
        <v>258</v>
      </c>
      <c r="J34" s="184" t="s">
        <v>259</v>
      </c>
      <c r="K34" s="185">
        <v>9.2719515623747295</v>
      </c>
      <c r="L34" s="186">
        <v>21.195456841998698</v>
      </c>
      <c r="M34" s="187">
        <v>8965</v>
      </c>
      <c r="N34" s="188">
        <v>9000</v>
      </c>
      <c r="O34" s="191" t="s">
        <v>12</v>
      </c>
      <c r="P34" s="25"/>
      <c r="Q34" s="28"/>
      <c r="R34" s="96" t="s">
        <v>277</v>
      </c>
    </row>
    <row r="35" spans="2:36" s="75" customFormat="1" ht="20.100000000000001" customHeight="1">
      <c r="B35" s="76" t="s">
        <v>45</v>
      </c>
      <c r="C35" s="77">
        <v>73</v>
      </c>
      <c r="D35" s="77">
        <f t="shared" si="2"/>
        <v>34.200000000000003</v>
      </c>
      <c r="E35" s="77">
        <f t="shared" si="3"/>
        <v>227.50500000000002</v>
      </c>
      <c r="F35" s="81">
        <v>8380</v>
      </c>
      <c r="G35" s="79" t="s">
        <v>12</v>
      </c>
      <c r="I35" s="176" t="s">
        <v>275</v>
      </c>
      <c r="J35" s="177" t="s">
        <v>67</v>
      </c>
      <c r="K35" s="178">
        <v>9.5819336984165098</v>
      </c>
      <c r="L35" s="179">
        <v>21.7268760297165</v>
      </c>
      <c r="M35" s="180">
        <v>9015</v>
      </c>
      <c r="N35" s="181">
        <v>9000</v>
      </c>
      <c r="O35" s="182" t="s">
        <v>12</v>
      </c>
      <c r="P35" s="76"/>
      <c r="Q35" s="79"/>
      <c r="R35" s="93" t="s">
        <v>276</v>
      </c>
    </row>
    <row r="36" spans="2:36" s="75" customFormat="1" ht="20.100000000000001" customHeight="1">
      <c r="B36" s="25" t="s">
        <v>6</v>
      </c>
      <c r="C36" s="26"/>
      <c r="D36" s="26">
        <f t="shared" si="2"/>
        <v>5</v>
      </c>
      <c r="E36" s="26">
        <f t="shared" si="3"/>
        <v>58.875</v>
      </c>
      <c r="F36" s="56">
        <v>8380</v>
      </c>
      <c r="G36" s="28" t="s">
        <v>12</v>
      </c>
      <c r="I36" s="183" t="s">
        <v>267</v>
      </c>
      <c r="J36" s="184" t="s">
        <v>268</v>
      </c>
      <c r="K36" s="185">
        <v>5.6971278782505701</v>
      </c>
      <c r="L36" s="186">
        <v>20.054870891570999</v>
      </c>
      <c r="M36" s="187">
        <v>0</v>
      </c>
      <c r="N36" s="188">
        <v>0</v>
      </c>
      <c r="O36" s="191" t="s">
        <v>12</v>
      </c>
      <c r="P36" s="25"/>
      <c r="Q36" s="28"/>
      <c r="R36" s="96" t="s">
        <v>291</v>
      </c>
    </row>
    <row r="37" spans="2:36" s="75" customFormat="1" ht="20.100000000000001" customHeight="1">
      <c r="B37" s="76" t="s">
        <v>205</v>
      </c>
      <c r="C37" s="77"/>
      <c r="D37" s="77">
        <f t="shared" si="2"/>
        <v>5</v>
      </c>
      <c r="E37" s="77">
        <f t="shared" si="3"/>
        <v>58.875</v>
      </c>
      <c r="F37" s="81">
        <v>8380</v>
      </c>
      <c r="G37" s="79" t="s">
        <v>12</v>
      </c>
      <c r="I37" s="176" t="s">
        <v>109</v>
      </c>
      <c r="J37" s="177" t="s">
        <v>67</v>
      </c>
      <c r="K37" s="178">
        <v>7.7213884242879596</v>
      </c>
      <c r="L37" s="179">
        <v>18.6285615230316</v>
      </c>
      <c r="M37" s="180">
        <v>8300</v>
      </c>
      <c r="N37" s="181">
        <v>9000</v>
      </c>
      <c r="O37" s="182" t="s">
        <v>12</v>
      </c>
      <c r="P37" s="76"/>
      <c r="Q37" s="79"/>
      <c r="R37" s="93"/>
    </row>
    <row r="38" spans="2:36" s="75" customFormat="1" ht="20.100000000000001" customHeight="1">
      <c r="B38" s="25" t="s">
        <v>74</v>
      </c>
      <c r="C38" s="26">
        <f xml:space="preserve"> ACOS(SIN(RADIANS(K10))*SIN(RADIANS(K13))+COS(RADIANS(K10))*COS(RADIANS(K13))*COS(RADIANS(L13- L10)))*3440</f>
        <v>54.514584142935107</v>
      </c>
      <c r="D38" s="26">
        <f t="shared" si="2"/>
        <v>26.805833657174041</v>
      </c>
      <c r="E38" s="26">
        <f t="shared" si="3"/>
        <v>184.80368937018008</v>
      </c>
      <c r="F38" s="56">
        <v>8370</v>
      </c>
      <c r="G38" s="28" t="s">
        <v>12</v>
      </c>
      <c r="I38" s="183" t="s">
        <v>105</v>
      </c>
      <c r="J38" s="184" t="s">
        <v>227</v>
      </c>
      <c r="K38" s="185">
        <v>6.9878102999999996</v>
      </c>
      <c r="L38" s="186">
        <v>19.1773203999999</v>
      </c>
      <c r="M38" s="187">
        <v>8690</v>
      </c>
      <c r="N38" s="188">
        <v>9000</v>
      </c>
      <c r="O38" s="191" t="s">
        <v>13</v>
      </c>
      <c r="P38" s="76" t="s">
        <v>93</v>
      </c>
      <c r="Q38" s="28"/>
      <c r="R38" s="96" t="s">
        <v>292</v>
      </c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</row>
    <row r="39" spans="2:36" s="75" customFormat="1" ht="20.100000000000001" customHeight="1">
      <c r="B39" s="76" t="s">
        <v>73</v>
      </c>
      <c r="C39" s="77">
        <f xml:space="preserve"> ACOS(SIN(RADIANS(K10))*SIN(RADIANS(K14))+COS(RADIANS(K10))*COS(RADIANS(K14))*COS(RADIANS(L14 - L10)))*3440</f>
        <v>267.61352173856983</v>
      </c>
      <c r="D39" s="77">
        <f t="shared" si="2"/>
        <v>112.04540869542794</v>
      </c>
      <c r="E39" s="77">
        <f t="shared" si="3"/>
        <v>677.06223521609638</v>
      </c>
      <c r="F39" s="81">
        <v>8370</v>
      </c>
      <c r="G39" s="79" t="s">
        <v>12</v>
      </c>
      <c r="I39" s="176" t="s">
        <v>269</v>
      </c>
      <c r="J39" s="177" t="s">
        <v>293</v>
      </c>
      <c r="K39" s="178">
        <v>7.9648644195967204</v>
      </c>
      <c r="L39" s="179">
        <v>23.525199561067399</v>
      </c>
      <c r="M39" s="194" t="s">
        <v>67</v>
      </c>
      <c r="N39" s="182" t="s">
        <v>67</v>
      </c>
      <c r="O39" s="182" t="s">
        <v>12</v>
      </c>
      <c r="P39" s="76"/>
      <c r="Q39" s="79"/>
      <c r="R39" s="93" t="s">
        <v>294</v>
      </c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</row>
    <row r="40" spans="2:36" s="75" customFormat="1" ht="20.100000000000001" customHeight="1">
      <c r="B40" s="25" t="s">
        <v>71</v>
      </c>
      <c r="C40" s="26">
        <f xml:space="preserve"> ACOS(SIN(RADIANS(K10))*SIN(RADIANS(K28))+COS(RADIANS(K10))*COS(RADIANS(K28))*COS(RADIANS(L28 - L10)))*3440</f>
        <v>69.735495213861043</v>
      </c>
      <c r="D40" s="26">
        <f t="shared" si="2"/>
        <v>32.894198085544417</v>
      </c>
      <c r="E40" s="26">
        <f t="shared" si="3"/>
        <v>219.96399394401902</v>
      </c>
      <c r="F40" s="56">
        <v>8370</v>
      </c>
      <c r="G40" s="28" t="s">
        <v>12</v>
      </c>
      <c r="I40" s="183" t="s">
        <v>242</v>
      </c>
      <c r="J40" s="184" t="s">
        <v>245</v>
      </c>
      <c r="K40" s="185">
        <v>4.6140526401198096</v>
      </c>
      <c r="L40" s="186">
        <v>21.862447361249401</v>
      </c>
      <c r="M40" s="187">
        <v>9072</v>
      </c>
      <c r="N40" s="188">
        <v>9000</v>
      </c>
      <c r="O40" s="191" t="s">
        <v>12</v>
      </c>
      <c r="P40" s="25"/>
      <c r="Q40" s="28"/>
      <c r="R40" s="96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</row>
    <row r="41" spans="2:36" ht="20.100000000000001" customHeight="1">
      <c r="B41" s="76" t="s">
        <v>186</v>
      </c>
      <c r="C41" s="77"/>
      <c r="D41" s="77">
        <f t="shared" si="2"/>
        <v>5</v>
      </c>
      <c r="E41" s="77">
        <f t="shared" si="3"/>
        <v>58.875</v>
      </c>
      <c r="F41" s="81">
        <v>9072</v>
      </c>
      <c r="G41" s="79" t="s">
        <v>12</v>
      </c>
      <c r="H41" s="75"/>
      <c r="I41" s="176" t="s">
        <v>166</v>
      </c>
      <c r="J41" s="177" t="s">
        <v>67</v>
      </c>
      <c r="K41" s="178">
        <v>6.3073432999999897</v>
      </c>
      <c r="L41" s="179">
        <v>23.858420799999902</v>
      </c>
      <c r="M41" s="180">
        <v>9072</v>
      </c>
      <c r="N41" s="181">
        <v>9000</v>
      </c>
      <c r="O41" s="195" t="s">
        <v>13</v>
      </c>
      <c r="P41" s="118"/>
      <c r="Q41" s="114"/>
      <c r="R41" s="101" t="s">
        <v>251</v>
      </c>
      <c r="S41" s="41"/>
      <c r="T41" s="41"/>
      <c r="U41" s="37"/>
      <c r="V41" s="41"/>
      <c r="W41" s="41"/>
      <c r="X41" s="41"/>
      <c r="Y41" s="20"/>
      <c r="Z41" s="41"/>
      <c r="AA41" s="41"/>
      <c r="AB41" s="41"/>
      <c r="AC41" s="20"/>
      <c r="AD41" s="41"/>
      <c r="AE41" s="41"/>
      <c r="AF41" s="41"/>
      <c r="AG41" s="20"/>
      <c r="AH41" s="41"/>
      <c r="AI41" s="41"/>
      <c r="AJ41" s="41"/>
    </row>
    <row r="42" spans="2:36" s="75" customFormat="1" ht="20.100000000000001" customHeight="1">
      <c r="B42" s="25" t="s">
        <v>187</v>
      </c>
      <c r="C42" s="26"/>
      <c r="D42" s="26">
        <f t="shared" si="2"/>
        <v>5</v>
      </c>
      <c r="E42" s="26">
        <f t="shared" si="3"/>
        <v>58.875</v>
      </c>
      <c r="F42" s="56">
        <v>9072</v>
      </c>
      <c r="G42" s="28" t="s">
        <v>12</v>
      </c>
      <c r="I42" s="183" t="s">
        <v>110</v>
      </c>
      <c r="J42" s="184" t="s">
        <v>230</v>
      </c>
      <c r="K42" s="185">
        <v>4.99138012915805</v>
      </c>
      <c r="L42" s="186">
        <v>19.9822095756812</v>
      </c>
      <c r="M42" s="187">
        <v>8755</v>
      </c>
      <c r="N42" s="188">
        <v>9000</v>
      </c>
      <c r="O42" s="196" t="s">
        <v>12</v>
      </c>
      <c r="P42" s="76" t="s">
        <v>93</v>
      </c>
      <c r="Q42" s="115"/>
      <c r="R42" s="97" t="s">
        <v>253</v>
      </c>
      <c r="S42" s="84"/>
      <c r="T42" s="84"/>
      <c r="U42" s="85"/>
      <c r="V42" s="84"/>
      <c r="W42" s="84"/>
      <c r="X42" s="84"/>
      <c r="Y42" s="58"/>
      <c r="Z42" s="84"/>
      <c r="AA42" s="84"/>
      <c r="AB42" s="84"/>
      <c r="AC42" s="58"/>
      <c r="AD42" s="84"/>
      <c r="AE42" s="84"/>
      <c r="AF42" s="84"/>
      <c r="AG42" s="58"/>
      <c r="AH42" s="84"/>
      <c r="AI42" s="84"/>
      <c r="AJ42" s="84"/>
    </row>
    <row r="43" spans="2:36" s="75" customFormat="1" ht="20.100000000000001" customHeight="1">
      <c r="B43" s="76" t="s">
        <v>192</v>
      </c>
      <c r="C43" s="77"/>
      <c r="D43" s="77">
        <f t="shared" si="2"/>
        <v>5</v>
      </c>
      <c r="E43" s="77">
        <f t="shared" si="3"/>
        <v>58.875</v>
      </c>
      <c r="F43" s="81">
        <v>9072</v>
      </c>
      <c r="G43" s="79" t="s">
        <v>12</v>
      </c>
      <c r="I43" s="176" t="s">
        <v>241</v>
      </c>
      <c r="J43" s="177" t="s">
        <v>246</v>
      </c>
      <c r="K43" s="178">
        <v>5.3331561567197996</v>
      </c>
      <c r="L43" s="179">
        <v>25.930734541000302</v>
      </c>
      <c r="M43" s="180">
        <v>9000</v>
      </c>
      <c r="N43" s="181">
        <v>9000</v>
      </c>
      <c r="O43" s="195" t="s">
        <v>12</v>
      </c>
      <c r="P43" s="118"/>
      <c r="Q43" s="114"/>
      <c r="R43" s="101" t="s">
        <v>297</v>
      </c>
      <c r="S43" s="84"/>
      <c r="T43" s="84"/>
      <c r="U43" s="85"/>
      <c r="V43" s="84"/>
      <c r="W43" s="84"/>
      <c r="X43" s="84"/>
      <c r="Y43" s="58"/>
      <c r="Z43" s="84"/>
      <c r="AA43" s="84"/>
      <c r="AB43" s="84"/>
      <c r="AC43" s="58"/>
      <c r="AD43" s="84"/>
      <c r="AE43" s="84"/>
      <c r="AF43" s="84"/>
      <c r="AG43" s="58"/>
      <c r="AH43" s="84"/>
      <c r="AI43" s="84"/>
      <c r="AJ43" s="84"/>
    </row>
    <row r="44" spans="2:36" s="75" customFormat="1" ht="20.100000000000001" customHeight="1">
      <c r="B44" s="25" t="s">
        <v>34</v>
      </c>
      <c r="C44" s="26">
        <f xml:space="preserve"> ACOS(SIN(RADIANS(K11))*SIN(RADIANS(K14))+COS(RADIANS(K11))*COS(RADIANS(K14))*COS(RADIANS(L14 - L11)))*3440</f>
        <v>154.27066141201692</v>
      </c>
      <c r="D44" s="26">
        <f t="shared" si="2"/>
        <v>66.708264564806768</v>
      </c>
      <c r="E44" s="26">
        <f t="shared" si="3"/>
        <v>415.24022786175908</v>
      </c>
      <c r="F44" s="56">
        <v>9072</v>
      </c>
      <c r="G44" s="28" t="s">
        <v>12</v>
      </c>
      <c r="I44" s="183" t="s">
        <v>111</v>
      </c>
      <c r="J44" s="184" t="s">
        <v>231</v>
      </c>
      <c r="K44" s="185">
        <v>4.3739783714337204</v>
      </c>
      <c r="L44" s="186">
        <v>21.131545248998901</v>
      </c>
      <c r="M44" s="187">
        <v>9072</v>
      </c>
      <c r="N44" s="188">
        <v>9000</v>
      </c>
      <c r="O44" s="191" t="s">
        <v>12</v>
      </c>
      <c r="P44" s="76" t="s">
        <v>93</v>
      </c>
      <c r="Q44" s="28"/>
      <c r="R44" s="96" t="s">
        <v>298</v>
      </c>
      <c r="S44" s="58"/>
      <c r="T44" s="63"/>
      <c r="U44" s="85"/>
      <c r="V44" s="61"/>
      <c r="W44" s="58"/>
      <c r="X44" s="63"/>
      <c r="Y44" s="58"/>
      <c r="Z44" s="58"/>
      <c r="AA44" s="58"/>
      <c r="AB44" s="58"/>
      <c r="AC44" s="58"/>
      <c r="AD44" s="58"/>
      <c r="AE44" s="58"/>
      <c r="AF44" s="89"/>
      <c r="AG44" s="58"/>
      <c r="AH44" s="58"/>
      <c r="AI44" s="58"/>
      <c r="AJ44" s="58"/>
    </row>
    <row r="45" spans="2:36" s="75" customFormat="1" ht="20.100000000000001" customHeight="1">
      <c r="B45" s="76" t="s">
        <v>191</v>
      </c>
      <c r="C45" s="77"/>
      <c r="D45" s="77">
        <f t="shared" si="2"/>
        <v>5</v>
      </c>
      <c r="E45" s="77">
        <f t="shared" si="3"/>
        <v>58.875</v>
      </c>
      <c r="F45" s="81">
        <v>9072</v>
      </c>
      <c r="G45" s="79" t="s">
        <v>12</v>
      </c>
      <c r="I45" s="176" t="s">
        <v>106</v>
      </c>
      <c r="J45" s="177" t="s">
        <v>232</v>
      </c>
      <c r="K45" s="178">
        <v>8.4266954768650297</v>
      </c>
      <c r="L45" s="179">
        <v>20.6350797974555</v>
      </c>
      <c r="M45" s="180">
        <v>9072</v>
      </c>
      <c r="N45" s="181">
        <v>9000</v>
      </c>
      <c r="O45" s="182" t="s">
        <v>12</v>
      </c>
      <c r="P45" s="76"/>
      <c r="Q45" s="79"/>
      <c r="R45" s="93" t="s">
        <v>299</v>
      </c>
      <c r="S45" s="61"/>
      <c r="T45" s="61"/>
      <c r="U45" s="85"/>
      <c r="V45" s="61"/>
      <c r="W45" s="61"/>
      <c r="X45" s="61"/>
      <c r="Y45" s="58"/>
      <c r="Z45" s="58"/>
      <c r="AA45" s="86"/>
      <c r="AB45" s="86"/>
      <c r="AC45" s="58"/>
      <c r="AD45" s="58"/>
      <c r="AE45" s="86"/>
      <c r="AF45" s="86"/>
      <c r="AG45" s="58"/>
      <c r="AH45" s="58"/>
      <c r="AI45" s="86"/>
      <c r="AJ45" s="86"/>
    </row>
    <row r="46" spans="2:36" s="75" customFormat="1" ht="20.100000000000001" customHeight="1">
      <c r="B46" s="25" t="s">
        <v>189</v>
      </c>
      <c r="C46" s="26"/>
      <c r="D46" s="26">
        <f t="shared" si="2"/>
        <v>5</v>
      </c>
      <c r="E46" s="26">
        <f t="shared" si="3"/>
        <v>58.875</v>
      </c>
      <c r="F46" s="56">
        <v>9072</v>
      </c>
      <c r="G46" s="28" t="s">
        <v>12</v>
      </c>
      <c r="I46" s="183" t="s">
        <v>112</v>
      </c>
      <c r="J46" s="184" t="s">
        <v>67</v>
      </c>
      <c r="K46" s="185">
        <v>5.3302143277571199</v>
      </c>
      <c r="L46" s="186">
        <v>20.681065741691199</v>
      </c>
      <c r="M46" s="187">
        <v>9005</v>
      </c>
      <c r="N46" s="188">
        <v>9000</v>
      </c>
      <c r="O46" s="191" t="s">
        <v>12</v>
      </c>
      <c r="P46" s="76" t="s">
        <v>93</v>
      </c>
      <c r="Q46" s="28"/>
      <c r="R46" s="96" t="s">
        <v>300</v>
      </c>
      <c r="S46" s="61"/>
      <c r="T46" s="61"/>
      <c r="U46" s="85"/>
      <c r="V46" s="61"/>
      <c r="W46" s="61"/>
      <c r="X46" s="61"/>
      <c r="Y46" s="58"/>
      <c r="Z46" s="58"/>
      <c r="AA46" s="86"/>
      <c r="AB46" s="86"/>
      <c r="AC46" s="58"/>
      <c r="AD46" s="58"/>
      <c r="AE46" s="86"/>
      <c r="AF46" s="86"/>
      <c r="AG46" s="58"/>
      <c r="AH46" s="58"/>
      <c r="AI46" s="86"/>
      <c r="AJ46" s="86"/>
    </row>
    <row r="47" spans="2:36" s="75" customFormat="1" ht="20.100000000000001" customHeight="1">
      <c r="B47" s="76" t="s">
        <v>190</v>
      </c>
      <c r="C47" s="77"/>
      <c r="D47" s="77">
        <f t="shared" si="2"/>
        <v>5</v>
      </c>
      <c r="E47" s="77">
        <f t="shared" si="3"/>
        <v>58.875</v>
      </c>
      <c r="F47" s="81">
        <v>9072</v>
      </c>
      <c r="G47" s="79" t="s">
        <v>12</v>
      </c>
      <c r="I47" s="176" t="s">
        <v>160</v>
      </c>
      <c r="J47" s="177" t="s">
        <v>233</v>
      </c>
      <c r="K47" s="178">
        <v>3.5082768506645698</v>
      </c>
      <c r="L47" s="179">
        <v>16.0419907110035</v>
      </c>
      <c r="M47" s="180">
        <v>8585</v>
      </c>
      <c r="N47" s="181">
        <v>9000</v>
      </c>
      <c r="O47" s="182" t="s">
        <v>12</v>
      </c>
      <c r="P47" s="76"/>
      <c r="Q47" s="79"/>
      <c r="R47" s="93" t="s">
        <v>301</v>
      </c>
      <c r="S47" s="58"/>
      <c r="T47" s="63"/>
      <c r="U47" s="85"/>
      <c r="V47" s="61"/>
      <c r="W47" s="58"/>
      <c r="X47" s="63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</row>
    <row r="48" spans="2:36" s="75" customFormat="1" ht="20.100000000000001" customHeight="1">
      <c r="B48" s="25" t="s">
        <v>188</v>
      </c>
      <c r="C48" s="26"/>
      <c r="D48" s="26">
        <f t="shared" si="2"/>
        <v>5</v>
      </c>
      <c r="E48" s="26">
        <f t="shared" si="3"/>
        <v>58.875</v>
      </c>
      <c r="F48" s="56">
        <v>9072</v>
      </c>
      <c r="G48" s="28" t="s">
        <v>12</v>
      </c>
      <c r="I48" s="183" t="s">
        <v>103</v>
      </c>
      <c r="J48" s="184" t="s">
        <v>67</v>
      </c>
      <c r="K48" s="185">
        <v>5.3799458767040997</v>
      </c>
      <c r="L48" s="186">
        <v>26.4765694593052</v>
      </c>
      <c r="M48" s="187">
        <v>8700</v>
      </c>
      <c r="N48" s="188">
        <v>9000</v>
      </c>
      <c r="O48" s="191" t="s">
        <v>12</v>
      </c>
      <c r="P48" s="25"/>
      <c r="Q48" s="28"/>
      <c r="R48" s="96"/>
      <c r="S48" s="58"/>
      <c r="T48" s="58"/>
      <c r="U48" s="85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</row>
    <row r="49" spans="2:36" s="75" customFormat="1" ht="20.100000000000001" customHeight="1">
      <c r="B49" s="76" t="s">
        <v>195</v>
      </c>
      <c r="C49" s="77"/>
      <c r="D49" s="77">
        <f t="shared" si="2"/>
        <v>5</v>
      </c>
      <c r="E49" s="77">
        <f t="shared" si="3"/>
        <v>58.875</v>
      </c>
      <c r="F49" s="81">
        <v>9072</v>
      </c>
      <c r="G49" s="79" t="s">
        <v>12</v>
      </c>
      <c r="I49" s="176" t="s">
        <v>302</v>
      </c>
      <c r="J49" s="177" t="s">
        <v>266</v>
      </c>
      <c r="K49" s="178">
        <v>5.4041599076485403</v>
      </c>
      <c r="L49" s="179">
        <v>26.487242839123901</v>
      </c>
      <c r="M49" s="194" t="s">
        <v>67</v>
      </c>
      <c r="N49" s="182" t="s">
        <v>67</v>
      </c>
      <c r="O49" s="182" t="s">
        <v>12</v>
      </c>
      <c r="P49" s="76"/>
      <c r="Q49" s="79"/>
      <c r="R49" s="93" t="s">
        <v>303</v>
      </c>
      <c r="S49" s="58"/>
      <c r="T49" s="58"/>
      <c r="U49" s="85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</row>
    <row r="50" spans="2:36" s="75" customFormat="1" ht="20.100000000000001" customHeight="1">
      <c r="B50" s="25" t="s">
        <v>183</v>
      </c>
      <c r="C50" s="26"/>
      <c r="D50" s="26">
        <f t="shared" si="2"/>
        <v>5</v>
      </c>
      <c r="E50" s="26">
        <f t="shared" si="3"/>
        <v>58.875</v>
      </c>
      <c r="F50" s="56">
        <v>8040</v>
      </c>
      <c r="G50" s="28" t="s">
        <v>12</v>
      </c>
      <c r="I50" s="183" t="s">
        <v>271</v>
      </c>
      <c r="J50" s="184" t="s">
        <v>250</v>
      </c>
      <c r="K50" s="185">
        <v>8.0105559999999993</v>
      </c>
      <c r="L50" s="197">
        <v>22.398610999999999</v>
      </c>
      <c r="M50" s="193">
        <v>9072</v>
      </c>
      <c r="N50" s="191">
        <v>9000</v>
      </c>
      <c r="O50" s="191" t="s">
        <v>12</v>
      </c>
      <c r="P50" s="25"/>
      <c r="Q50" s="28"/>
      <c r="R50" s="96"/>
      <c r="S50" s="58"/>
      <c r="T50" s="58"/>
      <c r="U50" s="85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</row>
    <row r="51" spans="2:36" ht="20.100000000000001" customHeight="1">
      <c r="B51" s="76" t="s">
        <v>184</v>
      </c>
      <c r="C51" s="77"/>
      <c r="D51" s="77">
        <f t="shared" si="2"/>
        <v>5</v>
      </c>
      <c r="E51" s="77">
        <f t="shared" si="3"/>
        <v>58.875</v>
      </c>
      <c r="F51" s="81">
        <v>8040</v>
      </c>
      <c r="G51" s="79" t="s">
        <v>12</v>
      </c>
      <c r="H51" s="75"/>
      <c r="I51" s="176" t="s">
        <v>270</v>
      </c>
      <c r="J51" s="177" t="s">
        <v>304</v>
      </c>
      <c r="K51" s="178">
        <v>8.9075966672026894</v>
      </c>
      <c r="L51" s="179">
        <v>22.797183979052701</v>
      </c>
      <c r="M51" s="180">
        <v>9010</v>
      </c>
      <c r="N51" s="181">
        <v>9000</v>
      </c>
      <c r="O51" s="182" t="s">
        <v>12</v>
      </c>
      <c r="P51" s="76"/>
      <c r="Q51" s="79"/>
      <c r="R51" s="93"/>
      <c r="S51" s="20"/>
      <c r="T51" s="20"/>
      <c r="U51" s="37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2:36" s="75" customFormat="1" ht="20.100000000000001" customHeight="1">
      <c r="B52" s="25" t="s">
        <v>75</v>
      </c>
      <c r="C52" s="26"/>
      <c r="D52" s="26">
        <f t="shared" si="2"/>
        <v>5</v>
      </c>
      <c r="E52" s="26">
        <f t="shared" si="3"/>
        <v>58.875</v>
      </c>
      <c r="F52" s="56">
        <v>9072</v>
      </c>
      <c r="G52" s="28" t="s">
        <v>13</v>
      </c>
      <c r="I52" s="183" t="s">
        <v>104</v>
      </c>
      <c r="J52" s="184" t="s">
        <v>234</v>
      </c>
      <c r="K52" s="185">
        <v>7.2523430864477199</v>
      </c>
      <c r="L52" s="186">
        <v>16.440984997930801</v>
      </c>
      <c r="M52" s="187">
        <v>9072</v>
      </c>
      <c r="N52" s="188">
        <v>9000</v>
      </c>
      <c r="O52" s="191" t="s">
        <v>13</v>
      </c>
      <c r="P52" s="25"/>
      <c r="Q52" s="28"/>
      <c r="R52" s="96" t="s">
        <v>255</v>
      </c>
      <c r="S52" s="58"/>
      <c r="T52" s="58"/>
      <c r="U52" s="85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</row>
    <row r="53" spans="2:36" ht="20.100000000000001" customHeight="1">
      <c r="B53" s="76" t="s">
        <v>185</v>
      </c>
      <c r="C53" s="77"/>
      <c r="D53" s="77">
        <f t="shared" si="2"/>
        <v>5</v>
      </c>
      <c r="E53" s="77">
        <f t="shared" si="3"/>
        <v>58.875</v>
      </c>
      <c r="F53" s="81">
        <v>9072</v>
      </c>
      <c r="G53" s="79" t="s">
        <v>13</v>
      </c>
      <c r="H53" s="75"/>
      <c r="I53" s="176" t="s">
        <v>162</v>
      </c>
      <c r="J53" s="177" t="s">
        <v>305</v>
      </c>
      <c r="K53" s="178">
        <v>4.9894135469110301</v>
      </c>
      <c r="L53" s="179">
        <v>23.928310946032699</v>
      </c>
      <c r="M53" s="180">
        <v>9072</v>
      </c>
      <c r="N53" s="181">
        <v>9000</v>
      </c>
      <c r="O53" s="182" t="s">
        <v>12</v>
      </c>
      <c r="P53" s="76"/>
      <c r="Q53" s="79"/>
      <c r="R53" s="93"/>
      <c r="S53" s="20"/>
      <c r="T53" s="20"/>
      <c r="U53" s="37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2:36" ht="20.100000000000001" customHeight="1">
      <c r="B54" s="25" t="s">
        <v>36</v>
      </c>
      <c r="C54" s="26">
        <v>258</v>
      </c>
      <c r="D54" s="26">
        <f t="shared" si="2"/>
        <v>108.2</v>
      </c>
      <c r="E54" s="26">
        <f t="shared" si="3"/>
        <v>654.85500000000002</v>
      </c>
      <c r="F54" s="56">
        <v>9072</v>
      </c>
      <c r="G54" s="28" t="s">
        <v>13</v>
      </c>
      <c r="H54" s="75"/>
      <c r="I54" s="198" t="s">
        <v>272</v>
      </c>
      <c r="J54" s="199" t="s">
        <v>306</v>
      </c>
      <c r="K54" s="200">
        <v>6.95</v>
      </c>
      <c r="L54" s="197">
        <v>15.333</v>
      </c>
      <c r="M54" s="187">
        <v>0</v>
      </c>
      <c r="N54" s="188">
        <v>0</v>
      </c>
      <c r="O54" s="191" t="s">
        <v>12</v>
      </c>
      <c r="P54" s="25"/>
      <c r="Q54" s="28"/>
      <c r="R54" s="96" t="s">
        <v>307</v>
      </c>
      <c r="S54" s="20"/>
      <c r="T54" s="20"/>
      <c r="U54" s="37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2:36" s="75" customFormat="1" ht="20.100000000000001" customHeight="1">
      <c r="B55" s="76" t="s">
        <v>53</v>
      </c>
      <c r="C55" s="77"/>
      <c r="D55" s="77">
        <f t="shared" si="2"/>
        <v>5</v>
      </c>
      <c r="E55" s="77">
        <f t="shared" si="3"/>
        <v>58.875</v>
      </c>
      <c r="F55" s="78">
        <v>9072</v>
      </c>
      <c r="G55" s="79" t="s">
        <v>13</v>
      </c>
      <c r="I55" s="201" t="s">
        <v>239</v>
      </c>
      <c r="J55" s="202" t="s">
        <v>240</v>
      </c>
      <c r="K55" s="203">
        <v>5.7110152092534499</v>
      </c>
      <c r="L55" s="204">
        <v>19.071056576167699</v>
      </c>
      <c r="M55" s="180">
        <v>7890</v>
      </c>
      <c r="N55" s="181">
        <v>7820</v>
      </c>
      <c r="O55" s="182" t="s">
        <v>12</v>
      </c>
      <c r="P55" s="76"/>
      <c r="Q55" s="79"/>
      <c r="R55" s="93" t="s">
        <v>308</v>
      </c>
      <c r="S55" s="58"/>
      <c r="T55" s="58"/>
      <c r="U55" s="85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</row>
    <row r="56" spans="2:36" s="75" customFormat="1" ht="20.100000000000001" customHeight="1">
      <c r="B56" s="25" t="s">
        <v>127</v>
      </c>
      <c r="C56" s="26"/>
      <c r="D56" s="26">
        <f t="shared" si="2"/>
        <v>5</v>
      </c>
      <c r="E56" s="26">
        <f t="shared" si="3"/>
        <v>58.875</v>
      </c>
      <c r="F56" s="29">
        <v>9072</v>
      </c>
      <c r="G56" s="28" t="s">
        <v>13</v>
      </c>
      <c r="I56" s="198" t="s">
        <v>164</v>
      </c>
      <c r="J56" s="199" t="s">
        <v>67</v>
      </c>
      <c r="K56" s="200">
        <v>9.5758683711096797</v>
      </c>
      <c r="L56" s="205">
        <v>22.140650392373601</v>
      </c>
      <c r="M56" s="187">
        <v>8360</v>
      </c>
      <c r="N56" s="188">
        <v>9000</v>
      </c>
      <c r="O56" s="191" t="s">
        <v>12</v>
      </c>
      <c r="P56" s="25"/>
      <c r="Q56" s="28"/>
      <c r="R56" s="96"/>
      <c r="S56" s="58"/>
      <c r="T56" s="58"/>
      <c r="U56" s="87"/>
    </row>
    <row r="57" spans="2:36" s="75" customFormat="1" ht="20.100000000000001" customHeight="1">
      <c r="B57" s="76" t="s">
        <v>41</v>
      </c>
      <c r="C57" s="77"/>
      <c r="D57" s="77">
        <f t="shared" si="2"/>
        <v>5</v>
      </c>
      <c r="E57" s="77">
        <f t="shared" si="3"/>
        <v>58.875</v>
      </c>
      <c r="F57" s="81">
        <v>8375</v>
      </c>
      <c r="G57" s="79" t="s">
        <v>12</v>
      </c>
      <c r="I57" s="201" t="s">
        <v>309</v>
      </c>
      <c r="J57" s="201" t="s">
        <v>67</v>
      </c>
      <c r="K57" s="206">
        <v>5.3289331126580803</v>
      </c>
      <c r="L57" s="204">
        <v>20.682224799462499</v>
      </c>
      <c r="M57" s="207">
        <v>8975</v>
      </c>
      <c r="N57" s="208">
        <v>9000</v>
      </c>
      <c r="O57" s="209" t="s">
        <v>12</v>
      </c>
      <c r="P57" s="76"/>
      <c r="Q57" s="79"/>
      <c r="R57" s="93" t="s">
        <v>312</v>
      </c>
      <c r="S57" s="58"/>
      <c r="T57" s="58"/>
      <c r="U57" s="87"/>
    </row>
    <row r="58" spans="2:36" s="75" customFormat="1" ht="20.100000000000001" customHeight="1">
      <c r="B58" s="25" t="s">
        <v>120</v>
      </c>
      <c r="C58" s="26"/>
      <c r="D58" s="26">
        <f t="shared" si="2"/>
        <v>5</v>
      </c>
      <c r="E58" s="26">
        <f t="shared" si="3"/>
        <v>58.875</v>
      </c>
      <c r="F58" s="56">
        <v>8375</v>
      </c>
      <c r="G58" s="28" t="s">
        <v>12</v>
      </c>
      <c r="I58" s="198" t="s">
        <v>247</v>
      </c>
      <c r="J58" s="198" t="s">
        <v>248</v>
      </c>
      <c r="K58" s="210">
        <v>6.5210353071533804</v>
      </c>
      <c r="L58" s="205">
        <v>23.2603668116394</v>
      </c>
      <c r="M58" s="211">
        <v>8475</v>
      </c>
      <c r="N58" s="212">
        <v>9000</v>
      </c>
      <c r="O58" s="213" t="s">
        <v>12</v>
      </c>
      <c r="P58" s="25"/>
      <c r="Q58" s="28"/>
      <c r="R58" s="96"/>
      <c r="S58" s="58"/>
      <c r="T58" s="58"/>
      <c r="U58" s="87"/>
    </row>
    <row r="59" spans="2:36" s="75" customFormat="1" ht="20.100000000000001" customHeight="1">
      <c r="B59" s="76" t="s">
        <v>59</v>
      </c>
      <c r="C59" s="77"/>
      <c r="D59" s="77">
        <f t="shared" si="2"/>
        <v>5</v>
      </c>
      <c r="E59" s="77">
        <f t="shared" si="3"/>
        <v>58.875</v>
      </c>
      <c r="F59" s="81">
        <v>8375</v>
      </c>
      <c r="G59" s="79" t="s">
        <v>12</v>
      </c>
      <c r="I59" s="201" t="s">
        <v>159</v>
      </c>
      <c r="J59" s="201" t="s">
        <v>310</v>
      </c>
      <c r="K59" s="214">
        <v>5.0016117497335504</v>
      </c>
      <c r="L59" s="204">
        <v>25.1021243095398</v>
      </c>
      <c r="M59" s="207">
        <v>7280</v>
      </c>
      <c r="N59" s="208">
        <v>6910</v>
      </c>
      <c r="O59" s="209" t="s">
        <v>12</v>
      </c>
      <c r="P59" s="76"/>
      <c r="Q59" s="79"/>
      <c r="R59" s="104" t="s">
        <v>313</v>
      </c>
      <c r="S59" s="58"/>
      <c r="T59" s="58"/>
      <c r="U59" s="87"/>
    </row>
    <row r="60" spans="2:36" ht="20.100000000000001" customHeight="1" thickBot="1">
      <c r="B60" s="25" t="s">
        <v>119</v>
      </c>
      <c r="C60" s="26"/>
      <c r="D60" s="26">
        <f t="shared" si="2"/>
        <v>5</v>
      </c>
      <c r="E60" s="26">
        <f t="shared" si="3"/>
        <v>58.875</v>
      </c>
      <c r="F60" s="56">
        <v>8375</v>
      </c>
      <c r="G60" s="28" t="s">
        <v>12</v>
      </c>
      <c r="H60" s="75"/>
      <c r="I60" s="215" t="s">
        <v>249</v>
      </c>
      <c r="J60" s="215" t="s">
        <v>67</v>
      </c>
      <c r="K60" s="216">
        <v>5.0025708</v>
      </c>
      <c r="L60" s="217">
        <v>25.1012725</v>
      </c>
      <c r="M60" s="218">
        <v>8945</v>
      </c>
      <c r="N60" s="219">
        <v>9000</v>
      </c>
      <c r="O60" s="220" t="s">
        <v>12</v>
      </c>
      <c r="P60" s="33"/>
      <c r="Q60" s="36"/>
      <c r="R60" s="98"/>
      <c r="S60" s="39"/>
      <c r="T60" s="39"/>
      <c r="U60" s="11"/>
    </row>
    <row r="61" spans="2:36" s="75" customFormat="1" ht="20.100000000000001" customHeight="1">
      <c r="B61" s="76" t="s">
        <v>58</v>
      </c>
      <c r="C61" s="77"/>
      <c r="D61" s="77">
        <f t="shared" si="2"/>
        <v>5</v>
      </c>
      <c r="E61" s="77">
        <f t="shared" si="3"/>
        <v>58.875</v>
      </c>
      <c r="F61" s="81">
        <v>8375</v>
      </c>
      <c r="G61" s="79" t="s">
        <v>12</v>
      </c>
      <c r="M61" s="60"/>
      <c r="N61" s="60"/>
      <c r="O61" s="58"/>
      <c r="P61" s="58"/>
      <c r="Q61" s="58"/>
      <c r="R61" s="58"/>
      <c r="S61" s="88"/>
      <c r="T61" s="88"/>
      <c r="U61" s="87"/>
    </row>
    <row r="62" spans="2:36" ht="20.100000000000001" customHeight="1">
      <c r="B62" s="25" t="s">
        <v>150</v>
      </c>
      <c r="C62" s="26">
        <f>C14</f>
        <v>161.47440023138222</v>
      </c>
      <c r="D62" s="26">
        <f t="shared" si="2"/>
        <v>69.589760092552893</v>
      </c>
      <c r="E62" s="26">
        <f t="shared" si="3"/>
        <v>431.88086453449301</v>
      </c>
      <c r="F62" s="56">
        <v>8830</v>
      </c>
      <c r="G62" s="28" t="s">
        <v>12</v>
      </c>
      <c r="H62" s="75"/>
      <c r="I62" s="75"/>
      <c r="J62" s="75"/>
      <c r="K62" s="75"/>
      <c r="L62" s="75"/>
      <c r="M62" s="60"/>
      <c r="N62" s="60"/>
      <c r="U62" s="11"/>
    </row>
    <row r="63" spans="2:36" s="75" customFormat="1" ht="20.100000000000001" customHeight="1">
      <c r="B63" s="76" t="s">
        <v>151</v>
      </c>
      <c r="C63" s="77"/>
      <c r="D63" s="77">
        <f t="shared" si="2"/>
        <v>5</v>
      </c>
      <c r="E63" s="77">
        <f t="shared" si="3"/>
        <v>58.875</v>
      </c>
      <c r="F63" s="81">
        <v>8830</v>
      </c>
      <c r="G63" s="79" t="s">
        <v>12</v>
      </c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9"/>
      <c r="U63" s="59"/>
      <c r="AE63" s="89"/>
      <c r="AF63" s="89"/>
    </row>
    <row r="64" spans="2:36" ht="20.100000000000001" customHeight="1">
      <c r="B64" s="25" t="s">
        <v>31</v>
      </c>
      <c r="C64" s="26">
        <f xml:space="preserve"> ACOS(SIN(RADIANS(K14))*SIN(RADIANS(K18))+COS(RADIANS(K14))*COS(RADIANS(K18))*COS(RADIANS(L18 - L14)))*3440</f>
        <v>163.97624786307969</v>
      </c>
      <c r="D64" s="26">
        <f t="shared" si="2"/>
        <v>70.590499145231874</v>
      </c>
      <c r="E64" s="26">
        <f t="shared" si="3"/>
        <v>437.66013256371406</v>
      </c>
      <c r="F64" s="56">
        <v>9072</v>
      </c>
      <c r="G64" s="28" t="s">
        <v>12</v>
      </c>
      <c r="H64" s="75"/>
      <c r="I64" s="58"/>
      <c r="J64" s="58"/>
      <c r="K64" s="58"/>
      <c r="L64" s="58"/>
      <c r="M64" s="60"/>
      <c r="N64" s="60"/>
      <c r="O64" s="58"/>
      <c r="P64" s="58"/>
      <c r="Q64" s="58"/>
      <c r="R64" s="58"/>
      <c r="S64" s="58"/>
      <c r="T64" s="58"/>
      <c r="U64" s="58"/>
      <c r="AE64" s="13"/>
      <c r="AF64" s="13"/>
    </row>
    <row r="65" spans="2:21" s="75" customFormat="1" ht="20.100000000000001" customHeight="1">
      <c r="B65" s="76" t="s">
        <v>144</v>
      </c>
      <c r="C65" s="77">
        <v>101</v>
      </c>
      <c r="D65" s="77">
        <f t="shared" si="2"/>
        <v>45.4</v>
      </c>
      <c r="E65" s="77">
        <f t="shared" si="3"/>
        <v>292.185</v>
      </c>
      <c r="F65" s="81">
        <v>9072</v>
      </c>
      <c r="G65" s="79" t="s">
        <v>12</v>
      </c>
      <c r="I65" s="262"/>
      <c r="J65" s="262"/>
      <c r="K65" s="262"/>
      <c r="L65" s="262"/>
      <c r="M65" s="262"/>
      <c r="N65" s="262"/>
      <c r="O65" s="66"/>
      <c r="P65" s="66"/>
      <c r="Q65" s="66"/>
      <c r="R65" s="66"/>
      <c r="S65" s="66"/>
      <c r="T65" s="66"/>
      <c r="U65" s="58"/>
    </row>
    <row r="66" spans="2:21" ht="20.100000000000001" customHeight="1">
      <c r="B66" s="25" t="s">
        <v>146</v>
      </c>
      <c r="C66" s="26">
        <v>104</v>
      </c>
      <c r="D66" s="26">
        <v>46</v>
      </c>
      <c r="E66" s="26">
        <v>257</v>
      </c>
      <c r="F66" s="56">
        <v>9072</v>
      </c>
      <c r="G66" s="28" t="s">
        <v>12</v>
      </c>
      <c r="H66" s="75"/>
      <c r="I66" s="262"/>
      <c r="J66" s="262"/>
      <c r="K66" s="262"/>
      <c r="L66" s="262"/>
      <c r="M66" s="262"/>
      <c r="N66" s="262"/>
      <c r="O66" s="61"/>
      <c r="P66" s="61"/>
      <c r="Q66" s="61"/>
      <c r="R66" s="61"/>
      <c r="S66" s="61"/>
      <c r="T66" s="61"/>
      <c r="U66" s="58"/>
    </row>
    <row r="67" spans="2:21" s="75" customFormat="1" ht="20.100000000000001" customHeight="1">
      <c r="B67" s="76" t="s">
        <v>147</v>
      </c>
      <c r="C67" s="77"/>
      <c r="D67" s="77">
        <f>C67/150*60+5</f>
        <v>5</v>
      </c>
      <c r="E67" s="77">
        <f>(330*D67/60)*1.05+30</f>
        <v>58.875</v>
      </c>
      <c r="F67" s="81">
        <v>9072</v>
      </c>
      <c r="G67" s="79" t="s">
        <v>12</v>
      </c>
      <c r="I67" s="262"/>
      <c r="J67" s="262"/>
      <c r="K67" s="262"/>
      <c r="L67" s="262"/>
      <c r="M67" s="262"/>
      <c r="N67" s="262"/>
      <c r="O67" s="63"/>
      <c r="P67" s="63"/>
      <c r="Q67" s="63"/>
      <c r="R67" s="63"/>
      <c r="S67" s="63"/>
      <c r="T67" s="63"/>
      <c r="U67" s="58"/>
    </row>
    <row r="68" spans="2:21" ht="20.100000000000001" customHeight="1">
      <c r="B68" s="25" t="s">
        <v>145</v>
      </c>
      <c r="C68" s="26">
        <v>46</v>
      </c>
      <c r="D68" s="26">
        <v>23</v>
      </c>
      <c r="E68" s="26">
        <v>142</v>
      </c>
      <c r="F68" s="56">
        <v>9072</v>
      </c>
      <c r="G68" s="28" t="s">
        <v>12</v>
      </c>
      <c r="H68" s="75"/>
      <c r="I68" s="262"/>
      <c r="J68" s="262"/>
      <c r="K68" s="262"/>
      <c r="L68" s="262"/>
      <c r="M68" s="262"/>
      <c r="N68" s="262"/>
      <c r="O68" s="63"/>
      <c r="P68" s="63"/>
      <c r="Q68" s="63"/>
      <c r="R68" s="63"/>
      <c r="S68" s="63"/>
      <c r="T68" s="63"/>
      <c r="U68" s="58"/>
    </row>
    <row r="69" spans="2:21" s="75" customFormat="1" ht="20.100000000000001" customHeight="1">
      <c r="B69" s="76" t="s">
        <v>140</v>
      </c>
      <c r="C69" s="77"/>
      <c r="D69" s="77">
        <f t="shared" ref="D69:D100" si="4">C69/150*60+5</f>
        <v>5</v>
      </c>
      <c r="E69" s="77">
        <f t="shared" ref="E69:E100" si="5">(330*D69/60)*1.05+30</f>
        <v>58.875</v>
      </c>
      <c r="F69" s="81">
        <v>9072</v>
      </c>
      <c r="G69" s="79" t="s">
        <v>12</v>
      </c>
      <c r="I69" s="262"/>
      <c r="J69" s="262"/>
      <c r="K69" s="262"/>
      <c r="L69" s="262"/>
      <c r="M69" s="262"/>
      <c r="N69" s="262"/>
      <c r="O69" s="63"/>
      <c r="P69" s="63"/>
      <c r="Q69" s="63"/>
      <c r="R69" s="63"/>
      <c r="S69" s="63"/>
      <c r="T69" s="63"/>
      <c r="U69" s="58"/>
    </row>
    <row r="70" spans="2:21" ht="20.100000000000001" customHeight="1">
      <c r="B70" s="25" t="s">
        <v>139</v>
      </c>
      <c r="C70" s="26"/>
      <c r="D70" s="26">
        <f t="shared" si="4"/>
        <v>5</v>
      </c>
      <c r="E70" s="26">
        <f t="shared" si="5"/>
        <v>58.875</v>
      </c>
      <c r="F70" s="56">
        <v>9072</v>
      </c>
      <c r="G70" s="28" t="s">
        <v>12</v>
      </c>
      <c r="H70" s="75"/>
      <c r="I70" s="62"/>
      <c r="J70" s="62"/>
      <c r="K70" s="61"/>
      <c r="L70" s="61"/>
      <c r="M70" s="64"/>
      <c r="N70" s="64"/>
      <c r="O70" s="63"/>
      <c r="P70" s="63"/>
      <c r="Q70" s="63"/>
      <c r="R70" s="63"/>
      <c r="S70" s="63"/>
      <c r="T70" s="63"/>
      <c r="U70" s="58"/>
    </row>
    <row r="71" spans="2:21" s="75" customFormat="1" ht="20.100000000000001" customHeight="1">
      <c r="B71" s="76" t="s">
        <v>198</v>
      </c>
      <c r="C71" s="77">
        <v>230</v>
      </c>
      <c r="D71" s="77">
        <f t="shared" si="4"/>
        <v>97</v>
      </c>
      <c r="E71" s="77">
        <f t="shared" si="5"/>
        <v>590.17500000000007</v>
      </c>
      <c r="F71" s="81">
        <v>8360</v>
      </c>
      <c r="G71" s="79" t="s">
        <v>12</v>
      </c>
      <c r="I71" s="62"/>
      <c r="J71" s="62"/>
      <c r="K71" s="61"/>
      <c r="L71" s="61"/>
      <c r="M71" s="64"/>
      <c r="N71" s="64"/>
      <c r="O71" s="63"/>
      <c r="P71" s="63"/>
      <c r="Q71" s="63"/>
      <c r="R71" s="63"/>
      <c r="S71" s="63"/>
      <c r="T71" s="63"/>
      <c r="U71" s="58"/>
    </row>
    <row r="72" spans="2:21" ht="20.100000000000001" customHeight="1">
      <c r="B72" s="25" t="s">
        <v>175</v>
      </c>
      <c r="C72" s="26"/>
      <c r="D72" s="26">
        <f t="shared" si="4"/>
        <v>5</v>
      </c>
      <c r="E72" s="26">
        <f t="shared" si="5"/>
        <v>58.875</v>
      </c>
      <c r="F72" s="56">
        <v>8360</v>
      </c>
      <c r="G72" s="28" t="s">
        <v>12</v>
      </c>
      <c r="H72" s="75"/>
      <c r="I72" s="62"/>
      <c r="J72" s="62"/>
      <c r="K72" s="61"/>
      <c r="L72" s="61"/>
      <c r="M72" s="64"/>
      <c r="N72" s="64"/>
      <c r="O72" s="63"/>
      <c r="P72" s="63"/>
      <c r="Q72" s="63"/>
      <c r="R72" s="63"/>
      <c r="S72" s="63"/>
      <c r="T72" s="63"/>
      <c r="U72" s="58"/>
    </row>
    <row r="73" spans="2:21" s="75" customFormat="1" ht="20.100000000000001" customHeight="1">
      <c r="B73" s="76" t="s">
        <v>176</v>
      </c>
      <c r="C73" s="77"/>
      <c r="D73" s="77">
        <f t="shared" si="4"/>
        <v>5</v>
      </c>
      <c r="E73" s="77">
        <f t="shared" si="5"/>
        <v>58.875</v>
      </c>
      <c r="F73" s="81">
        <v>8360</v>
      </c>
      <c r="G73" s="79" t="s">
        <v>12</v>
      </c>
      <c r="I73" s="58"/>
      <c r="J73" s="58"/>
      <c r="K73" s="58"/>
      <c r="L73" s="58"/>
      <c r="M73" s="60"/>
      <c r="N73" s="60"/>
      <c r="O73" s="58"/>
      <c r="P73" s="58"/>
      <c r="Q73" s="58"/>
      <c r="R73" s="58"/>
      <c r="S73" s="58"/>
      <c r="T73" s="58"/>
      <c r="U73" s="58"/>
    </row>
    <row r="74" spans="2:21" ht="20.100000000000001" customHeight="1">
      <c r="B74" s="25" t="s">
        <v>84</v>
      </c>
      <c r="C74" s="26">
        <v>54</v>
      </c>
      <c r="D74" s="26">
        <f t="shared" si="4"/>
        <v>26.599999999999998</v>
      </c>
      <c r="E74" s="26">
        <f t="shared" si="5"/>
        <v>183.61500000000001</v>
      </c>
      <c r="F74" s="56">
        <v>8360</v>
      </c>
      <c r="G74" s="28" t="s">
        <v>12</v>
      </c>
      <c r="H74" s="75"/>
      <c r="I74" s="58"/>
      <c r="J74" s="58"/>
      <c r="K74" s="58"/>
      <c r="L74" s="58"/>
      <c r="M74" s="60"/>
      <c r="N74" s="60"/>
      <c r="O74" s="58"/>
      <c r="P74" s="58"/>
      <c r="Q74" s="58"/>
      <c r="R74" s="58"/>
      <c r="S74" s="58"/>
      <c r="T74" s="58"/>
      <c r="U74" s="58"/>
    </row>
    <row r="75" spans="2:21" s="75" customFormat="1" ht="20.100000000000001" customHeight="1">
      <c r="B75" s="76" t="s">
        <v>174</v>
      </c>
      <c r="C75" s="77">
        <v>52</v>
      </c>
      <c r="D75" s="77">
        <f t="shared" si="4"/>
        <v>25.8</v>
      </c>
      <c r="E75" s="77">
        <f t="shared" si="5"/>
        <v>178.995</v>
      </c>
      <c r="F75" s="81">
        <v>8360</v>
      </c>
      <c r="G75" s="79" t="s">
        <v>12</v>
      </c>
      <c r="I75" s="58"/>
      <c r="J75" s="58"/>
      <c r="K75" s="58"/>
      <c r="L75" s="58"/>
      <c r="M75" s="60"/>
      <c r="N75" s="60"/>
      <c r="O75" s="59"/>
      <c r="P75" s="59"/>
      <c r="Q75" s="59"/>
      <c r="R75" s="59"/>
      <c r="S75" s="59"/>
      <c r="T75" s="58"/>
      <c r="U75" s="58"/>
    </row>
    <row r="76" spans="2:21" ht="20.100000000000001" customHeight="1">
      <c r="B76" s="25" t="s">
        <v>39</v>
      </c>
      <c r="C76" s="26">
        <v>62</v>
      </c>
      <c r="D76" s="26">
        <f t="shared" si="4"/>
        <v>29.8</v>
      </c>
      <c r="E76" s="26">
        <f t="shared" si="5"/>
        <v>202.09500000000003</v>
      </c>
      <c r="F76" s="56">
        <v>7610</v>
      </c>
      <c r="G76" s="28" t="s">
        <v>12</v>
      </c>
      <c r="H76" s="75"/>
      <c r="I76" s="58"/>
      <c r="J76" s="58"/>
      <c r="K76" s="58"/>
      <c r="L76" s="58"/>
      <c r="M76" s="60"/>
      <c r="N76" s="60"/>
      <c r="O76" s="65"/>
      <c r="P76" s="65"/>
      <c r="Q76" s="65"/>
      <c r="R76" s="65"/>
      <c r="S76" s="58"/>
      <c r="T76" s="58"/>
      <c r="U76" s="58"/>
    </row>
    <row r="77" spans="2:21" s="75" customFormat="1" ht="20.100000000000001" customHeight="1">
      <c r="B77" s="76" t="s">
        <v>143</v>
      </c>
      <c r="C77" s="77">
        <v>101</v>
      </c>
      <c r="D77" s="77">
        <f t="shared" si="4"/>
        <v>45.4</v>
      </c>
      <c r="E77" s="77">
        <f t="shared" si="5"/>
        <v>292.185</v>
      </c>
      <c r="F77" s="81">
        <v>7610</v>
      </c>
      <c r="G77" s="79" t="s">
        <v>12</v>
      </c>
      <c r="I77" s="58"/>
      <c r="J77" s="58"/>
      <c r="K77" s="58"/>
      <c r="L77" s="58"/>
      <c r="M77" s="60"/>
      <c r="N77" s="60"/>
      <c r="O77" s="65"/>
      <c r="P77" s="65"/>
      <c r="Q77" s="65"/>
      <c r="R77" s="65"/>
      <c r="S77" s="58"/>
      <c r="T77" s="58"/>
      <c r="U77" s="58"/>
    </row>
    <row r="78" spans="2:21" ht="20.100000000000001" customHeight="1">
      <c r="B78" s="25" t="s">
        <v>157</v>
      </c>
      <c r="C78" s="26"/>
      <c r="D78" s="26">
        <f t="shared" si="4"/>
        <v>5</v>
      </c>
      <c r="E78" s="26">
        <f t="shared" si="5"/>
        <v>58.875</v>
      </c>
      <c r="F78" s="56">
        <v>7610</v>
      </c>
      <c r="G78" s="28" t="s">
        <v>12</v>
      </c>
      <c r="H78" s="75"/>
      <c r="I78" s="90"/>
      <c r="J78" s="90"/>
      <c r="K78" s="90"/>
      <c r="L78" s="90"/>
      <c r="M78" s="90"/>
      <c r="N78" s="90"/>
      <c r="O78" s="12"/>
      <c r="P78" s="12"/>
      <c r="Q78" s="12"/>
      <c r="R78" s="12"/>
    </row>
    <row r="79" spans="2:21" s="75" customFormat="1" ht="20.100000000000001" customHeight="1">
      <c r="B79" s="76" t="s">
        <v>156</v>
      </c>
      <c r="C79" s="77"/>
      <c r="D79" s="77">
        <f t="shared" si="4"/>
        <v>5</v>
      </c>
      <c r="E79" s="77">
        <f t="shared" si="5"/>
        <v>58.875</v>
      </c>
      <c r="F79" s="81">
        <v>7610</v>
      </c>
      <c r="G79" s="79" t="s">
        <v>12</v>
      </c>
      <c r="I79" s="90"/>
      <c r="J79" s="90"/>
      <c r="K79" s="90"/>
      <c r="L79" s="90"/>
      <c r="M79" s="90"/>
      <c r="N79" s="90"/>
    </row>
    <row r="80" spans="2:21" ht="20.100000000000001" customHeight="1">
      <c r="B80" s="25" t="s">
        <v>181</v>
      </c>
      <c r="C80" s="26">
        <f xml:space="preserve"> ACOS(SIN(RADIANS(K14))*SIN(RADIANS(K22))+COS(RADIANS(K14))*COS(RADIANS(K22))*COS(RADIANS(L22 - L14)))*3440</f>
        <v>190.02313377842518</v>
      </c>
      <c r="D80" s="26">
        <f t="shared" si="4"/>
        <v>81.009253511370076</v>
      </c>
      <c r="E80" s="26">
        <f t="shared" si="5"/>
        <v>497.82843902816217</v>
      </c>
      <c r="F80" s="56">
        <v>8625</v>
      </c>
      <c r="G80" s="28" t="s">
        <v>12</v>
      </c>
      <c r="H80" s="75"/>
      <c r="I80" s="90"/>
      <c r="J80" s="90"/>
      <c r="K80" s="90"/>
      <c r="L80" s="90"/>
      <c r="M80" s="90"/>
      <c r="N80" s="90"/>
    </row>
    <row r="81" spans="1:14" s="75" customFormat="1" ht="20.100000000000001" customHeight="1">
      <c r="B81" s="76" t="s">
        <v>179</v>
      </c>
      <c r="C81" s="77"/>
      <c r="D81" s="77">
        <f t="shared" si="4"/>
        <v>5</v>
      </c>
      <c r="E81" s="77">
        <f t="shared" si="5"/>
        <v>58.875</v>
      </c>
      <c r="F81" s="81">
        <v>8625</v>
      </c>
      <c r="G81" s="79" t="s">
        <v>12</v>
      </c>
      <c r="I81" s="90"/>
      <c r="J81" s="90"/>
      <c r="K81" s="90"/>
      <c r="L81" s="90"/>
      <c r="M81" s="90"/>
      <c r="N81" s="90"/>
    </row>
    <row r="82" spans="1:14" ht="20.100000000000001" customHeight="1" thickBot="1">
      <c r="B82" s="25" t="s">
        <v>85</v>
      </c>
      <c r="C82" s="26"/>
      <c r="D82" s="26">
        <f t="shared" si="4"/>
        <v>5</v>
      </c>
      <c r="E82" s="26">
        <f t="shared" si="5"/>
        <v>58.875</v>
      </c>
      <c r="F82" s="56">
        <v>8625</v>
      </c>
      <c r="G82" s="28" t="s">
        <v>12</v>
      </c>
      <c r="H82" s="75"/>
      <c r="I82" s="90"/>
      <c r="J82" s="90"/>
      <c r="K82" s="90"/>
      <c r="L82" s="90"/>
      <c r="M82" s="90"/>
      <c r="N82" s="90"/>
    </row>
    <row r="83" spans="1:14" s="75" customFormat="1" ht="20.100000000000001" customHeight="1" thickBot="1">
      <c r="B83" s="76" t="s">
        <v>180</v>
      </c>
      <c r="C83" s="77"/>
      <c r="D83" s="77">
        <f t="shared" si="4"/>
        <v>5</v>
      </c>
      <c r="E83" s="77">
        <f t="shared" si="5"/>
        <v>58.875</v>
      </c>
      <c r="F83" s="81">
        <v>8625</v>
      </c>
      <c r="G83" s="79" t="s">
        <v>12</v>
      </c>
      <c r="I83" s="259" t="s">
        <v>325</v>
      </c>
      <c r="J83" s="260"/>
      <c r="K83" s="260"/>
      <c r="L83" s="260"/>
      <c r="M83" s="261"/>
      <c r="N83" s="90"/>
    </row>
    <row r="84" spans="1:14" ht="20.100000000000001" customHeight="1">
      <c r="B84" s="25" t="s">
        <v>178</v>
      </c>
      <c r="C84" s="26"/>
      <c r="D84" s="26">
        <f t="shared" si="4"/>
        <v>5</v>
      </c>
      <c r="E84" s="26">
        <f t="shared" si="5"/>
        <v>58.875</v>
      </c>
      <c r="F84" s="56">
        <v>8625</v>
      </c>
      <c r="G84" s="28" t="s">
        <v>12</v>
      </c>
      <c r="H84" s="75"/>
      <c r="I84" s="253" t="s">
        <v>323</v>
      </c>
      <c r="J84" s="254"/>
      <c r="K84" s="254"/>
      <c r="L84" s="123">
        <v>150</v>
      </c>
      <c r="M84" s="124" t="s">
        <v>322</v>
      </c>
      <c r="N84" s="90"/>
    </row>
    <row r="85" spans="1:14" s="75" customFormat="1" ht="20.100000000000001" customHeight="1">
      <c r="B85" s="76" t="s">
        <v>38</v>
      </c>
      <c r="C85" s="77"/>
      <c r="D85" s="77">
        <f t="shared" si="4"/>
        <v>5</v>
      </c>
      <c r="E85" s="77">
        <f t="shared" si="5"/>
        <v>58.875</v>
      </c>
      <c r="F85" s="81">
        <v>9072</v>
      </c>
      <c r="G85" s="79" t="s">
        <v>12</v>
      </c>
      <c r="I85" s="251" t="s">
        <v>324</v>
      </c>
      <c r="J85" s="252"/>
      <c r="K85" s="252"/>
      <c r="L85" s="119">
        <v>330</v>
      </c>
      <c r="M85" s="120" t="s">
        <v>321</v>
      </c>
      <c r="N85" s="90"/>
    </row>
    <row r="86" spans="1:14" ht="20.100000000000001" customHeight="1" thickBot="1">
      <c r="A86" s="75"/>
      <c r="B86" s="25" t="s">
        <v>177</v>
      </c>
      <c r="C86" s="26"/>
      <c r="D86" s="26">
        <f t="shared" si="4"/>
        <v>5</v>
      </c>
      <c r="E86" s="26">
        <f t="shared" si="5"/>
        <v>58.875</v>
      </c>
      <c r="F86" s="56">
        <v>9072</v>
      </c>
      <c r="G86" s="28" t="s">
        <v>12</v>
      </c>
      <c r="H86" s="75"/>
      <c r="I86" s="246" t="s">
        <v>316</v>
      </c>
      <c r="J86" s="247"/>
      <c r="K86" s="247"/>
      <c r="L86" s="121">
        <v>500</v>
      </c>
      <c r="M86" s="122" t="s">
        <v>320</v>
      </c>
      <c r="N86" s="90"/>
    </row>
    <row r="87" spans="1:14" s="75" customFormat="1" ht="20.100000000000001" customHeight="1">
      <c r="B87" s="76" t="s">
        <v>172</v>
      </c>
      <c r="C87" s="77"/>
      <c r="D87" s="77">
        <f t="shared" si="4"/>
        <v>5</v>
      </c>
      <c r="E87" s="77">
        <f t="shared" si="5"/>
        <v>58.875</v>
      </c>
      <c r="F87" s="81">
        <v>9072</v>
      </c>
      <c r="G87" s="79" t="s">
        <v>12</v>
      </c>
      <c r="I87" s="90"/>
      <c r="J87" s="90"/>
      <c r="K87" s="90"/>
      <c r="L87" s="90"/>
      <c r="M87" s="90"/>
      <c r="N87" s="90"/>
    </row>
    <row r="88" spans="1:14" ht="20.100000000000001" customHeight="1">
      <c r="B88" s="25" t="s">
        <v>40</v>
      </c>
      <c r="C88" s="26"/>
      <c r="D88" s="26">
        <f t="shared" si="4"/>
        <v>5</v>
      </c>
      <c r="E88" s="26">
        <f t="shared" si="5"/>
        <v>58.875</v>
      </c>
      <c r="F88" s="56">
        <v>9072</v>
      </c>
      <c r="G88" s="28" t="s">
        <v>12</v>
      </c>
      <c r="H88" s="75"/>
      <c r="I88" s="90"/>
      <c r="J88" s="90"/>
      <c r="K88" s="90"/>
      <c r="L88" s="90"/>
      <c r="M88" s="90"/>
      <c r="N88" s="90"/>
    </row>
    <row r="89" spans="1:14" s="75" customFormat="1" ht="20.100000000000001" customHeight="1">
      <c r="B89" s="76" t="s">
        <v>170</v>
      </c>
      <c r="C89" s="77"/>
      <c r="D89" s="77">
        <f t="shared" si="4"/>
        <v>5</v>
      </c>
      <c r="E89" s="77">
        <f t="shared" si="5"/>
        <v>58.875</v>
      </c>
      <c r="F89" s="81">
        <v>9072</v>
      </c>
      <c r="G89" s="79" t="s">
        <v>12</v>
      </c>
      <c r="I89" s="90"/>
      <c r="J89" s="90"/>
      <c r="K89" s="90"/>
      <c r="L89" s="90"/>
      <c r="M89" s="90"/>
      <c r="N89" s="90"/>
    </row>
    <row r="90" spans="1:14" ht="20.100000000000001" customHeight="1">
      <c r="B90" s="25" t="s">
        <v>171</v>
      </c>
      <c r="C90" s="26"/>
      <c r="D90" s="26">
        <f t="shared" si="4"/>
        <v>5</v>
      </c>
      <c r="E90" s="26">
        <f t="shared" si="5"/>
        <v>58.875</v>
      </c>
      <c r="F90" s="56">
        <v>9072</v>
      </c>
      <c r="G90" s="28" t="s">
        <v>12</v>
      </c>
      <c r="H90" s="75"/>
      <c r="I90" s="90"/>
      <c r="J90" s="90"/>
      <c r="K90" s="90"/>
      <c r="L90" s="90"/>
      <c r="M90" s="90"/>
      <c r="N90" s="90"/>
    </row>
    <row r="91" spans="1:14" s="75" customFormat="1" ht="20.100000000000001" customHeight="1">
      <c r="B91" s="76" t="s">
        <v>169</v>
      </c>
      <c r="C91" s="77"/>
      <c r="D91" s="77">
        <f t="shared" si="4"/>
        <v>5</v>
      </c>
      <c r="E91" s="77">
        <f t="shared" si="5"/>
        <v>58.875</v>
      </c>
      <c r="F91" s="81">
        <v>9072</v>
      </c>
      <c r="G91" s="79" t="s">
        <v>12</v>
      </c>
      <c r="I91" s="90"/>
      <c r="J91" s="90"/>
      <c r="K91" s="90"/>
      <c r="L91" s="90"/>
      <c r="M91" s="90"/>
      <c r="N91" s="90"/>
    </row>
    <row r="92" spans="1:14" ht="20.100000000000001" customHeight="1">
      <c r="B92" s="25" t="s">
        <v>168</v>
      </c>
      <c r="C92" s="26"/>
      <c r="D92" s="26">
        <f t="shared" si="4"/>
        <v>5</v>
      </c>
      <c r="E92" s="26">
        <f t="shared" si="5"/>
        <v>58.875</v>
      </c>
      <c r="F92" s="56">
        <v>9072</v>
      </c>
      <c r="G92" s="28" t="s">
        <v>12</v>
      </c>
      <c r="H92" s="75"/>
      <c r="I92" s="90"/>
      <c r="J92" s="90"/>
      <c r="K92" s="90"/>
      <c r="L92" s="90"/>
      <c r="M92" s="90"/>
      <c r="N92" s="90"/>
    </row>
    <row r="93" spans="1:14" s="75" customFormat="1" ht="20.100000000000001" customHeight="1">
      <c r="B93" s="76" t="s">
        <v>200</v>
      </c>
      <c r="C93" s="77">
        <v>91</v>
      </c>
      <c r="D93" s="77">
        <f t="shared" si="4"/>
        <v>41.4</v>
      </c>
      <c r="E93" s="77">
        <f t="shared" si="5"/>
        <v>269.08500000000004</v>
      </c>
      <c r="F93" s="81">
        <v>9072</v>
      </c>
      <c r="G93" s="79" t="s">
        <v>12</v>
      </c>
      <c r="I93" s="90"/>
      <c r="J93" s="90"/>
      <c r="K93" s="90"/>
      <c r="L93" s="90"/>
      <c r="M93" s="90"/>
      <c r="N93" s="90"/>
    </row>
    <row r="94" spans="1:14" ht="20.100000000000001" customHeight="1">
      <c r="B94" s="25" t="s">
        <v>81</v>
      </c>
      <c r="C94" s="26">
        <f xml:space="preserve"> ACOS(SIN(RADIANS(K14))*SIN(RADIANS(K26))+COS(RADIANS(K14))*COS(RADIANS(K26))*COS(RADIANS(L26 - L14)))*3440</f>
        <v>128.33415871876659</v>
      </c>
      <c r="D94" s="26">
        <f t="shared" si="4"/>
        <v>56.333663487506641</v>
      </c>
      <c r="E94" s="26">
        <f t="shared" si="5"/>
        <v>355.32690664035084</v>
      </c>
      <c r="F94" s="56">
        <v>9072</v>
      </c>
      <c r="G94" s="28" t="s">
        <v>12</v>
      </c>
      <c r="H94" s="75"/>
      <c r="I94" s="90"/>
      <c r="J94" s="90"/>
      <c r="K94" s="90"/>
      <c r="L94" s="90"/>
      <c r="M94" s="90"/>
      <c r="N94" s="90"/>
    </row>
    <row r="95" spans="1:14" s="75" customFormat="1" ht="20.100000000000001" customHeight="1">
      <c r="B95" s="76" t="s">
        <v>121</v>
      </c>
      <c r="C95" s="77">
        <v>47</v>
      </c>
      <c r="D95" s="77">
        <f t="shared" si="4"/>
        <v>23.8</v>
      </c>
      <c r="E95" s="77">
        <f t="shared" si="5"/>
        <v>167.44500000000002</v>
      </c>
      <c r="F95" s="81">
        <v>9072</v>
      </c>
      <c r="G95" s="79" t="s">
        <v>12</v>
      </c>
      <c r="I95" s="90" t="s">
        <v>256</v>
      </c>
      <c r="J95" s="90"/>
      <c r="K95" s="90"/>
      <c r="L95" s="90"/>
      <c r="M95" s="90"/>
      <c r="N95" s="90"/>
    </row>
    <row r="96" spans="1:14" ht="20.100000000000001" customHeight="1" thickBot="1">
      <c r="B96" s="25" t="s">
        <v>122</v>
      </c>
      <c r="C96" s="26"/>
      <c r="D96" s="26">
        <f t="shared" si="4"/>
        <v>5</v>
      </c>
      <c r="E96" s="26">
        <f t="shared" si="5"/>
        <v>58.875</v>
      </c>
      <c r="F96" s="56">
        <v>9072</v>
      </c>
      <c r="G96" s="28" t="s">
        <v>12</v>
      </c>
      <c r="H96" s="75"/>
      <c r="I96" s="90"/>
      <c r="J96" s="90"/>
      <c r="K96" s="90"/>
      <c r="L96" s="90"/>
      <c r="M96" s="90"/>
      <c r="N96" s="90"/>
    </row>
    <row r="97" spans="2:14" s="75" customFormat="1" ht="20.100000000000001" customHeight="1">
      <c r="B97" s="76" t="s">
        <v>79</v>
      </c>
      <c r="C97" s="77">
        <v>178</v>
      </c>
      <c r="D97" s="77">
        <f t="shared" si="4"/>
        <v>76.2</v>
      </c>
      <c r="E97" s="77">
        <f t="shared" si="5"/>
        <v>470.05500000000006</v>
      </c>
      <c r="F97" s="81">
        <v>8505</v>
      </c>
      <c r="G97" s="79" t="s">
        <v>12</v>
      </c>
      <c r="I97" s="102" t="s">
        <v>69</v>
      </c>
      <c r="J97" s="255" t="s">
        <v>76</v>
      </c>
      <c r="K97" s="256"/>
      <c r="L97" s="90"/>
      <c r="M97" s="90"/>
      <c r="N97" s="90"/>
    </row>
    <row r="98" spans="2:14" ht="20.100000000000001" customHeight="1">
      <c r="B98" s="25" t="s">
        <v>83</v>
      </c>
      <c r="C98" s="26"/>
      <c r="D98" s="26">
        <f t="shared" si="4"/>
        <v>5</v>
      </c>
      <c r="E98" s="26">
        <f t="shared" si="5"/>
        <v>58.875</v>
      </c>
      <c r="F98" s="56">
        <v>8505</v>
      </c>
      <c r="G98" s="28" t="s">
        <v>12</v>
      </c>
      <c r="H98" s="75"/>
      <c r="I98" s="74">
        <v>0</v>
      </c>
      <c r="J98" s="244">
        <f>J99-28</f>
        <v>5474</v>
      </c>
      <c r="K98" s="245"/>
      <c r="L98" s="90"/>
      <c r="M98" s="90"/>
      <c r="N98" s="90"/>
    </row>
    <row r="99" spans="2:14" s="75" customFormat="1" ht="20.100000000000001" customHeight="1">
      <c r="B99" s="76" t="s">
        <v>173</v>
      </c>
      <c r="C99" s="77"/>
      <c r="D99" s="77">
        <f t="shared" si="4"/>
        <v>5</v>
      </c>
      <c r="E99" s="77">
        <f t="shared" si="5"/>
        <v>58.875</v>
      </c>
      <c r="F99" s="81">
        <v>8505</v>
      </c>
      <c r="G99" s="79" t="s">
        <v>12</v>
      </c>
      <c r="I99" s="74">
        <v>1</v>
      </c>
      <c r="J99" s="244">
        <f t="shared" ref="J99:J106" si="6">J100-28</f>
        <v>5502</v>
      </c>
      <c r="K99" s="245"/>
      <c r="L99" s="90"/>
      <c r="M99" s="90"/>
      <c r="N99" s="90"/>
    </row>
    <row r="100" spans="2:14" ht="20.100000000000001" customHeight="1">
      <c r="B100" s="25" t="s">
        <v>78</v>
      </c>
      <c r="C100" s="26"/>
      <c r="D100" s="26">
        <f t="shared" si="4"/>
        <v>5</v>
      </c>
      <c r="E100" s="26">
        <f t="shared" si="5"/>
        <v>58.875</v>
      </c>
      <c r="F100" s="56">
        <v>8505</v>
      </c>
      <c r="G100" s="28" t="s">
        <v>12</v>
      </c>
      <c r="H100" s="75"/>
      <c r="I100" s="74">
        <v>2</v>
      </c>
      <c r="J100" s="244">
        <f t="shared" si="6"/>
        <v>5530</v>
      </c>
      <c r="K100" s="245"/>
      <c r="L100" s="90"/>
      <c r="M100" s="90"/>
      <c r="N100" s="90"/>
    </row>
    <row r="101" spans="2:14" s="75" customFormat="1" ht="20.100000000000001" customHeight="1">
      <c r="B101" s="76" t="s">
        <v>70</v>
      </c>
      <c r="C101" s="77"/>
      <c r="D101" s="77">
        <f t="shared" ref="D101:D132" si="7">C101/150*60+5</f>
        <v>5</v>
      </c>
      <c r="E101" s="77">
        <f t="shared" ref="E101:E132" si="8">(330*D101/60)*1.05+30</f>
        <v>58.875</v>
      </c>
      <c r="F101" s="81">
        <v>9072</v>
      </c>
      <c r="G101" s="79" t="s">
        <v>13</v>
      </c>
      <c r="I101" s="74">
        <v>3</v>
      </c>
      <c r="J101" s="244">
        <f t="shared" si="6"/>
        <v>5558</v>
      </c>
      <c r="K101" s="245"/>
      <c r="L101" s="90"/>
      <c r="M101" s="90"/>
      <c r="N101" s="90"/>
    </row>
    <row r="102" spans="2:14" ht="20.100000000000001" customHeight="1">
      <c r="B102" s="25" t="s">
        <v>37</v>
      </c>
      <c r="C102" s="26">
        <f xml:space="preserve"> ACOS(SIN(RADIANS(K14))*SIN(RADIANS(K28))+COS(RADIANS(K14))*COS(RADIANS(K28))*COS(RADIANS(L28 - L14)))*3440</f>
        <v>243.6483072322311</v>
      </c>
      <c r="D102" s="26">
        <f t="shared" si="7"/>
        <v>102.45932289289244</v>
      </c>
      <c r="E102" s="26">
        <f t="shared" si="8"/>
        <v>621.70258970645386</v>
      </c>
      <c r="F102" s="56">
        <v>9072</v>
      </c>
      <c r="G102" s="28" t="s">
        <v>13</v>
      </c>
      <c r="H102" s="75"/>
      <c r="I102" s="74">
        <v>4</v>
      </c>
      <c r="J102" s="244">
        <f t="shared" si="6"/>
        <v>5586</v>
      </c>
      <c r="K102" s="245"/>
      <c r="L102" s="90"/>
      <c r="M102" s="90"/>
      <c r="N102" s="90"/>
    </row>
    <row r="103" spans="2:14" s="75" customFormat="1" ht="20.100000000000001" customHeight="1">
      <c r="B103" s="76" t="s">
        <v>124</v>
      </c>
      <c r="C103" s="77"/>
      <c r="D103" s="77">
        <f t="shared" si="7"/>
        <v>5</v>
      </c>
      <c r="E103" s="77">
        <f t="shared" si="8"/>
        <v>58.875</v>
      </c>
      <c r="F103" s="81">
        <v>9072</v>
      </c>
      <c r="G103" s="79" t="s">
        <v>13</v>
      </c>
      <c r="I103" s="74">
        <v>5</v>
      </c>
      <c r="J103" s="244">
        <f t="shared" si="6"/>
        <v>5614</v>
      </c>
      <c r="K103" s="245"/>
      <c r="L103" s="90"/>
      <c r="M103" s="90"/>
      <c r="N103" s="90"/>
    </row>
    <row r="104" spans="2:14" ht="20.100000000000001" customHeight="1">
      <c r="B104" s="25" t="s">
        <v>134</v>
      </c>
      <c r="C104" s="26"/>
      <c r="D104" s="26">
        <f t="shared" si="7"/>
        <v>5</v>
      </c>
      <c r="E104" s="26">
        <f t="shared" si="8"/>
        <v>58.875</v>
      </c>
      <c r="F104" s="56">
        <v>9072</v>
      </c>
      <c r="G104" s="28" t="s">
        <v>13</v>
      </c>
      <c r="H104" s="75"/>
      <c r="I104" s="74">
        <v>6</v>
      </c>
      <c r="J104" s="244">
        <f t="shared" si="6"/>
        <v>5642</v>
      </c>
      <c r="K104" s="245"/>
      <c r="L104" s="90"/>
      <c r="M104" s="90"/>
      <c r="N104" s="90"/>
    </row>
    <row r="105" spans="2:14" s="75" customFormat="1" ht="20.100000000000001" customHeight="1">
      <c r="B105" s="76" t="s">
        <v>30</v>
      </c>
      <c r="C105" s="77"/>
      <c r="D105" s="77">
        <f t="shared" si="7"/>
        <v>5</v>
      </c>
      <c r="E105" s="77">
        <f t="shared" si="8"/>
        <v>58.875</v>
      </c>
      <c r="F105" s="81">
        <v>8780</v>
      </c>
      <c r="G105" s="79" t="s">
        <v>12</v>
      </c>
      <c r="I105" s="74">
        <v>7</v>
      </c>
      <c r="J105" s="244">
        <f t="shared" si="6"/>
        <v>5670</v>
      </c>
      <c r="K105" s="245"/>
      <c r="L105" s="90"/>
      <c r="M105" s="90"/>
      <c r="N105" s="90"/>
    </row>
    <row r="106" spans="2:14" ht="20.100000000000001" customHeight="1">
      <c r="B106" s="25" t="s">
        <v>148</v>
      </c>
      <c r="C106" s="26"/>
      <c r="D106" s="26">
        <f t="shared" si="7"/>
        <v>5</v>
      </c>
      <c r="E106" s="26">
        <f t="shared" si="8"/>
        <v>58.875</v>
      </c>
      <c r="F106" s="56">
        <v>8780</v>
      </c>
      <c r="G106" s="28" t="s">
        <v>12</v>
      </c>
      <c r="H106" s="75"/>
      <c r="I106" s="74">
        <v>8</v>
      </c>
      <c r="J106" s="244">
        <f t="shared" si="6"/>
        <v>5698</v>
      </c>
      <c r="K106" s="245"/>
      <c r="L106" s="90"/>
      <c r="M106" s="90"/>
      <c r="N106" s="90"/>
    </row>
    <row r="107" spans="2:14" s="75" customFormat="1" ht="20.100000000000001" customHeight="1">
      <c r="B107" s="76" t="s">
        <v>158</v>
      </c>
      <c r="C107" s="77"/>
      <c r="D107" s="77">
        <f t="shared" si="7"/>
        <v>5</v>
      </c>
      <c r="E107" s="77">
        <f t="shared" si="8"/>
        <v>58.875</v>
      </c>
      <c r="F107" s="81">
        <v>8780</v>
      </c>
      <c r="G107" s="79" t="s">
        <v>12</v>
      </c>
      <c r="I107" s="74">
        <v>9</v>
      </c>
      <c r="J107" s="244">
        <v>5726</v>
      </c>
      <c r="K107" s="245"/>
      <c r="L107" s="90"/>
      <c r="M107" s="90"/>
      <c r="N107" s="90"/>
    </row>
    <row r="108" spans="2:14" ht="20.100000000000001" customHeight="1">
      <c r="B108" s="25" t="s">
        <v>167</v>
      </c>
      <c r="C108" s="26"/>
      <c r="D108" s="26">
        <f t="shared" si="7"/>
        <v>5</v>
      </c>
      <c r="E108" s="26">
        <f t="shared" si="8"/>
        <v>58.875</v>
      </c>
      <c r="F108" s="56">
        <v>8780</v>
      </c>
      <c r="G108" s="28" t="s">
        <v>12</v>
      </c>
      <c r="H108" s="75"/>
      <c r="I108" s="74">
        <v>10</v>
      </c>
      <c r="J108" s="244">
        <v>5756</v>
      </c>
      <c r="K108" s="245"/>
      <c r="L108" s="90"/>
      <c r="M108" s="90"/>
      <c r="N108" s="90"/>
    </row>
    <row r="109" spans="2:14" s="75" customFormat="1" ht="20.100000000000001" customHeight="1">
      <c r="B109" s="76" t="s">
        <v>77</v>
      </c>
      <c r="C109" s="77"/>
      <c r="D109" s="77">
        <f t="shared" si="7"/>
        <v>5</v>
      </c>
      <c r="E109" s="77">
        <f t="shared" si="8"/>
        <v>58.875</v>
      </c>
      <c r="F109" s="81">
        <v>8780</v>
      </c>
      <c r="G109" s="79" t="s">
        <v>12</v>
      </c>
      <c r="I109" s="74">
        <v>11</v>
      </c>
      <c r="J109" s="244">
        <v>5786</v>
      </c>
      <c r="K109" s="245"/>
      <c r="L109" s="90"/>
      <c r="M109" s="90"/>
      <c r="N109" s="90"/>
    </row>
    <row r="110" spans="2:14" ht="20.100000000000001" customHeight="1" thickBot="1">
      <c r="B110" s="25" t="s">
        <v>55</v>
      </c>
      <c r="C110" s="26"/>
      <c r="D110" s="26">
        <f t="shared" si="7"/>
        <v>5</v>
      </c>
      <c r="E110" s="26">
        <f t="shared" si="8"/>
        <v>58.875</v>
      </c>
      <c r="F110" s="56">
        <v>8780</v>
      </c>
      <c r="G110" s="28" t="s">
        <v>12</v>
      </c>
      <c r="H110" s="75"/>
      <c r="I110" s="103">
        <v>12</v>
      </c>
      <c r="J110" s="257">
        <v>5816</v>
      </c>
      <c r="K110" s="258"/>
      <c r="L110" s="90"/>
      <c r="M110" s="90"/>
      <c r="N110" s="90"/>
    </row>
    <row r="111" spans="2:14" s="75" customFormat="1" ht="20.100000000000001" customHeight="1">
      <c r="B111" s="76" t="s">
        <v>60</v>
      </c>
      <c r="C111" s="77"/>
      <c r="D111" s="77">
        <f t="shared" si="7"/>
        <v>5</v>
      </c>
      <c r="E111" s="77">
        <f t="shared" si="8"/>
        <v>58.875</v>
      </c>
      <c r="F111" s="81">
        <v>8300</v>
      </c>
      <c r="G111" s="79" t="s">
        <v>12</v>
      </c>
      <c r="L111" s="90"/>
      <c r="M111" s="90"/>
      <c r="N111" s="90"/>
    </row>
    <row r="112" spans="2:14" ht="20.100000000000001" customHeight="1">
      <c r="B112" s="25" t="s">
        <v>202</v>
      </c>
      <c r="C112" s="26">
        <v>53</v>
      </c>
      <c r="D112" s="26">
        <f t="shared" si="7"/>
        <v>26.2</v>
      </c>
      <c r="E112" s="26">
        <f t="shared" si="8"/>
        <v>181.30500000000001</v>
      </c>
      <c r="F112" s="56">
        <v>8300</v>
      </c>
      <c r="G112" s="28" t="s">
        <v>12</v>
      </c>
      <c r="H112" s="75"/>
      <c r="I112" s="75"/>
      <c r="J112" s="75"/>
      <c r="K112" s="75"/>
      <c r="L112" s="90"/>
      <c r="M112" s="90"/>
      <c r="N112" s="90"/>
    </row>
    <row r="113" spans="2:14" s="75" customFormat="1" ht="20.100000000000001" customHeight="1">
      <c r="B113" s="76" t="s">
        <v>141</v>
      </c>
      <c r="C113" s="77"/>
      <c r="D113" s="77">
        <f t="shared" si="7"/>
        <v>5</v>
      </c>
      <c r="E113" s="77">
        <f t="shared" si="8"/>
        <v>58.875</v>
      </c>
      <c r="F113" s="81">
        <v>8300</v>
      </c>
      <c r="G113" s="79" t="s">
        <v>12</v>
      </c>
      <c r="L113" s="90"/>
      <c r="M113" s="90"/>
      <c r="N113" s="90"/>
    </row>
    <row r="114" spans="2:14" ht="20.100000000000001" customHeight="1">
      <c r="B114" s="25" t="s">
        <v>52</v>
      </c>
      <c r="C114" s="26"/>
      <c r="D114" s="26">
        <f t="shared" si="7"/>
        <v>5</v>
      </c>
      <c r="E114" s="26">
        <f t="shared" si="8"/>
        <v>58.875</v>
      </c>
      <c r="F114" s="56">
        <v>8300</v>
      </c>
      <c r="G114" s="28" t="s">
        <v>12</v>
      </c>
      <c r="H114" s="75"/>
      <c r="I114" s="75"/>
      <c r="J114" s="75"/>
      <c r="K114" s="75"/>
      <c r="L114" s="90"/>
      <c r="M114" s="90"/>
      <c r="N114" s="90"/>
    </row>
    <row r="115" spans="2:14" s="75" customFormat="1" ht="20.100000000000001" customHeight="1">
      <c r="B115" s="76" t="s">
        <v>28</v>
      </c>
      <c r="C115" s="77">
        <v>161</v>
      </c>
      <c r="D115" s="77">
        <f t="shared" si="7"/>
        <v>69.399999999999991</v>
      </c>
      <c r="E115" s="77">
        <f t="shared" si="8"/>
        <v>430.78499999999997</v>
      </c>
      <c r="F115" s="81">
        <v>8690</v>
      </c>
      <c r="G115" s="79" t="s">
        <v>13</v>
      </c>
      <c r="L115" s="90"/>
      <c r="M115" s="90"/>
      <c r="N115" s="90"/>
    </row>
    <row r="116" spans="2:14" ht="20.100000000000001" customHeight="1">
      <c r="B116" s="25" t="s">
        <v>118</v>
      </c>
      <c r="C116" s="26"/>
      <c r="D116" s="26">
        <f t="shared" si="7"/>
        <v>5</v>
      </c>
      <c r="E116" s="26">
        <f t="shared" si="8"/>
        <v>58.875</v>
      </c>
      <c r="F116" s="56">
        <v>8690</v>
      </c>
      <c r="G116" s="28" t="s">
        <v>13</v>
      </c>
      <c r="H116" s="75"/>
      <c r="I116" s="58"/>
      <c r="J116" s="58"/>
      <c r="K116" s="58"/>
      <c r="L116" s="90"/>
      <c r="M116" s="90"/>
      <c r="N116" s="90"/>
    </row>
    <row r="117" spans="2:14" s="75" customFormat="1" ht="20.100000000000001" customHeight="1">
      <c r="B117" s="76" t="s">
        <v>123</v>
      </c>
      <c r="C117" s="77"/>
      <c r="D117" s="77">
        <f t="shared" si="7"/>
        <v>5</v>
      </c>
      <c r="E117" s="77">
        <f t="shared" si="8"/>
        <v>58.875</v>
      </c>
      <c r="F117" s="81">
        <v>8690</v>
      </c>
      <c r="G117" s="79" t="s">
        <v>13</v>
      </c>
      <c r="I117" s="61"/>
      <c r="J117" s="61"/>
      <c r="K117" s="60"/>
      <c r="L117" s="90"/>
      <c r="M117" s="90"/>
      <c r="N117" s="90"/>
    </row>
    <row r="118" spans="2:14" ht="20.100000000000001" customHeight="1">
      <c r="B118" s="25" t="s">
        <v>201</v>
      </c>
      <c r="C118" s="26">
        <v>53</v>
      </c>
      <c r="D118" s="26">
        <f t="shared" si="7"/>
        <v>26.2</v>
      </c>
      <c r="E118" s="26">
        <f t="shared" si="8"/>
        <v>181.30500000000001</v>
      </c>
      <c r="F118" s="56">
        <v>8690</v>
      </c>
      <c r="G118" s="28" t="s">
        <v>13</v>
      </c>
      <c r="H118" s="75"/>
      <c r="I118" s="58"/>
      <c r="J118" s="58"/>
      <c r="K118" s="58"/>
      <c r="L118" s="90"/>
      <c r="M118" s="90"/>
      <c r="N118" s="90"/>
    </row>
    <row r="119" spans="2:14" s="75" customFormat="1" ht="20.100000000000001" customHeight="1">
      <c r="B119" s="76" t="s">
        <v>61</v>
      </c>
      <c r="C119" s="77">
        <v>122</v>
      </c>
      <c r="D119" s="77">
        <f t="shared" si="7"/>
        <v>53.800000000000004</v>
      </c>
      <c r="E119" s="77">
        <f t="shared" si="8"/>
        <v>340.69499999999999</v>
      </c>
      <c r="F119" s="81">
        <v>8690</v>
      </c>
      <c r="G119" s="79" t="s">
        <v>13</v>
      </c>
      <c r="I119" s="58"/>
      <c r="J119" s="58"/>
      <c r="K119" s="58"/>
      <c r="L119" s="90"/>
      <c r="M119" s="90"/>
      <c r="N119" s="90"/>
    </row>
    <row r="120" spans="2:14" ht="20.100000000000001" customHeight="1">
      <c r="B120" s="25" t="s">
        <v>64</v>
      </c>
      <c r="C120" s="26"/>
      <c r="D120" s="26">
        <f t="shared" si="7"/>
        <v>5</v>
      </c>
      <c r="E120" s="26">
        <f t="shared" si="8"/>
        <v>58.875</v>
      </c>
      <c r="F120" s="56">
        <v>8690</v>
      </c>
      <c r="G120" s="28" t="s">
        <v>13</v>
      </c>
      <c r="H120" s="75"/>
      <c r="I120" s="61"/>
      <c r="J120" s="61"/>
      <c r="K120" s="60"/>
      <c r="L120" s="90"/>
      <c r="M120" s="90"/>
      <c r="N120" s="90"/>
    </row>
    <row r="121" spans="2:14" s="75" customFormat="1" ht="20.100000000000001" customHeight="1">
      <c r="B121" s="76" t="s">
        <v>204</v>
      </c>
      <c r="C121" s="77"/>
      <c r="D121" s="77">
        <f t="shared" si="7"/>
        <v>5</v>
      </c>
      <c r="E121" s="77">
        <f t="shared" si="8"/>
        <v>58.875</v>
      </c>
      <c r="F121" s="81">
        <v>9072</v>
      </c>
      <c r="G121" s="79" t="s">
        <v>13</v>
      </c>
      <c r="I121" s="58"/>
      <c r="J121" s="58"/>
      <c r="K121" s="58"/>
      <c r="L121" s="90"/>
      <c r="M121" s="90"/>
      <c r="N121" s="90"/>
    </row>
    <row r="122" spans="2:14" ht="20.100000000000001" customHeight="1">
      <c r="B122" s="25" t="s">
        <v>126</v>
      </c>
      <c r="C122" s="26">
        <v>111</v>
      </c>
      <c r="D122" s="26">
        <f t="shared" si="7"/>
        <v>49.4</v>
      </c>
      <c r="E122" s="26">
        <f t="shared" si="8"/>
        <v>315.28500000000003</v>
      </c>
      <c r="F122" s="56">
        <v>9072</v>
      </c>
      <c r="G122" s="28" t="s">
        <v>13</v>
      </c>
      <c r="H122" s="75"/>
      <c r="I122" s="58"/>
      <c r="J122" s="58"/>
      <c r="K122" s="58"/>
      <c r="L122" s="90"/>
      <c r="M122" s="90"/>
      <c r="N122" s="90"/>
    </row>
    <row r="123" spans="2:14" s="75" customFormat="1" ht="20.100000000000001" customHeight="1">
      <c r="B123" s="76" t="s">
        <v>125</v>
      </c>
      <c r="C123" s="77">
        <v>112</v>
      </c>
      <c r="D123" s="77">
        <f t="shared" si="7"/>
        <v>49.800000000000004</v>
      </c>
      <c r="E123" s="77">
        <f t="shared" si="8"/>
        <v>317.59499999999997</v>
      </c>
      <c r="F123" s="81">
        <v>9072</v>
      </c>
      <c r="G123" s="79" t="s">
        <v>13</v>
      </c>
      <c r="I123" s="61"/>
      <c r="J123" s="61"/>
      <c r="K123" s="60"/>
      <c r="L123" s="90"/>
      <c r="M123" s="90"/>
      <c r="N123" s="90"/>
    </row>
    <row r="124" spans="2:14" ht="20.100000000000001" customHeight="1">
      <c r="B124" s="25" t="s">
        <v>44</v>
      </c>
      <c r="C124" s="26">
        <v>73</v>
      </c>
      <c r="D124" s="26">
        <f t="shared" si="7"/>
        <v>34.200000000000003</v>
      </c>
      <c r="E124" s="26">
        <f t="shared" si="8"/>
        <v>227.50500000000002</v>
      </c>
      <c r="F124" s="29">
        <v>8755</v>
      </c>
      <c r="G124" s="28" t="s">
        <v>12</v>
      </c>
      <c r="H124" s="75"/>
      <c r="I124" s="61"/>
      <c r="J124" s="61"/>
      <c r="K124" s="60"/>
      <c r="L124" s="90"/>
      <c r="M124" s="90"/>
      <c r="N124" s="90"/>
    </row>
    <row r="125" spans="2:14" s="75" customFormat="1" ht="20.100000000000001" customHeight="1">
      <c r="B125" s="76" t="s">
        <v>32</v>
      </c>
      <c r="C125" s="77">
        <f xml:space="preserve"> ACOS(SIN(RADIANS(K14))*SIN(RADIANS(K42))+COS(RADIANS(K14))*COS(RADIANS(K42))*COS(RADIANS(L42 - L14)))*3440</f>
        <v>94.499444913129963</v>
      </c>
      <c r="D125" s="77">
        <f t="shared" si="7"/>
        <v>42.799777965251984</v>
      </c>
      <c r="E125" s="77">
        <f t="shared" si="8"/>
        <v>277.1687177493302</v>
      </c>
      <c r="F125" s="81">
        <v>8755</v>
      </c>
      <c r="G125" s="79" t="s">
        <v>12</v>
      </c>
      <c r="I125" s="58"/>
      <c r="J125" s="58"/>
      <c r="K125" s="58"/>
      <c r="L125" s="90"/>
      <c r="M125" s="90"/>
      <c r="N125" s="90"/>
    </row>
    <row r="126" spans="2:14" ht="20.100000000000001" customHeight="1">
      <c r="B126" s="25" t="s">
        <v>46</v>
      </c>
      <c r="C126" s="26"/>
      <c r="D126" s="26">
        <f t="shared" si="7"/>
        <v>5</v>
      </c>
      <c r="E126" s="26">
        <f t="shared" si="8"/>
        <v>58.875</v>
      </c>
      <c r="F126" s="56">
        <v>8755</v>
      </c>
      <c r="G126" s="28" t="s">
        <v>12</v>
      </c>
      <c r="H126" s="75"/>
      <c r="I126" s="58"/>
      <c r="J126" s="58"/>
      <c r="K126" s="58"/>
      <c r="L126" s="90"/>
      <c r="M126" s="90"/>
      <c r="N126" s="90"/>
    </row>
    <row r="127" spans="2:14" s="75" customFormat="1" ht="20.100000000000001" customHeight="1">
      <c r="B127" s="76" t="s">
        <v>47</v>
      </c>
      <c r="C127" s="77">
        <v>80</v>
      </c>
      <c r="D127" s="77">
        <f t="shared" si="7"/>
        <v>37</v>
      </c>
      <c r="E127" s="77">
        <f t="shared" si="8"/>
        <v>243.67500000000001</v>
      </c>
      <c r="F127" s="81">
        <v>8755</v>
      </c>
      <c r="G127" s="79" t="s">
        <v>12</v>
      </c>
      <c r="I127" s="61"/>
      <c r="J127" s="61"/>
      <c r="K127" s="60"/>
      <c r="L127" s="90"/>
      <c r="M127" s="90"/>
      <c r="N127" s="90"/>
    </row>
    <row r="128" spans="2:14" ht="20.100000000000001" customHeight="1">
      <c r="B128" s="25" t="s">
        <v>42</v>
      </c>
      <c r="C128" s="26"/>
      <c r="D128" s="26">
        <f t="shared" si="7"/>
        <v>5</v>
      </c>
      <c r="E128" s="26">
        <f t="shared" si="8"/>
        <v>58.875</v>
      </c>
      <c r="F128" s="56">
        <v>8755</v>
      </c>
      <c r="G128" s="28" t="s">
        <v>12</v>
      </c>
      <c r="H128" s="75"/>
      <c r="I128" s="61"/>
      <c r="J128" s="61"/>
      <c r="K128" s="60"/>
      <c r="L128" s="90"/>
      <c r="M128" s="90"/>
      <c r="N128" s="90"/>
    </row>
    <row r="129" spans="2:14" s="75" customFormat="1" ht="20.100000000000001" customHeight="1">
      <c r="B129" s="76" t="s">
        <v>5</v>
      </c>
      <c r="C129" s="77">
        <v>60</v>
      </c>
      <c r="D129" s="77">
        <f t="shared" si="7"/>
        <v>29</v>
      </c>
      <c r="E129" s="77">
        <f t="shared" si="8"/>
        <v>197.47499999999999</v>
      </c>
      <c r="F129" s="78">
        <v>9072</v>
      </c>
      <c r="G129" s="79" t="s">
        <v>12</v>
      </c>
      <c r="I129" s="61"/>
      <c r="J129" s="61"/>
      <c r="K129" s="60"/>
      <c r="L129" s="90"/>
      <c r="M129" s="90"/>
      <c r="N129" s="90"/>
    </row>
    <row r="130" spans="2:14" ht="20.100000000000001" customHeight="1">
      <c r="B130" s="25" t="s">
        <v>4</v>
      </c>
      <c r="C130" s="26">
        <v>156</v>
      </c>
      <c r="D130" s="26">
        <f t="shared" si="7"/>
        <v>67.400000000000006</v>
      </c>
      <c r="E130" s="26">
        <f t="shared" si="8"/>
        <v>419.23500000000007</v>
      </c>
      <c r="F130" s="56">
        <v>9072</v>
      </c>
      <c r="G130" s="28" t="s">
        <v>12</v>
      </c>
      <c r="H130" s="75"/>
      <c r="I130" s="75"/>
      <c r="J130" s="75"/>
      <c r="K130" s="75"/>
      <c r="L130" s="90"/>
      <c r="M130" s="90"/>
      <c r="N130" s="90"/>
    </row>
    <row r="131" spans="2:14" s="75" customFormat="1" ht="20.100000000000001" customHeight="1">
      <c r="B131" s="76" t="s">
        <v>48</v>
      </c>
      <c r="C131" s="77"/>
      <c r="D131" s="77">
        <f t="shared" si="7"/>
        <v>5</v>
      </c>
      <c r="E131" s="77">
        <f t="shared" si="8"/>
        <v>58.875</v>
      </c>
      <c r="F131" s="78">
        <v>9072</v>
      </c>
      <c r="G131" s="79" t="s">
        <v>12</v>
      </c>
      <c r="L131" s="90"/>
      <c r="M131" s="90"/>
      <c r="N131" s="90"/>
    </row>
    <row r="132" spans="2:14" ht="20.100000000000001" customHeight="1">
      <c r="B132" s="25" t="s">
        <v>50</v>
      </c>
      <c r="C132" s="26"/>
      <c r="D132" s="26">
        <f t="shared" si="7"/>
        <v>5</v>
      </c>
      <c r="E132" s="26">
        <f t="shared" si="8"/>
        <v>58.875</v>
      </c>
      <c r="F132" s="56">
        <v>9072</v>
      </c>
      <c r="G132" s="28" t="s">
        <v>12</v>
      </c>
      <c r="H132" s="75"/>
      <c r="I132" s="75"/>
      <c r="J132" s="75"/>
      <c r="K132" s="75"/>
      <c r="L132" s="90"/>
      <c r="M132" s="90"/>
      <c r="N132" s="90"/>
    </row>
    <row r="133" spans="2:14" s="75" customFormat="1" ht="20.100000000000001" customHeight="1">
      <c r="B133" s="76" t="s">
        <v>35</v>
      </c>
      <c r="C133" s="77"/>
      <c r="D133" s="77">
        <f t="shared" ref="D133:D160" si="9">C133/150*60+5</f>
        <v>5</v>
      </c>
      <c r="E133" s="77">
        <f t="shared" ref="E133:E160" si="10">(330*D133/60)*1.05+30</f>
        <v>58.875</v>
      </c>
      <c r="F133" s="81">
        <v>9072</v>
      </c>
      <c r="G133" s="79" t="s">
        <v>12</v>
      </c>
      <c r="L133" s="90"/>
      <c r="M133" s="90"/>
      <c r="N133" s="90"/>
    </row>
    <row r="134" spans="2:14" ht="20.100000000000001" customHeight="1">
      <c r="B134" s="25" t="s">
        <v>135</v>
      </c>
      <c r="C134" s="26"/>
      <c r="D134" s="26">
        <f t="shared" si="9"/>
        <v>5</v>
      </c>
      <c r="E134" s="26">
        <f t="shared" si="10"/>
        <v>58.875</v>
      </c>
      <c r="F134" s="56">
        <v>9072</v>
      </c>
      <c r="G134" s="28" t="s">
        <v>12</v>
      </c>
      <c r="H134" s="75"/>
      <c r="I134" s="90"/>
      <c r="J134" s="90"/>
      <c r="K134" s="90"/>
      <c r="L134" s="90"/>
      <c r="M134" s="90"/>
      <c r="N134" s="90"/>
    </row>
    <row r="135" spans="2:14" s="75" customFormat="1" ht="20.100000000000001" customHeight="1">
      <c r="B135" s="76" t="s">
        <v>142</v>
      </c>
      <c r="C135" s="77"/>
      <c r="D135" s="77">
        <f t="shared" si="9"/>
        <v>5</v>
      </c>
      <c r="E135" s="77">
        <f t="shared" si="10"/>
        <v>58.875</v>
      </c>
      <c r="F135" s="81">
        <v>9072</v>
      </c>
      <c r="G135" s="79" t="s">
        <v>12</v>
      </c>
      <c r="I135" s="90"/>
      <c r="J135" s="90"/>
      <c r="K135" s="90"/>
      <c r="L135" s="90"/>
      <c r="M135" s="90"/>
      <c r="N135" s="90"/>
    </row>
    <row r="136" spans="2:14" ht="20.100000000000001" customHeight="1">
      <c r="B136" s="25" t="s">
        <v>62</v>
      </c>
      <c r="C136" s="26">
        <v>122</v>
      </c>
      <c r="D136" s="26">
        <f t="shared" si="9"/>
        <v>53.800000000000004</v>
      </c>
      <c r="E136" s="26">
        <f t="shared" si="10"/>
        <v>340.69499999999999</v>
      </c>
      <c r="F136" s="56">
        <v>9072</v>
      </c>
      <c r="G136" s="28" t="s">
        <v>12</v>
      </c>
      <c r="H136" s="75"/>
      <c r="I136" s="90"/>
      <c r="J136" s="90"/>
      <c r="K136" s="90"/>
      <c r="L136" s="90"/>
      <c r="M136" s="90"/>
      <c r="N136" s="90"/>
    </row>
    <row r="137" spans="2:14" s="75" customFormat="1" ht="20.100000000000001" customHeight="1">
      <c r="B137" s="76" t="s">
        <v>136</v>
      </c>
      <c r="C137" s="77">
        <v>112</v>
      </c>
      <c r="D137" s="77">
        <f t="shared" si="9"/>
        <v>49.800000000000004</v>
      </c>
      <c r="E137" s="77">
        <f t="shared" si="10"/>
        <v>317.59499999999997</v>
      </c>
      <c r="F137" s="81">
        <v>9072</v>
      </c>
      <c r="G137" s="79" t="s">
        <v>12</v>
      </c>
      <c r="I137" s="90"/>
      <c r="J137" s="90"/>
      <c r="K137" s="90"/>
      <c r="L137" s="90"/>
      <c r="M137" s="90"/>
      <c r="N137" s="90"/>
    </row>
    <row r="138" spans="2:14" ht="20.100000000000001" customHeight="1">
      <c r="B138" s="25" t="s">
        <v>33</v>
      </c>
      <c r="C138" s="26">
        <f xml:space="preserve"> ACOS(SIN(RADIANS(K14))*SIN(RADIANS(K46))+COS(RADIANS(K14))*COS(RADIANS(K46))*COS(RADIANS(L46 - L14)))*3440</f>
        <v>140.90716541560255</v>
      </c>
      <c r="D138" s="26">
        <f t="shared" si="9"/>
        <v>61.36286616624102</v>
      </c>
      <c r="E138" s="26">
        <f t="shared" si="10"/>
        <v>384.3705521100419</v>
      </c>
      <c r="F138" s="56">
        <v>9005</v>
      </c>
      <c r="G138" s="28" t="s">
        <v>12</v>
      </c>
      <c r="H138" s="75"/>
      <c r="I138" s="90"/>
      <c r="J138" s="90"/>
      <c r="K138" s="90"/>
      <c r="L138" s="90"/>
      <c r="M138" s="90"/>
      <c r="N138" s="90"/>
    </row>
    <row r="139" spans="2:14" s="75" customFormat="1" ht="20.100000000000001" customHeight="1">
      <c r="B139" s="76" t="s">
        <v>196</v>
      </c>
      <c r="C139" s="77"/>
      <c r="D139" s="77">
        <f t="shared" si="9"/>
        <v>5</v>
      </c>
      <c r="E139" s="77">
        <f t="shared" si="10"/>
        <v>58.875</v>
      </c>
      <c r="F139" s="81">
        <v>9005</v>
      </c>
      <c r="G139" s="79" t="s">
        <v>12</v>
      </c>
      <c r="I139" s="90"/>
      <c r="J139" s="90"/>
      <c r="K139" s="90"/>
      <c r="L139" s="90"/>
      <c r="M139" s="90"/>
      <c r="N139" s="90"/>
    </row>
    <row r="140" spans="2:14" ht="20.100000000000001" customHeight="1">
      <c r="B140" s="25" t="s">
        <v>43</v>
      </c>
      <c r="C140" s="26"/>
      <c r="D140" s="26">
        <f t="shared" si="9"/>
        <v>5</v>
      </c>
      <c r="E140" s="26">
        <f t="shared" si="10"/>
        <v>58.875</v>
      </c>
      <c r="F140" s="56">
        <v>9005</v>
      </c>
      <c r="G140" s="28" t="s">
        <v>12</v>
      </c>
      <c r="H140" s="75"/>
      <c r="I140" s="90"/>
      <c r="J140" s="90"/>
      <c r="K140" s="90"/>
      <c r="L140" s="90"/>
      <c r="M140" s="90"/>
      <c r="N140" s="90"/>
    </row>
    <row r="141" spans="2:14" s="75" customFormat="1" ht="20.100000000000001" customHeight="1">
      <c r="B141" s="76" t="s">
        <v>49</v>
      </c>
      <c r="C141" s="77"/>
      <c r="D141" s="77">
        <f t="shared" si="9"/>
        <v>5</v>
      </c>
      <c r="E141" s="77">
        <f t="shared" si="10"/>
        <v>58.875</v>
      </c>
      <c r="F141" s="81">
        <v>9005</v>
      </c>
      <c r="G141" s="79" t="s">
        <v>12</v>
      </c>
      <c r="H141" s="249"/>
      <c r="I141" s="250"/>
      <c r="J141" s="91"/>
      <c r="K141" s="90"/>
      <c r="L141" s="90"/>
      <c r="M141" s="90"/>
      <c r="N141" s="90"/>
    </row>
    <row r="142" spans="2:14" ht="20.100000000000001" customHeight="1">
      <c r="B142" s="25" t="s">
        <v>152</v>
      </c>
      <c r="C142" s="26">
        <v>161</v>
      </c>
      <c r="D142" s="26">
        <f t="shared" si="9"/>
        <v>69.399999999999991</v>
      </c>
      <c r="E142" s="26">
        <f t="shared" si="10"/>
        <v>430.78499999999997</v>
      </c>
      <c r="F142" s="56">
        <v>8585</v>
      </c>
      <c r="G142" s="28" t="s">
        <v>12</v>
      </c>
      <c r="H142" s="249"/>
      <c r="I142" s="250"/>
      <c r="J142" s="91"/>
      <c r="K142" s="90"/>
      <c r="L142" s="90"/>
      <c r="M142" s="90"/>
      <c r="N142" s="90"/>
    </row>
    <row r="143" spans="2:14" s="75" customFormat="1" ht="20.100000000000001" customHeight="1">
      <c r="B143" s="76" t="s">
        <v>154</v>
      </c>
      <c r="C143" s="77"/>
      <c r="D143" s="77">
        <f t="shared" si="9"/>
        <v>5</v>
      </c>
      <c r="E143" s="77">
        <f t="shared" si="10"/>
        <v>58.875</v>
      </c>
      <c r="F143" s="81">
        <v>8585</v>
      </c>
      <c r="G143" s="79" t="s">
        <v>12</v>
      </c>
      <c r="H143" s="249"/>
      <c r="I143" s="250"/>
      <c r="J143" s="91"/>
      <c r="K143" s="90"/>
      <c r="L143" s="90"/>
      <c r="M143" s="90"/>
      <c r="N143" s="90"/>
    </row>
    <row r="144" spans="2:14" ht="20.100000000000001" customHeight="1">
      <c r="B144" s="25" t="s">
        <v>153</v>
      </c>
      <c r="C144" s="26"/>
      <c r="D144" s="26">
        <f t="shared" si="9"/>
        <v>5</v>
      </c>
      <c r="E144" s="26">
        <f t="shared" si="10"/>
        <v>58.875</v>
      </c>
      <c r="F144" s="56">
        <v>8585</v>
      </c>
      <c r="G144" s="28" t="s">
        <v>12</v>
      </c>
      <c r="H144" s="75"/>
      <c r="I144" s="75"/>
      <c r="J144" s="75"/>
      <c r="K144" s="90"/>
      <c r="L144" s="90"/>
      <c r="M144" s="90"/>
      <c r="N144" s="90"/>
    </row>
    <row r="145" spans="2:14" s="75" customFormat="1" ht="20.100000000000001" customHeight="1">
      <c r="B145" s="76" t="s">
        <v>155</v>
      </c>
      <c r="C145" s="77"/>
      <c r="D145" s="77">
        <f t="shared" si="9"/>
        <v>5</v>
      </c>
      <c r="E145" s="77">
        <f t="shared" si="10"/>
        <v>58.875</v>
      </c>
      <c r="F145" s="81">
        <v>8585</v>
      </c>
      <c r="G145" s="79" t="s">
        <v>12</v>
      </c>
      <c r="I145" s="90"/>
      <c r="J145" s="90"/>
      <c r="K145" s="90"/>
      <c r="L145" s="90"/>
      <c r="M145" s="90"/>
      <c r="N145" s="90"/>
    </row>
    <row r="146" spans="2:14" ht="20.100000000000001" customHeight="1">
      <c r="B146" s="25" t="s">
        <v>54</v>
      </c>
      <c r="C146" s="26"/>
      <c r="D146" s="26">
        <f t="shared" si="9"/>
        <v>5</v>
      </c>
      <c r="E146" s="26">
        <f t="shared" si="10"/>
        <v>58.875</v>
      </c>
      <c r="F146" s="56">
        <v>8700</v>
      </c>
      <c r="G146" s="28" t="s">
        <v>12</v>
      </c>
      <c r="H146" s="75"/>
      <c r="I146" s="90"/>
      <c r="J146" s="90"/>
      <c r="K146" s="90"/>
      <c r="L146" s="90"/>
      <c r="M146" s="90"/>
      <c r="N146" s="90"/>
    </row>
    <row r="147" spans="2:14" s="75" customFormat="1" ht="20.100000000000001" customHeight="1">
      <c r="B147" s="76" t="s">
        <v>206</v>
      </c>
      <c r="C147" s="77"/>
      <c r="D147" s="77">
        <f t="shared" si="9"/>
        <v>5</v>
      </c>
      <c r="E147" s="77">
        <f t="shared" si="10"/>
        <v>58.875</v>
      </c>
      <c r="F147" s="78">
        <v>9072</v>
      </c>
      <c r="G147" s="79" t="s">
        <v>13</v>
      </c>
      <c r="I147" s="90"/>
      <c r="J147" s="90"/>
      <c r="K147" s="90"/>
      <c r="L147" s="90"/>
      <c r="M147" s="90"/>
      <c r="N147" s="90"/>
    </row>
    <row r="148" spans="2:14" ht="20.100000000000001" customHeight="1">
      <c r="B148" s="25" t="s">
        <v>29</v>
      </c>
      <c r="C148" s="26">
        <v>211</v>
      </c>
      <c r="D148" s="26">
        <f t="shared" si="9"/>
        <v>89.4</v>
      </c>
      <c r="E148" s="26">
        <f t="shared" si="10"/>
        <v>546.28500000000008</v>
      </c>
      <c r="F148" s="56">
        <v>9072</v>
      </c>
      <c r="G148" s="28" t="s">
        <v>13</v>
      </c>
      <c r="H148" s="75"/>
      <c r="I148" s="90"/>
      <c r="J148" s="90"/>
      <c r="K148" s="90"/>
      <c r="L148" s="90"/>
      <c r="M148" s="90"/>
      <c r="N148" s="90"/>
    </row>
    <row r="149" spans="2:14" s="75" customFormat="1" ht="20.100000000000001" customHeight="1">
      <c r="B149" s="76" t="s">
        <v>57</v>
      </c>
      <c r="C149" s="77"/>
      <c r="D149" s="77">
        <f t="shared" si="9"/>
        <v>5</v>
      </c>
      <c r="E149" s="77">
        <f t="shared" si="10"/>
        <v>58.875</v>
      </c>
      <c r="F149" s="81">
        <v>9072</v>
      </c>
      <c r="G149" s="79" t="s">
        <v>13</v>
      </c>
      <c r="I149" s="90"/>
      <c r="J149" s="90"/>
      <c r="K149" s="90"/>
      <c r="L149" s="90"/>
      <c r="M149" s="90"/>
      <c r="N149" s="90"/>
    </row>
    <row r="150" spans="2:14" ht="20.100000000000001" customHeight="1">
      <c r="B150" s="25" t="s">
        <v>56</v>
      </c>
      <c r="C150" s="26"/>
      <c r="D150" s="26">
        <f t="shared" si="9"/>
        <v>5</v>
      </c>
      <c r="E150" s="26">
        <f t="shared" si="10"/>
        <v>58.875</v>
      </c>
      <c r="F150" s="29">
        <v>9072</v>
      </c>
      <c r="G150" s="28" t="s">
        <v>13</v>
      </c>
      <c r="H150" s="75"/>
      <c r="I150" s="90"/>
      <c r="J150" s="90"/>
      <c r="K150" s="90"/>
      <c r="L150" s="90"/>
      <c r="M150" s="90"/>
      <c r="N150" s="90"/>
    </row>
    <row r="151" spans="2:14" s="75" customFormat="1" ht="20.100000000000001" customHeight="1">
      <c r="B151" s="76" t="s">
        <v>51</v>
      </c>
      <c r="C151" s="77"/>
      <c r="D151" s="77">
        <f t="shared" si="9"/>
        <v>5</v>
      </c>
      <c r="E151" s="77">
        <f t="shared" si="10"/>
        <v>58.875</v>
      </c>
      <c r="F151" s="78">
        <v>9072</v>
      </c>
      <c r="G151" s="79" t="s">
        <v>13</v>
      </c>
      <c r="I151" s="90"/>
      <c r="J151" s="90"/>
      <c r="K151" s="90"/>
      <c r="L151" s="90"/>
      <c r="M151" s="90"/>
      <c r="N151" s="90"/>
    </row>
    <row r="152" spans="2:14" ht="20.100000000000001" customHeight="1">
      <c r="B152" s="30" t="s">
        <v>63</v>
      </c>
      <c r="C152" s="31"/>
      <c r="D152" s="26">
        <f t="shared" si="9"/>
        <v>5</v>
      </c>
      <c r="E152" s="26">
        <f t="shared" si="10"/>
        <v>58.875</v>
      </c>
      <c r="F152" s="32">
        <v>9072</v>
      </c>
      <c r="G152" s="28" t="s">
        <v>13</v>
      </c>
      <c r="H152" s="75"/>
      <c r="I152" s="90"/>
      <c r="J152" s="90"/>
      <c r="K152" s="90"/>
      <c r="L152" s="90"/>
      <c r="M152" s="90"/>
      <c r="N152" s="90"/>
    </row>
    <row r="153" spans="2:14" s="75" customFormat="1" ht="20.100000000000001" customHeight="1">
      <c r="B153" s="76" t="s">
        <v>128</v>
      </c>
      <c r="C153" s="77">
        <v>69</v>
      </c>
      <c r="D153" s="77">
        <f t="shared" si="9"/>
        <v>32.6</v>
      </c>
      <c r="E153" s="77">
        <f t="shared" si="10"/>
        <v>218.26500000000001</v>
      </c>
      <c r="F153" s="81">
        <v>9072</v>
      </c>
      <c r="G153" s="79" t="s">
        <v>12</v>
      </c>
      <c r="I153" s="90"/>
      <c r="J153" s="90"/>
      <c r="K153" s="90"/>
      <c r="L153" s="90"/>
      <c r="M153" s="90"/>
      <c r="N153" s="90"/>
    </row>
    <row r="154" spans="2:14" ht="20.100000000000001" customHeight="1">
      <c r="B154" s="25" t="s">
        <v>129</v>
      </c>
      <c r="C154" s="31">
        <v>70</v>
      </c>
      <c r="D154" s="26">
        <f t="shared" si="9"/>
        <v>33</v>
      </c>
      <c r="E154" s="26">
        <f t="shared" si="10"/>
        <v>220.57500000000002</v>
      </c>
      <c r="F154" s="56">
        <v>9072</v>
      </c>
      <c r="G154" s="28" t="s">
        <v>12</v>
      </c>
      <c r="H154" s="75"/>
      <c r="I154" s="90"/>
      <c r="J154" s="90"/>
      <c r="K154" s="90"/>
      <c r="L154" s="90"/>
      <c r="M154" s="90"/>
      <c r="N154" s="90"/>
    </row>
    <row r="155" spans="2:14" s="75" customFormat="1" ht="20.100000000000001" customHeight="1">
      <c r="B155" s="76" t="s">
        <v>137</v>
      </c>
      <c r="C155" s="77">
        <v>52</v>
      </c>
      <c r="D155" s="77">
        <f t="shared" si="9"/>
        <v>25.8</v>
      </c>
      <c r="E155" s="77">
        <f t="shared" si="10"/>
        <v>178.995</v>
      </c>
      <c r="F155" s="81">
        <v>8360</v>
      </c>
      <c r="G155" s="79" t="s">
        <v>12</v>
      </c>
      <c r="I155" s="90"/>
      <c r="J155" s="90"/>
      <c r="K155" s="90"/>
      <c r="L155" s="90"/>
      <c r="M155" s="90"/>
      <c r="N155" s="90"/>
    </row>
    <row r="156" spans="2:14" ht="20.100000000000001" customHeight="1">
      <c r="B156" s="25" t="s">
        <v>138</v>
      </c>
      <c r="C156" s="26">
        <v>112</v>
      </c>
      <c r="D156" s="26">
        <f t="shared" si="9"/>
        <v>49.800000000000004</v>
      </c>
      <c r="E156" s="26">
        <f t="shared" si="10"/>
        <v>317.59499999999997</v>
      </c>
      <c r="F156" s="56">
        <v>8360</v>
      </c>
      <c r="G156" s="28" t="s">
        <v>12</v>
      </c>
      <c r="H156" s="75"/>
      <c r="I156" s="90"/>
      <c r="J156" s="90"/>
      <c r="K156" s="90"/>
      <c r="L156" s="90"/>
      <c r="M156" s="90"/>
      <c r="N156" s="90"/>
    </row>
    <row r="157" spans="2:14" s="75" customFormat="1" ht="20.100000000000001" customHeight="1">
      <c r="B157" s="76" t="s">
        <v>131</v>
      </c>
      <c r="C157" s="77"/>
      <c r="D157" s="77">
        <f t="shared" si="9"/>
        <v>5</v>
      </c>
      <c r="E157" s="77">
        <f t="shared" si="10"/>
        <v>58.875</v>
      </c>
      <c r="F157" s="81">
        <v>7280</v>
      </c>
      <c r="G157" s="79" t="s">
        <v>12</v>
      </c>
      <c r="I157" s="90"/>
      <c r="J157" s="90"/>
      <c r="K157" s="90"/>
      <c r="L157" s="90"/>
      <c r="M157" s="90"/>
      <c r="N157" s="90"/>
    </row>
    <row r="158" spans="2:14" ht="20.100000000000001" customHeight="1">
      <c r="B158" s="25" t="s">
        <v>133</v>
      </c>
      <c r="C158" s="26"/>
      <c r="D158" s="26">
        <f t="shared" si="9"/>
        <v>5</v>
      </c>
      <c r="E158" s="26">
        <f t="shared" si="10"/>
        <v>58.875</v>
      </c>
      <c r="F158" s="56">
        <v>7280</v>
      </c>
      <c r="G158" s="28" t="s">
        <v>12</v>
      </c>
      <c r="H158" s="75"/>
      <c r="I158" s="90"/>
      <c r="J158" s="90"/>
      <c r="K158" s="90"/>
      <c r="L158" s="90"/>
      <c r="M158" s="90"/>
      <c r="N158" s="90"/>
    </row>
    <row r="159" spans="2:14" s="75" customFormat="1" ht="20.100000000000001" customHeight="1">
      <c r="B159" s="76" t="s">
        <v>130</v>
      </c>
      <c r="C159" s="77">
        <v>84</v>
      </c>
      <c r="D159" s="77">
        <f t="shared" si="9"/>
        <v>38.6</v>
      </c>
      <c r="E159" s="77">
        <f t="shared" si="10"/>
        <v>252.91500000000002</v>
      </c>
      <c r="F159" s="81">
        <v>7280</v>
      </c>
      <c r="G159" s="79" t="s">
        <v>12</v>
      </c>
      <c r="I159" s="90"/>
      <c r="J159" s="90"/>
      <c r="K159" s="90"/>
      <c r="L159" s="90"/>
      <c r="M159" s="90"/>
      <c r="N159" s="90"/>
    </row>
    <row r="160" spans="2:14" ht="20.100000000000001" customHeight="1" thickBot="1">
      <c r="B160" s="33" t="s">
        <v>132</v>
      </c>
      <c r="C160" s="34">
        <v>70</v>
      </c>
      <c r="D160" s="34">
        <f t="shared" si="9"/>
        <v>33</v>
      </c>
      <c r="E160" s="34">
        <f t="shared" si="10"/>
        <v>220.57500000000002</v>
      </c>
      <c r="F160" s="35">
        <v>7280</v>
      </c>
      <c r="G160" s="36" t="s">
        <v>12</v>
      </c>
      <c r="H160" s="75"/>
      <c r="I160" s="90"/>
      <c r="J160" s="90"/>
      <c r="K160" s="90"/>
      <c r="L160" s="90"/>
      <c r="M160" s="90"/>
      <c r="N160" s="90"/>
    </row>
    <row r="161" spans="8:14" s="75" customFormat="1" ht="20.100000000000001" customHeight="1">
      <c r="I161" s="90"/>
      <c r="J161" s="90"/>
      <c r="K161" s="90"/>
      <c r="L161" s="90"/>
      <c r="M161" s="90"/>
      <c r="N161" s="90"/>
    </row>
    <row r="162" spans="8:14" ht="20.100000000000001" customHeight="1">
      <c r="H162" s="75"/>
      <c r="I162" s="90"/>
      <c r="J162" s="90"/>
      <c r="K162" s="90"/>
      <c r="L162" s="90"/>
      <c r="M162" s="90"/>
      <c r="N162" s="90"/>
    </row>
    <row r="163" spans="8:14" s="75" customFormat="1" ht="20.100000000000001" customHeight="1">
      <c r="I163" s="90"/>
      <c r="J163" s="90"/>
      <c r="K163" s="90"/>
      <c r="L163" s="90"/>
      <c r="M163" s="90"/>
      <c r="N163" s="90"/>
    </row>
    <row r="164" spans="8:14" ht="20.100000000000001" customHeight="1">
      <c r="H164" s="75"/>
      <c r="I164" s="90"/>
      <c r="J164" s="90"/>
      <c r="K164" s="90"/>
      <c r="L164" s="90"/>
      <c r="M164" s="90"/>
      <c r="N164" s="90"/>
    </row>
    <row r="165" spans="8:14" s="75" customFormat="1" ht="20.100000000000001" customHeight="1">
      <c r="I165" s="90"/>
      <c r="J165" s="90"/>
      <c r="K165" s="90"/>
      <c r="L165" s="90"/>
      <c r="M165" s="90"/>
      <c r="N165" s="90"/>
    </row>
    <row r="166" spans="8:14" ht="20.100000000000001" customHeight="1">
      <c r="H166" s="75"/>
      <c r="I166" s="90"/>
      <c r="J166" s="90"/>
      <c r="K166" s="90"/>
      <c r="L166" s="90"/>
      <c r="M166" s="90"/>
      <c r="N166" s="90"/>
    </row>
    <row r="167" spans="8:14" s="75" customFormat="1" ht="20.100000000000001" customHeight="1">
      <c r="I167" s="90"/>
      <c r="J167" s="90"/>
      <c r="K167" s="90"/>
      <c r="L167" s="90"/>
      <c r="M167" s="90"/>
      <c r="N167" s="90"/>
    </row>
    <row r="168" spans="8:14" ht="20.100000000000001" customHeight="1">
      <c r="H168" s="75"/>
      <c r="I168" s="90"/>
      <c r="J168" s="90"/>
      <c r="K168" s="90"/>
      <c r="L168" s="90"/>
      <c r="M168" s="90"/>
      <c r="N168" s="90"/>
    </row>
    <row r="169" spans="8:14" s="75" customFormat="1" ht="20.100000000000001" customHeight="1">
      <c r="I169" s="90"/>
      <c r="J169" s="90"/>
      <c r="K169" s="90"/>
      <c r="L169" s="90"/>
      <c r="M169" s="90"/>
      <c r="N169" s="90"/>
    </row>
    <row r="170" spans="8:14" ht="20.100000000000001" customHeight="1">
      <c r="H170" s="75"/>
      <c r="I170" s="90"/>
      <c r="J170" s="90"/>
      <c r="K170" s="90"/>
      <c r="L170" s="90"/>
      <c r="M170" s="90"/>
      <c r="N170" s="90"/>
    </row>
    <row r="171" spans="8:14" s="75" customFormat="1" ht="20.100000000000001" customHeight="1">
      <c r="I171" s="90"/>
      <c r="J171" s="90"/>
      <c r="K171" s="90"/>
      <c r="L171" s="90"/>
      <c r="M171" s="90"/>
      <c r="N171" s="90"/>
    </row>
    <row r="172" spans="8:14" ht="20.100000000000001" customHeight="1">
      <c r="H172" s="75"/>
      <c r="I172" s="90"/>
      <c r="J172" s="90"/>
      <c r="K172" s="90"/>
      <c r="L172" s="90"/>
      <c r="M172" s="90"/>
      <c r="N172" s="90"/>
    </row>
    <row r="173" spans="8:14" s="75" customFormat="1" ht="20.100000000000001" customHeight="1">
      <c r="I173" s="90"/>
      <c r="J173" s="90"/>
      <c r="K173" s="90"/>
      <c r="L173" s="90"/>
      <c r="M173" s="90"/>
      <c r="N173" s="90"/>
    </row>
    <row r="174" spans="8:14" ht="20.100000000000001" customHeight="1">
      <c r="H174" s="75"/>
      <c r="I174" s="90"/>
      <c r="J174" s="90"/>
      <c r="K174" s="90"/>
      <c r="L174" s="90"/>
      <c r="M174" s="90"/>
      <c r="N174" s="90"/>
    </row>
    <row r="175" spans="8:14" ht="20.100000000000001" customHeight="1">
      <c r="H175" s="75"/>
      <c r="I175" s="90"/>
      <c r="J175" s="90"/>
      <c r="K175" s="90"/>
      <c r="L175" s="90"/>
      <c r="M175" s="90"/>
      <c r="N175" s="90"/>
    </row>
    <row r="176" spans="8:14" ht="20.100000000000001" customHeight="1">
      <c r="H176" s="75"/>
      <c r="I176" s="90"/>
      <c r="J176" s="90"/>
      <c r="K176" s="90"/>
      <c r="L176" s="90"/>
      <c r="M176" s="90"/>
      <c r="N176" s="90"/>
    </row>
    <row r="177" spans="2:14" ht="20.100000000000001" customHeight="1">
      <c r="H177" s="75"/>
      <c r="I177" s="90"/>
      <c r="J177" s="90"/>
      <c r="K177" s="90"/>
      <c r="L177" s="90"/>
      <c r="M177" s="90"/>
      <c r="N177" s="90"/>
    </row>
    <row r="178" spans="2:14" ht="20.100000000000001" customHeight="1">
      <c r="H178" s="75"/>
      <c r="I178" s="90"/>
      <c r="J178" s="90"/>
      <c r="K178" s="90"/>
      <c r="L178" s="90"/>
      <c r="M178" s="90"/>
      <c r="N178" s="90"/>
    </row>
    <row r="179" spans="2:14" ht="20.100000000000001" customHeight="1">
      <c r="H179" s="75"/>
      <c r="I179" s="90"/>
      <c r="J179" s="90"/>
      <c r="K179" s="90"/>
      <c r="L179" s="90"/>
      <c r="M179" s="90"/>
      <c r="N179" s="90"/>
    </row>
    <row r="180" spans="2:14" ht="20.100000000000001" customHeight="1">
      <c r="H180" s="75"/>
      <c r="I180" s="90"/>
      <c r="J180" s="90"/>
      <c r="K180" s="90"/>
      <c r="L180" s="90"/>
      <c r="M180" s="90"/>
      <c r="N180" s="90"/>
    </row>
    <row r="181" spans="2:14" ht="20.100000000000001" customHeight="1">
      <c r="I181" s="2"/>
      <c r="J181" s="2"/>
      <c r="K181" s="2"/>
      <c r="L181" s="2"/>
      <c r="M181" s="2"/>
      <c r="N181" s="2"/>
    </row>
    <row r="182" spans="2:14">
      <c r="B182" s="6"/>
    </row>
    <row r="183" spans="2:14">
      <c r="B183" s="6"/>
    </row>
    <row r="184" spans="2:14">
      <c r="B184" s="6"/>
    </row>
    <row r="185" spans="2:14">
      <c r="B185" s="6"/>
    </row>
    <row r="186" spans="2:14">
      <c r="B186" s="6"/>
    </row>
    <row r="187" spans="2:14">
      <c r="B187" s="6"/>
    </row>
    <row r="188" spans="2:14">
      <c r="B188" s="6"/>
    </row>
  </sheetData>
  <sheetProtection selectLockedCells="1" selectUnlockedCells="1"/>
  <sortState ref="B4:K148">
    <sortCondition ref="B125"/>
  </sortState>
  <mergeCells count="20">
    <mergeCell ref="A1:XFD3"/>
    <mergeCell ref="H141:I143"/>
    <mergeCell ref="I85:K85"/>
    <mergeCell ref="I84:K84"/>
    <mergeCell ref="J97:K97"/>
    <mergeCell ref="J110:K110"/>
    <mergeCell ref="J109:K109"/>
    <mergeCell ref="J108:K108"/>
    <mergeCell ref="J107:K107"/>
    <mergeCell ref="J106:K106"/>
    <mergeCell ref="J105:K105"/>
    <mergeCell ref="J104:K104"/>
    <mergeCell ref="J98:K98"/>
    <mergeCell ref="J103:K103"/>
    <mergeCell ref="I83:M83"/>
    <mergeCell ref="J102:K102"/>
    <mergeCell ref="J101:K101"/>
    <mergeCell ref="J100:K100"/>
    <mergeCell ref="J99:K99"/>
    <mergeCell ref="I86:K86"/>
  </mergeCells>
  <dataValidations count="6">
    <dataValidation type="list" showInputMessage="1" showErrorMessage="1" sqref="K70:L72">
      <formula1>AERODROMES_RCA</formula1>
    </dataValidation>
    <dataValidation type="list" showInputMessage="1" showErrorMessage="1" sqref="M70:N72">
      <formula1>REFUEL</formula1>
    </dataValidation>
    <dataValidation type="whole" allowBlank="1" showInputMessage="1" showErrorMessage="1" sqref="S75">
      <formula1>1</formula1>
      <formula2>10</formula2>
    </dataValidation>
    <dataValidation type="list" allowBlank="1" showInputMessage="1" showErrorMessage="1" sqref="L86">
      <formula1>"350 , 500"</formula1>
    </dataValidation>
    <dataValidation type="whole" allowBlank="1" showInputMessage="1" showErrorMessage="1" error="Veuillez entrer une valeur entre 150 et 500 lbs / h" promptTitle="Consomation horaire" prompt="Unité : livres par heure" sqref="L85">
      <formula1>150</formula1>
      <formula2>500</formula2>
    </dataValidation>
    <dataValidation type="whole" allowBlank="1" showInputMessage="1" showErrorMessage="1" error="Veuillez saisir une valeur entre 100 et 200 noeuds" promptTitle="Vitesse vraie en croisière" prompt="Unité : noeud" sqref="L84">
      <formula1>100</formula1>
      <formula2>200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33" sqref="B3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PAYLOAD</vt:lpstr>
      <vt:lpstr>DATA</vt:lpstr>
      <vt:lpstr>MAP_CAR</vt:lpstr>
      <vt:lpstr>AERODROMES__RCA</vt:lpstr>
      <vt:lpstr>AERODROMES_RCA</vt:lpstr>
      <vt:lpstr>LEGS</vt:lpstr>
      <vt:lpstr>REFUEL</vt:lpstr>
      <vt:lpstr>Terrain_RCA</vt:lpstr>
      <vt:lpstr>Terrains_RCA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2019-01-06T17:43:59Z</dcterms:modified>
</cp:coreProperties>
</file>